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31"/>
  <workbookPr defaultThemeVersion="166925"/>
  <mc:AlternateContent xmlns:mc="http://schemas.openxmlformats.org/markup-compatibility/2006">
    <mc:Choice Requires="x15">
      <x15ac:absPath xmlns:x15ac="http://schemas.microsoft.com/office/spreadsheetml/2010/11/ac" url="/Users/paulaandrea/Documents/FDLE/2026/2.Formulación/Mujeres-Integración S/COMITE DE CONTRATACIÓN/"/>
    </mc:Choice>
  </mc:AlternateContent>
  <xr:revisionPtr revIDLastSave="0" documentId="13_ncr:1_{974B6475-29E5-9C43-95DB-3647745CE969}" xr6:coauthVersionLast="47" xr6:coauthVersionMax="47" xr10:uidLastSave="{00000000-0000-0000-0000-000000000000}"/>
  <bookViews>
    <workbookView xWindow="40" yWindow="500" windowWidth="28760" windowHeight="15980" xr2:uid="{C7FFBFA8-A43B-E547-B7B6-0A7CEBDD6CE7}"/>
  </bookViews>
  <sheets>
    <sheet name="ESPECIFICACIONES TECNICAS" sheetId="1" r:id="rId1"/>
    <sheet name="Hoja1" sheetId="14" state="hidden" r:id="rId2"/>
    <sheet name="METAS" sheetId="13" state="hidden" r:id="rId3"/>
  </sheets>
  <definedNames>
    <definedName name="_xlnm._FilterDatabase" localSheetId="0" hidden="1">'ESPECIFICACIONES TECNICAS'!$A$3:$XFC$407</definedName>
    <definedName name="_Toc224153542" localSheetId="0">'ESPECIFICACIONES TECNICAS'!$F$61</definedName>
    <definedName name="_Toc224153544" localSheetId="0">'ESPECIFICACIONES TECNICAS'!$F$87</definedName>
    <definedName name="_Toc224153545" localSheetId="0">'ESPECIFICACIONES TECNICAS'!$F$90</definedName>
    <definedName name="_Toc224153546" localSheetId="0">'ESPECIFICACIONES TECNICAS'!$F$91</definedName>
    <definedName name="_Toc224153548" localSheetId="0">'ESPECIFICACIONES TECNICAS'!$F$131</definedName>
    <definedName name="_Toc224153549" localSheetId="0">'ESPECIFICACIONES TECNICAS'!$F$140</definedName>
    <definedName name="_Toc224153550" localSheetId="0">'ESPECIFICACIONES TECNICAS'!$F$148</definedName>
    <definedName name="_Toc224153556" localSheetId="0">'ESPECIFICACIONES TECNICAS'!#REF!</definedName>
    <definedName name="_Toc224153562" localSheetId="0">'ESPECIFICACIONES TECNICAS'!$F$236</definedName>
    <definedName name="_Toc224153568" localSheetId="0">'ESPECIFICACIONES TECNICAS'!$E$285</definedName>
    <definedName name="_Toc224153572" localSheetId="0">'ESPECIFICACIONES TECNICAS'!$F$341</definedName>
    <definedName name="_Toc224153575" localSheetId="0">'ESPECIFICACIONES TECNICAS'!$F$371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F10" i="13" l="1"/>
  <c r="AA10" i="13"/>
  <c r="U234" i="1"/>
  <c r="Q234" i="1"/>
  <c r="AG10" i="13" l="1"/>
  <c r="Q265" i="1"/>
  <c r="K128" i="1"/>
  <c r="M103" i="1"/>
  <c r="O381" i="1"/>
  <c r="O380" i="1"/>
  <c r="O379" i="1"/>
  <c r="O378" i="1"/>
  <c r="O377" i="1"/>
  <c r="K130" i="1"/>
  <c r="K26" i="1"/>
  <c r="K23" i="1"/>
  <c r="L298" i="1"/>
  <c r="K328" i="1"/>
  <c r="O244" i="1"/>
  <c r="O209" i="1"/>
  <c r="M209" i="1"/>
  <c r="K350" i="1"/>
  <c r="O318" i="1"/>
  <c r="M318" i="1"/>
  <c r="K318" i="1"/>
  <c r="O349" i="1"/>
  <c r="M349" i="1"/>
  <c r="K349" i="1"/>
  <c r="O95" i="1"/>
  <c r="M56" i="1"/>
  <c r="K56" i="1"/>
  <c r="M129" i="1" l="1"/>
  <c r="M279" i="1"/>
  <c r="K95" i="1"/>
  <c r="M202" i="1"/>
  <c r="M217" i="1"/>
  <c r="AB10" i="13"/>
  <c r="O390" i="1"/>
  <c r="K390" i="1"/>
  <c r="O326" i="1"/>
  <c r="M326" i="1"/>
  <c r="K299" i="1"/>
  <c r="M281" i="1"/>
  <c r="K281" i="1"/>
  <c r="K280" i="1"/>
  <c r="Q278" i="1"/>
  <c r="R278" i="1" s="1"/>
  <c r="U278" i="1"/>
  <c r="V278" i="1" s="1"/>
  <c r="S278" i="1"/>
  <c r="K278" i="1"/>
  <c r="U265" i="1"/>
  <c r="S265" i="1"/>
  <c r="M235" i="1"/>
  <c r="K164" i="1"/>
  <c r="M143" i="1"/>
  <c r="K138" i="1"/>
  <c r="Q138" i="1" s="1"/>
  <c r="U136" i="1"/>
  <c r="S136" i="1"/>
  <c r="Q136" i="1"/>
  <c r="R136" i="1" s="1"/>
  <c r="S132" i="1"/>
  <c r="O109" i="1"/>
  <c r="O55" i="1"/>
  <c r="M55" i="1"/>
  <c r="Q171" i="1"/>
  <c r="R171" i="1" s="1"/>
  <c r="Q346" i="1"/>
  <c r="Q312" i="1"/>
  <c r="Q229" i="1"/>
  <c r="K244" i="1"/>
  <c r="K33" i="1"/>
  <c r="M244" i="1"/>
  <c r="M33" i="1"/>
  <c r="O130" i="1"/>
  <c r="M130" i="1"/>
  <c r="O26" i="1"/>
  <c r="L130" i="1"/>
  <c r="O45" i="1"/>
  <c r="M45" i="1"/>
  <c r="K45" i="1"/>
  <c r="M26" i="1"/>
  <c r="O23" i="1"/>
  <c r="M23" i="1"/>
  <c r="S21" i="1"/>
  <c r="U21" i="1"/>
  <c r="Q21" i="1"/>
  <c r="R21" i="1" s="1"/>
  <c r="W278" i="1" l="1"/>
  <c r="T278" i="1"/>
  <c r="S346" i="1"/>
  <c r="S312" i="1"/>
  <c r="R312" i="1"/>
  <c r="S276" i="1"/>
  <c r="Q276" i="1"/>
  <c r="S234" i="1"/>
  <c r="U229" i="1"/>
  <c r="S229" i="1"/>
  <c r="U190" i="1"/>
  <c r="S190" i="1"/>
  <c r="Q190" i="1"/>
  <c r="U180" i="1"/>
  <c r="V180" i="1" s="1"/>
  <c r="S180" i="1"/>
  <c r="Q180" i="1"/>
  <c r="R180" i="1" s="1"/>
  <c r="Q132" i="1"/>
  <c r="R132" i="1" s="1"/>
  <c r="U108" i="1"/>
  <c r="V108" i="1" s="1"/>
  <c r="S108" i="1"/>
  <c r="Q108" i="1"/>
  <c r="R108" i="1" s="1"/>
  <c r="T108" i="1" l="1"/>
  <c r="W190" i="1"/>
  <c r="W108" i="1"/>
  <c r="V190" i="1"/>
  <c r="U49" i="1"/>
  <c r="V49" i="1" s="1"/>
  <c r="S49" i="1"/>
  <c r="Q49" i="1"/>
  <c r="R49" i="1" s="1"/>
  <c r="S24" i="1"/>
  <c r="Q24" i="1"/>
  <c r="R24" i="1" s="1"/>
  <c r="B400" i="1"/>
  <c r="T49" i="1" l="1"/>
  <c r="W49" i="1"/>
  <c r="T24" i="1"/>
  <c r="K168" i="1"/>
  <c r="O193" i="1"/>
  <c r="M193" i="1"/>
  <c r="K193" i="1"/>
  <c r="U193" i="1" s="1"/>
  <c r="V193" i="1" s="1"/>
  <c r="O192" i="1"/>
  <c r="Q192" i="1" s="1"/>
  <c r="R192" i="1" s="1"/>
  <c r="M192" i="1"/>
  <c r="K192" i="1"/>
  <c r="U8" i="13"/>
  <c r="U192" i="1" l="1"/>
  <c r="V192" i="1" s="1"/>
  <c r="Q193" i="1"/>
  <c r="R193" i="1" s="1"/>
  <c r="S192" i="1"/>
  <c r="T192" i="1" s="1"/>
  <c r="S193" i="1"/>
  <c r="W193" i="1" s="1"/>
  <c r="U400" i="1"/>
  <c r="V400" i="1" s="1"/>
  <c r="O7" i="13" s="1"/>
  <c r="S400" i="1"/>
  <c r="Q400" i="1"/>
  <c r="R400" i="1" s="1"/>
  <c r="K7" i="13" s="1"/>
  <c r="P400" i="1"/>
  <c r="N400" i="1"/>
  <c r="L400" i="1"/>
  <c r="K221" i="1"/>
  <c r="K172" i="1"/>
  <c r="O60" i="1"/>
  <c r="P60" i="1" s="1"/>
  <c r="M60" i="1"/>
  <c r="K60" i="1"/>
  <c r="L60" i="1" s="1"/>
  <c r="K48" i="1"/>
  <c r="M48" i="1"/>
  <c r="O48" i="1"/>
  <c r="U52" i="1"/>
  <c r="V52" i="1" s="1"/>
  <c r="S52" i="1"/>
  <c r="Q52" i="1"/>
  <c r="R52" i="1" s="1"/>
  <c r="P52" i="1"/>
  <c r="N52" i="1"/>
  <c r="L52" i="1"/>
  <c r="B52" i="1"/>
  <c r="O51" i="1"/>
  <c r="P51" i="1" s="1"/>
  <c r="M51" i="1"/>
  <c r="N51" i="1" s="1"/>
  <c r="K51" i="1"/>
  <c r="O340" i="1"/>
  <c r="P340" i="1" s="1"/>
  <c r="M340" i="1"/>
  <c r="N340" i="1" s="1"/>
  <c r="K340" i="1"/>
  <c r="O360" i="1"/>
  <c r="M360" i="1"/>
  <c r="K360" i="1"/>
  <c r="O269" i="1"/>
  <c r="M269" i="1"/>
  <c r="K269" i="1"/>
  <c r="O207" i="1"/>
  <c r="P207" i="1" s="1"/>
  <c r="M207" i="1"/>
  <c r="N207" i="1" s="1"/>
  <c r="O161" i="1"/>
  <c r="P161" i="1" s="1"/>
  <c r="M161" i="1"/>
  <c r="N161" i="1" s="1"/>
  <c r="O135" i="1"/>
  <c r="P135" i="1" s="1"/>
  <c r="M135" i="1"/>
  <c r="N135" i="1" s="1"/>
  <c r="K207" i="1"/>
  <c r="K161" i="1"/>
  <c r="L161" i="1" s="1"/>
  <c r="K135" i="1"/>
  <c r="U241" i="1"/>
  <c r="V241" i="1" s="1"/>
  <c r="S241" i="1"/>
  <c r="Q241" i="1"/>
  <c r="R241" i="1" s="1"/>
  <c r="L241" i="1"/>
  <c r="B241" i="1"/>
  <c r="B175" i="1"/>
  <c r="L175" i="1"/>
  <c r="Q175" i="1"/>
  <c r="R175" i="1" s="1"/>
  <c r="S175" i="1"/>
  <c r="U175" i="1"/>
  <c r="V175" i="1" s="1"/>
  <c r="U13" i="1"/>
  <c r="V13" i="1" s="1"/>
  <c r="S13" i="1"/>
  <c r="Q13" i="1"/>
  <c r="R13" i="1" s="1"/>
  <c r="L13" i="1"/>
  <c r="B13" i="1"/>
  <c r="L207" i="1" l="1"/>
  <c r="B207" i="1"/>
  <c r="U60" i="1"/>
  <c r="V60" i="1" s="1"/>
  <c r="F10" i="13" s="1"/>
  <c r="T193" i="1"/>
  <c r="W192" i="1"/>
  <c r="L7" i="13"/>
  <c r="M7" i="13" s="1"/>
  <c r="V7" i="13" s="1"/>
  <c r="P7" i="13"/>
  <c r="Q7" i="13" s="1"/>
  <c r="W7" i="13" s="1"/>
  <c r="W400" i="1"/>
  <c r="T400" i="1"/>
  <c r="U51" i="1"/>
  <c r="V51" i="1" s="1"/>
  <c r="W52" i="1"/>
  <c r="Q60" i="1"/>
  <c r="R60" i="1" s="1"/>
  <c r="C10" i="13" s="1"/>
  <c r="N60" i="1"/>
  <c r="S60" i="1"/>
  <c r="T52" i="1"/>
  <c r="Q51" i="1"/>
  <c r="R51" i="1" s="1"/>
  <c r="B51" i="1"/>
  <c r="S51" i="1"/>
  <c r="L51" i="1"/>
  <c r="U340" i="1"/>
  <c r="V340" i="1" s="1"/>
  <c r="B340" i="1"/>
  <c r="Q340" i="1"/>
  <c r="R340" i="1" s="1"/>
  <c r="S340" i="1"/>
  <c r="L340" i="1"/>
  <c r="Q207" i="1"/>
  <c r="R207" i="1" s="1"/>
  <c r="S207" i="1"/>
  <c r="U207" i="1"/>
  <c r="V207" i="1" s="1"/>
  <c r="Q135" i="1"/>
  <c r="R135" i="1" s="1"/>
  <c r="W241" i="1"/>
  <c r="T241" i="1"/>
  <c r="T175" i="1"/>
  <c r="W175" i="1"/>
  <c r="W13" i="1"/>
  <c r="T13" i="1"/>
  <c r="D10" i="13" l="1"/>
  <c r="E10" i="13" s="1"/>
  <c r="G10" i="13"/>
  <c r="H10" i="13" s="1"/>
  <c r="W60" i="1"/>
  <c r="T60" i="1"/>
  <c r="W51" i="1"/>
  <c r="T51" i="1"/>
  <c r="W340" i="1"/>
  <c r="T340" i="1"/>
  <c r="P370" i="1" l="1"/>
  <c r="P369" i="1"/>
  <c r="P368" i="1"/>
  <c r="P353" i="1"/>
  <c r="P346" i="1"/>
  <c r="P338" i="1"/>
  <c r="P337" i="1"/>
  <c r="P332" i="1"/>
  <c r="P331" i="1"/>
  <c r="P312" i="1"/>
  <c r="P292" i="1"/>
  <c r="P290" i="1"/>
  <c r="P288" i="1"/>
  <c r="P276" i="1"/>
  <c r="P275" i="1"/>
  <c r="P274" i="1"/>
  <c r="P267" i="1"/>
  <c r="P265" i="1"/>
  <c r="P248" i="1"/>
  <c r="P246" i="1"/>
  <c r="P233" i="1"/>
  <c r="P229" i="1"/>
  <c r="P223" i="1"/>
  <c r="P222" i="1"/>
  <c r="P216" i="1"/>
  <c r="P213" i="1"/>
  <c r="P190" i="1"/>
  <c r="P180" i="1"/>
  <c r="P171" i="1"/>
  <c r="P166" i="1"/>
  <c r="P147" i="1"/>
  <c r="P132" i="1"/>
  <c r="P108" i="1"/>
  <c r="P105" i="1"/>
  <c r="P49" i="1"/>
  <c r="P43" i="1"/>
  <c r="P24" i="1"/>
  <c r="P21" i="1"/>
  <c r="N370" i="1"/>
  <c r="N369" i="1"/>
  <c r="N368" i="1"/>
  <c r="N353" i="1"/>
  <c r="N346" i="1"/>
  <c r="N338" i="1"/>
  <c r="N337" i="1"/>
  <c r="N332" i="1"/>
  <c r="N331" i="1"/>
  <c r="N312" i="1"/>
  <c r="N292" i="1"/>
  <c r="N288" i="1"/>
  <c r="N276" i="1"/>
  <c r="N267" i="1"/>
  <c r="N265" i="1"/>
  <c r="N246" i="1"/>
  <c r="N233" i="1"/>
  <c r="N229" i="1"/>
  <c r="N223" i="1"/>
  <c r="N216" i="1"/>
  <c r="N190" i="1"/>
  <c r="N180" i="1"/>
  <c r="N171" i="1"/>
  <c r="N166" i="1"/>
  <c r="N147" i="1"/>
  <c r="N132" i="1"/>
  <c r="N108" i="1"/>
  <c r="N105" i="1"/>
  <c r="N49" i="1"/>
  <c r="N43" i="1"/>
  <c r="N24" i="1"/>
  <c r="N21" i="1"/>
  <c r="L370" i="1"/>
  <c r="L369" i="1"/>
  <c r="L331" i="1"/>
  <c r="L276" i="1"/>
  <c r="L265" i="1"/>
  <c r="L246" i="1"/>
  <c r="L245" i="1"/>
  <c r="L233" i="1"/>
  <c r="L223" i="1"/>
  <c r="L180" i="1"/>
  <c r="L43" i="1"/>
  <c r="L24" i="1"/>
  <c r="L21" i="1"/>
  <c r="L12" i="1"/>
  <c r="B136" i="1"/>
  <c r="K151" i="1"/>
  <c r="B151" i="1" s="1"/>
  <c r="D407" i="1" a="1"/>
  <c r="D407" i="1" s="1"/>
  <c r="D406" i="1" a="1"/>
  <c r="D406" i="1" s="1"/>
  <c r="D405" i="1" a="1"/>
  <c r="D405" i="1" s="1"/>
  <c r="D404" i="1" a="1"/>
  <c r="D404" i="1" s="1"/>
  <c r="B5" i="1"/>
  <c r="B6" i="1"/>
  <c r="B7" i="1"/>
  <c r="B8" i="1"/>
  <c r="B9" i="1"/>
  <c r="B10" i="1"/>
  <c r="B11" i="1"/>
  <c r="B15" i="1"/>
  <c r="B16" i="1"/>
  <c r="B21" i="1"/>
  <c r="B24" i="1"/>
  <c r="B31" i="1"/>
  <c r="B43" i="1"/>
  <c r="B49" i="1"/>
  <c r="B88" i="1"/>
  <c r="B89" i="1"/>
  <c r="B92" i="1"/>
  <c r="B93" i="1"/>
  <c r="B94" i="1"/>
  <c r="B98" i="1"/>
  <c r="B107" i="1"/>
  <c r="B108" i="1"/>
  <c r="B132" i="1"/>
  <c r="B133" i="1"/>
  <c r="B134" i="1"/>
  <c r="B135" i="1"/>
  <c r="B137" i="1"/>
  <c r="B141" i="1"/>
  <c r="B142" i="1"/>
  <c r="B144" i="1"/>
  <c r="B159" i="1"/>
  <c r="B161" i="1"/>
  <c r="B163" i="1"/>
  <c r="B164" i="1"/>
  <c r="B165" i="1"/>
  <c r="B171" i="1"/>
  <c r="B172" i="1"/>
  <c r="B178" i="1"/>
  <c r="B179" i="1"/>
  <c r="B180" i="1"/>
  <c r="B190" i="1"/>
  <c r="B221" i="1"/>
  <c r="B223" i="1"/>
  <c r="B229" i="1"/>
  <c r="B230" i="1"/>
  <c r="B233" i="1"/>
  <c r="B237" i="1"/>
  <c r="B239" i="1"/>
  <c r="B240" i="1"/>
  <c r="B246" i="1"/>
  <c r="B255" i="1"/>
  <c r="B256" i="1"/>
  <c r="B262" i="1"/>
  <c r="B265" i="1"/>
  <c r="B276" i="1"/>
  <c r="B287" i="1"/>
  <c r="B307" i="1"/>
  <c r="B309" i="1"/>
  <c r="B310" i="1"/>
  <c r="B311" i="1"/>
  <c r="B312" i="1"/>
  <c r="B313" i="1"/>
  <c r="B323" i="1"/>
  <c r="B324" i="1"/>
  <c r="B325" i="1"/>
  <c r="B331" i="1"/>
  <c r="B338" i="1"/>
  <c r="B343" i="1"/>
  <c r="B344" i="1"/>
  <c r="B345" i="1"/>
  <c r="B346" i="1"/>
  <c r="B355" i="1"/>
  <c r="B356" i="1"/>
  <c r="B357" i="1"/>
  <c r="B358" i="1"/>
  <c r="B359" i="1"/>
  <c r="B364" i="1"/>
  <c r="B369" i="1"/>
  <c r="B370" i="1"/>
  <c r="B372" i="1"/>
  <c r="B373" i="1"/>
  <c r="B374" i="1"/>
  <c r="B375" i="1"/>
  <c r="B376" i="1"/>
  <c r="B394" i="1"/>
  <c r="B395" i="1"/>
  <c r="B396" i="1"/>
  <c r="L262" i="1" l="1"/>
  <c r="K217" i="1" l="1"/>
  <c r="B217" i="1" s="1"/>
  <c r="K202" i="1"/>
  <c r="B202" i="1" s="1"/>
  <c r="K216" i="1" l="1"/>
  <c r="Q216" i="1" s="1"/>
  <c r="R216" i="1" s="1"/>
  <c r="B168" i="1"/>
  <c r="K162" i="1"/>
  <c r="M160" i="1"/>
  <c r="K160" i="1"/>
  <c r="U152" i="1"/>
  <c r="V152" i="1" s="1"/>
  <c r="K145" i="1"/>
  <c r="K143" i="1"/>
  <c r="B138" i="1"/>
  <c r="B391" i="1"/>
  <c r="K232" i="1"/>
  <c r="B232" i="1" s="1"/>
  <c r="O185" i="1"/>
  <c r="U185" i="1" s="1"/>
  <c r="V185" i="1" s="1"/>
  <c r="O191" i="1"/>
  <c r="U376" i="1"/>
  <c r="V376" i="1" s="1"/>
  <c r="S376" i="1"/>
  <c r="Q376" i="1"/>
  <c r="R376" i="1" s="1"/>
  <c r="U370" i="1"/>
  <c r="V370" i="1" s="1"/>
  <c r="S370" i="1"/>
  <c r="Q370" i="1"/>
  <c r="R370" i="1" s="1"/>
  <c r="U369" i="1"/>
  <c r="V369" i="1" s="1"/>
  <c r="S369" i="1"/>
  <c r="Q369" i="1"/>
  <c r="R369" i="1" s="1"/>
  <c r="U364" i="1"/>
  <c r="V364" i="1" s="1"/>
  <c r="S364" i="1"/>
  <c r="Q364" i="1"/>
  <c r="R364" i="1" s="1"/>
  <c r="U331" i="1"/>
  <c r="V331" i="1" s="1"/>
  <c r="S331" i="1"/>
  <c r="Q331" i="1"/>
  <c r="R331" i="1" s="1"/>
  <c r="U307" i="1"/>
  <c r="V307" i="1" s="1"/>
  <c r="S307" i="1"/>
  <c r="Q307" i="1"/>
  <c r="R307" i="1" s="1"/>
  <c r="U276" i="1"/>
  <c r="R276" i="1"/>
  <c r="V265" i="1"/>
  <c r="R265" i="1"/>
  <c r="U256" i="1"/>
  <c r="V256" i="1" s="1"/>
  <c r="S256" i="1"/>
  <c r="Q256" i="1"/>
  <c r="R256" i="1" s="1"/>
  <c r="U255" i="1"/>
  <c r="V255" i="1" s="1"/>
  <c r="S255" i="1"/>
  <c r="Q255" i="1"/>
  <c r="R255" i="1" s="1"/>
  <c r="U246" i="1"/>
  <c r="V246" i="1" s="1"/>
  <c r="S246" i="1"/>
  <c r="Q246" i="1"/>
  <c r="R246" i="1" s="1"/>
  <c r="U230" i="1"/>
  <c r="V230" i="1" s="1"/>
  <c r="S230" i="1"/>
  <c r="Q230" i="1"/>
  <c r="R230" i="1" s="1"/>
  <c r="V229" i="1"/>
  <c r="R229" i="1"/>
  <c r="U223" i="1"/>
  <c r="V223" i="1" s="1"/>
  <c r="S223" i="1"/>
  <c r="Q223" i="1"/>
  <c r="R223" i="1" s="1"/>
  <c r="U217" i="1"/>
  <c r="V217" i="1" s="1"/>
  <c r="S217" i="1"/>
  <c r="Q217" i="1"/>
  <c r="R217" i="1" s="1"/>
  <c r="U202" i="1"/>
  <c r="V202" i="1" s="1"/>
  <c r="S202" i="1"/>
  <c r="Q202" i="1"/>
  <c r="R202" i="1" s="1"/>
  <c r="R190" i="1"/>
  <c r="U171" i="1"/>
  <c r="V171" i="1" s="1"/>
  <c r="S171" i="1"/>
  <c r="U168" i="1"/>
  <c r="V168" i="1" s="1"/>
  <c r="S168" i="1"/>
  <c r="U165" i="1"/>
  <c r="V165" i="1" s="1"/>
  <c r="S165" i="1"/>
  <c r="Q165" i="1"/>
  <c r="R165" i="1" s="1"/>
  <c r="U164" i="1"/>
  <c r="V164" i="1" s="1"/>
  <c r="S164" i="1"/>
  <c r="Q164" i="1"/>
  <c r="R164" i="1" s="1"/>
  <c r="U163" i="1"/>
  <c r="V163" i="1" s="1"/>
  <c r="S163" i="1"/>
  <c r="Q163" i="1"/>
  <c r="R163" i="1" s="1"/>
  <c r="U161" i="1"/>
  <c r="V161" i="1" s="1"/>
  <c r="S161" i="1"/>
  <c r="Q161" i="1"/>
  <c r="R161" i="1" s="1"/>
  <c r="U144" i="1"/>
  <c r="V144" i="1" s="1"/>
  <c r="S144" i="1"/>
  <c r="Q144" i="1"/>
  <c r="R144" i="1" s="1"/>
  <c r="U142" i="1"/>
  <c r="V142" i="1" s="1"/>
  <c r="S142" i="1"/>
  <c r="Q142" i="1"/>
  <c r="R142" i="1" s="1"/>
  <c r="U138" i="1"/>
  <c r="V138" i="1" s="1"/>
  <c r="S138" i="1"/>
  <c r="R138" i="1"/>
  <c r="U137" i="1"/>
  <c r="V137" i="1" s="1"/>
  <c r="S137" i="1"/>
  <c r="Q137" i="1"/>
  <c r="R137" i="1" s="1"/>
  <c r="U132" i="1"/>
  <c r="U98" i="1"/>
  <c r="V98" i="1" s="1"/>
  <c r="S98" i="1"/>
  <c r="Q98" i="1"/>
  <c r="R98" i="1" s="1"/>
  <c r="U43" i="1"/>
  <c r="V43" i="1" s="1"/>
  <c r="S43" i="1"/>
  <c r="Q43" i="1"/>
  <c r="R43" i="1" s="1"/>
  <c r="U24" i="1"/>
  <c r="V24" i="1" s="1"/>
  <c r="V21" i="1"/>
  <c r="W223" i="1" l="1"/>
  <c r="V276" i="1"/>
  <c r="W276" i="1"/>
  <c r="V132" i="1"/>
  <c r="W132" i="1"/>
  <c r="Q168" i="1"/>
  <c r="R168" i="1" s="1"/>
  <c r="S216" i="1"/>
  <c r="T216" i="1" s="1"/>
  <c r="U216" i="1"/>
  <c r="V216" i="1" s="1"/>
  <c r="S232" i="1"/>
  <c r="U232" i="1"/>
  <c r="V232" i="1" s="1"/>
  <c r="S185" i="1"/>
  <c r="W185" i="1" s="1"/>
  <c r="Q391" i="1"/>
  <c r="R391" i="1" s="1"/>
  <c r="S391" i="1"/>
  <c r="U391" i="1"/>
  <c r="V391" i="1" s="1"/>
  <c r="S152" i="1"/>
  <c r="W152" i="1" s="1"/>
  <c r="B160" i="1"/>
  <c r="Q232" i="1"/>
  <c r="R232" i="1" s="1"/>
  <c r="S143" i="1"/>
  <c r="B143" i="1"/>
  <c r="Q185" i="1"/>
  <c r="R185" i="1" s="1"/>
  <c r="B185" i="1"/>
  <c r="S145" i="1"/>
  <c r="B145" i="1"/>
  <c r="Q152" i="1"/>
  <c r="R152" i="1" s="1"/>
  <c r="B152" i="1"/>
  <c r="B216" i="1"/>
  <c r="L216" i="1"/>
  <c r="U160" i="1"/>
  <c r="V160" i="1" s="1"/>
  <c r="U145" i="1"/>
  <c r="V145" i="1" s="1"/>
  <c r="Q143" i="1"/>
  <c r="R143" i="1" s="1"/>
  <c r="U143" i="1"/>
  <c r="V143" i="1" s="1"/>
  <c r="Q160" i="1"/>
  <c r="R160" i="1" s="1"/>
  <c r="S160" i="1"/>
  <c r="Q145" i="1"/>
  <c r="R145" i="1" s="1"/>
  <c r="W230" i="1"/>
  <c r="W24" i="1"/>
  <c r="T132" i="1"/>
  <c r="W180" i="1"/>
  <c r="W43" i="1"/>
  <c r="T369" i="1"/>
  <c r="T144" i="1"/>
  <c r="T364" i="1"/>
  <c r="W256" i="1"/>
  <c r="W307" i="1"/>
  <c r="W369" i="1"/>
  <c r="W98" i="1"/>
  <c r="W164" i="1"/>
  <c r="T171" i="1"/>
  <c r="W265" i="1"/>
  <c r="W137" i="1"/>
  <c r="T307" i="1"/>
  <c r="T217" i="1"/>
  <c r="W217" i="1"/>
  <c r="T376" i="1"/>
  <c r="T331" i="1"/>
  <c r="T246" i="1"/>
  <c r="W376" i="1"/>
  <c r="T165" i="1"/>
  <c r="T223" i="1"/>
  <c r="W246" i="1"/>
  <c r="W202" i="1"/>
  <c r="W331" i="1"/>
  <c r="W168" i="1"/>
  <c r="T21" i="1"/>
  <c r="W21" i="1"/>
  <c r="W138" i="1"/>
  <c r="T138" i="1"/>
  <c r="W165" i="1"/>
  <c r="T142" i="1"/>
  <c r="W142" i="1"/>
  <c r="T202" i="1"/>
  <c r="T164" i="1"/>
  <c r="T230" i="1"/>
  <c r="T43" i="1"/>
  <c r="W364" i="1"/>
  <c r="T98" i="1"/>
  <c r="T256" i="1"/>
  <c r="T276" i="1"/>
  <c r="T137" i="1"/>
  <c r="W163" i="1"/>
  <c r="T163" i="1"/>
  <c r="W255" i="1"/>
  <c r="T255" i="1"/>
  <c r="T180" i="1"/>
  <c r="T229" i="1"/>
  <c r="T265" i="1"/>
  <c r="W370" i="1"/>
  <c r="T370" i="1"/>
  <c r="W144" i="1"/>
  <c r="W171" i="1"/>
  <c r="T190" i="1"/>
  <c r="W229" i="1"/>
  <c r="T168" i="1" l="1"/>
  <c r="W216" i="1"/>
  <c r="W232" i="1"/>
  <c r="W391" i="1"/>
  <c r="T232" i="1"/>
  <c r="T391" i="1"/>
  <c r="T160" i="1"/>
  <c r="T152" i="1"/>
  <c r="T185" i="1"/>
  <c r="T143" i="1"/>
  <c r="W145" i="1"/>
  <c r="W143" i="1"/>
  <c r="W160" i="1"/>
  <c r="T145" i="1"/>
  <c r="K289" i="1"/>
  <c r="B289" i="1" s="1"/>
  <c r="K273" i="1"/>
  <c r="B273" i="1" s="1"/>
  <c r="K272" i="1"/>
  <c r="B272" i="1" s="1"/>
  <c r="K271" i="1"/>
  <c r="B271" i="1" s="1"/>
  <c r="K266" i="1"/>
  <c r="B266" i="1" s="1"/>
  <c r="K264" i="1"/>
  <c r="B264" i="1" s="1"/>
  <c r="K252" i="1"/>
  <c r="B252" i="1" s="1"/>
  <c r="K251" i="1"/>
  <c r="B251" i="1" s="1"/>
  <c r="K250" i="1"/>
  <c r="B250" i="1" s="1"/>
  <c r="K249" i="1"/>
  <c r="B249" i="1" s="1"/>
  <c r="K228" i="1"/>
  <c r="B228" i="1" s="1"/>
  <c r="K220" i="1"/>
  <c r="B220" i="1" s="1"/>
  <c r="K219" i="1"/>
  <c r="B219" i="1" s="1"/>
  <c r="K206" i="1"/>
  <c r="B206" i="1" s="1"/>
  <c r="K205" i="1"/>
  <c r="B205" i="1" s="1"/>
  <c r="K189" i="1"/>
  <c r="B189" i="1" s="1"/>
  <c r="K188" i="1"/>
  <c r="B188" i="1" s="1"/>
  <c r="K169" i="1"/>
  <c r="B169" i="1" s="1"/>
  <c r="K150" i="1"/>
  <c r="B150" i="1" s="1"/>
  <c r="K62" i="1"/>
  <c r="B62" i="1" s="1"/>
  <c r="K22" i="1"/>
  <c r="B22" i="1" l="1"/>
  <c r="Q22" i="1"/>
  <c r="K288" i="1"/>
  <c r="O162" i="1"/>
  <c r="M162" i="1"/>
  <c r="B162" i="1" l="1"/>
  <c r="B288" i="1"/>
  <c r="L288" i="1"/>
  <c r="U162" i="1"/>
  <c r="V162" i="1" s="1"/>
  <c r="S162" i="1"/>
  <c r="Q162" i="1"/>
  <c r="R162" i="1" s="1"/>
  <c r="Q288" i="1"/>
  <c r="R288" i="1" s="1"/>
  <c r="U288" i="1"/>
  <c r="V288" i="1" s="1"/>
  <c r="S288" i="1"/>
  <c r="B362" i="1"/>
  <c r="B184" i="1"/>
  <c r="B153" i="1"/>
  <c r="B53" i="1"/>
  <c r="O253" i="1"/>
  <c r="O155" i="1"/>
  <c r="O56" i="1"/>
  <c r="M367" i="1"/>
  <c r="M334" i="1"/>
  <c r="O367" i="1"/>
  <c r="O261" i="1"/>
  <c r="O254" i="1"/>
  <c r="M254" i="1"/>
  <c r="M253" i="1"/>
  <c r="M183" i="1"/>
  <c r="B183" i="1" s="1"/>
  <c r="M156" i="1"/>
  <c r="B156" i="1" s="1"/>
  <c r="M155" i="1"/>
  <c r="M146" i="1"/>
  <c r="B146" i="1" s="1"/>
  <c r="M104" i="1"/>
  <c r="M99" i="1"/>
  <c r="O351" i="1"/>
  <c r="M351" i="1"/>
  <c r="K351" i="1"/>
  <c r="O348" i="1"/>
  <c r="M348" i="1"/>
  <c r="K348" i="1"/>
  <c r="B348" i="1" l="1"/>
  <c r="B351" i="1"/>
  <c r="B349" i="1"/>
  <c r="B253" i="1"/>
  <c r="B56" i="1"/>
  <c r="B254" i="1"/>
  <c r="U254" i="1"/>
  <c r="V254" i="1" s="1"/>
  <c r="S254" i="1"/>
  <c r="Q254" i="1"/>
  <c r="R254" i="1" s="1"/>
  <c r="S253" i="1"/>
  <c r="Q253" i="1"/>
  <c r="R253" i="1" s="1"/>
  <c r="U253" i="1"/>
  <c r="V253" i="1" s="1"/>
  <c r="S184" i="1"/>
  <c r="Q184" i="1"/>
  <c r="R184" i="1" s="1"/>
  <c r="U184" i="1"/>
  <c r="V184" i="1" s="1"/>
  <c r="U362" i="1"/>
  <c r="V362" i="1" s="1"/>
  <c r="S362" i="1"/>
  <c r="Q362" i="1"/>
  <c r="R362" i="1" s="1"/>
  <c r="U156" i="1"/>
  <c r="V156" i="1" s="1"/>
  <c r="Q156" i="1"/>
  <c r="R156" i="1" s="1"/>
  <c r="S156" i="1"/>
  <c r="S53" i="1"/>
  <c r="Q53" i="1"/>
  <c r="R53" i="1" s="1"/>
  <c r="U53" i="1"/>
  <c r="V53" i="1" s="1"/>
  <c r="W162" i="1"/>
  <c r="T162" i="1"/>
  <c r="U349" i="1"/>
  <c r="V349" i="1" s="1"/>
  <c r="S349" i="1"/>
  <c r="Q349" i="1"/>
  <c r="R349" i="1" s="1"/>
  <c r="T288" i="1"/>
  <c r="W288" i="1"/>
  <c r="U146" i="1"/>
  <c r="V146" i="1" s="1"/>
  <c r="S146" i="1"/>
  <c r="Q146" i="1"/>
  <c r="R146" i="1" s="1"/>
  <c r="U351" i="1"/>
  <c r="V351" i="1" s="1"/>
  <c r="S351" i="1"/>
  <c r="Q351" i="1"/>
  <c r="R351" i="1" s="1"/>
  <c r="Q56" i="1"/>
  <c r="R56" i="1" s="1"/>
  <c r="S56" i="1"/>
  <c r="U56" i="1"/>
  <c r="V56" i="1" s="1"/>
  <c r="U348" i="1"/>
  <c r="V348" i="1" s="1"/>
  <c r="S348" i="1"/>
  <c r="Q348" i="1"/>
  <c r="R348" i="1" s="1"/>
  <c r="U183" i="1"/>
  <c r="V183" i="1" s="1"/>
  <c r="S183" i="1"/>
  <c r="Q183" i="1"/>
  <c r="R183" i="1" s="1"/>
  <c r="Q153" i="1"/>
  <c r="R153" i="1" s="1"/>
  <c r="S153" i="1"/>
  <c r="U153" i="1"/>
  <c r="V153" i="1" s="1"/>
  <c r="K330" i="1"/>
  <c r="B330" i="1" s="1"/>
  <c r="K329" i="1"/>
  <c r="B329" i="1" s="1"/>
  <c r="B328" i="1"/>
  <c r="K327" i="1"/>
  <c r="B327" i="1" s="1"/>
  <c r="M290" i="1"/>
  <c r="N290" i="1" s="1"/>
  <c r="K290" i="1"/>
  <c r="O283" i="1"/>
  <c r="M283" i="1"/>
  <c r="K283" i="1"/>
  <c r="O268" i="1"/>
  <c r="M268" i="1"/>
  <c r="M275" i="1"/>
  <c r="N275" i="1" s="1"/>
  <c r="M274" i="1"/>
  <c r="N274" i="1" s="1"/>
  <c r="K275" i="1"/>
  <c r="K274" i="1"/>
  <c r="O227" i="1"/>
  <c r="P227" i="1" s="1"/>
  <c r="M227" i="1"/>
  <c r="N227" i="1" s="1"/>
  <c r="K227" i="1"/>
  <c r="B268" i="1" l="1"/>
  <c r="B283" i="1"/>
  <c r="L227" i="1"/>
  <c r="B227" i="1"/>
  <c r="L290" i="1"/>
  <c r="B290" i="1"/>
  <c r="B274" i="1"/>
  <c r="L274" i="1"/>
  <c r="L275" i="1"/>
  <c r="B275" i="1"/>
  <c r="W183" i="1"/>
  <c r="T183" i="1"/>
  <c r="W156" i="1"/>
  <c r="T156" i="1"/>
  <c r="T184" i="1"/>
  <c r="W184" i="1"/>
  <c r="Q227" i="1"/>
  <c r="R227" i="1" s="1"/>
  <c r="S227" i="1"/>
  <c r="U227" i="1"/>
  <c r="V227" i="1" s="1"/>
  <c r="W349" i="1"/>
  <c r="T349" i="1"/>
  <c r="U275" i="1"/>
  <c r="V275" i="1" s="1"/>
  <c r="S275" i="1"/>
  <c r="Q275" i="1"/>
  <c r="R275" i="1" s="1"/>
  <c r="T253" i="1"/>
  <c r="W253" i="1"/>
  <c r="T351" i="1"/>
  <c r="W351" i="1"/>
  <c r="U274" i="1"/>
  <c r="V274" i="1" s="1"/>
  <c r="Q274" i="1"/>
  <c r="R274" i="1" s="1"/>
  <c r="S274" i="1"/>
  <c r="S329" i="1"/>
  <c r="Q329" i="1"/>
  <c r="R329" i="1" s="1"/>
  <c r="U329" i="1"/>
  <c r="V329" i="1" s="1"/>
  <c r="W348" i="1"/>
  <c r="T348" i="1"/>
  <c r="W146" i="1"/>
  <c r="T146" i="1"/>
  <c r="T362" i="1"/>
  <c r="W362" i="1"/>
  <c r="W53" i="1"/>
  <c r="T53" i="1"/>
  <c r="S327" i="1"/>
  <c r="U327" i="1"/>
  <c r="V327" i="1" s="1"/>
  <c r="Q327" i="1"/>
  <c r="R327" i="1" s="1"/>
  <c r="U328" i="1"/>
  <c r="V328" i="1" s="1"/>
  <c r="S328" i="1"/>
  <c r="Q328" i="1"/>
  <c r="R328" i="1" s="1"/>
  <c r="W254" i="1"/>
  <c r="T254" i="1"/>
  <c r="U283" i="1"/>
  <c r="V283" i="1" s="1"/>
  <c r="S283" i="1"/>
  <c r="Q283" i="1"/>
  <c r="R283" i="1" s="1"/>
  <c r="U330" i="1"/>
  <c r="V330" i="1" s="1"/>
  <c r="Q330" i="1"/>
  <c r="R330" i="1" s="1"/>
  <c r="S330" i="1"/>
  <c r="T153" i="1"/>
  <c r="W153" i="1"/>
  <c r="U268" i="1"/>
  <c r="V268" i="1" s="1"/>
  <c r="S268" i="1"/>
  <c r="Q268" i="1"/>
  <c r="R268" i="1" s="1"/>
  <c r="U290" i="1"/>
  <c r="V290" i="1" s="1"/>
  <c r="S290" i="1"/>
  <c r="Q290" i="1"/>
  <c r="R290" i="1" s="1"/>
  <c r="T56" i="1"/>
  <c r="W56" i="1"/>
  <c r="B390" i="1"/>
  <c r="K388" i="1"/>
  <c r="B388" i="1" s="1"/>
  <c r="K368" i="1"/>
  <c r="M366" i="1"/>
  <c r="K366" i="1"/>
  <c r="K353" i="1"/>
  <c r="B350" i="1"/>
  <c r="B347" i="1"/>
  <c r="K337" i="1"/>
  <c r="K332" i="1"/>
  <c r="B299" i="1"/>
  <c r="M297" i="1"/>
  <c r="M295" i="1"/>
  <c r="M294" i="1"/>
  <c r="M293" i="1"/>
  <c r="K292" i="1"/>
  <c r="O291" i="1"/>
  <c r="P291" i="1" s="1"/>
  <c r="M291" i="1"/>
  <c r="N291" i="1" s="1"/>
  <c r="K291" i="1"/>
  <c r="K282" i="1"/>
  <c r="B282" i="1" s="1"/>
  <c r="B281" i="1"/>
  <c r="B280" i="1"/>
  <c r="K279" i="1"/>
  <c r="B279" i="1" s="1"/>
  <c r="B278" i="1"/>
  <c r="K277" i="1"/>
  <c r="B277" i="1" s="1"/>
  <c r="M248" i="1"/>
  <c r="N248" i="1" s="1"/>
  <c r="O247" i="1"/>
  <c r="P247" i="1" s="1"/>
  <c r="M222" i="1"/>
  <c r="N222" i="1" s="1"/>
  <c r="O182" i="1"/>
  <c r="M182" i="1"/>
  <c r="K182" i="1"/>
  <c r="B366" i="1" l="1"/>
  <c r="L291" i="1"/>
  <c r="B291" i="1"/>
  <c r="L368" i="1"/>
  <c r="B368" i="1"/>
  <c r="B332" i="1"/>
  <c r="L332" i="1"/>
  <c r="L337" i="1"/>
  <c r="B337" i="1"/>
  <c r="L292" i="1"/>
  <c r="B292" i="1"/>
  <c r="B182" i="1"/>
  <c r="L353" i="1"/>
  <c r="B353" i="1"/>
  <c r="Q291" i="1"/>
  <c r="R291" i="1" s="1"/>
  <c r="U291" i="1"/>
  <c r="V291" i="1" s="1"/>
  <c r="S291" i="1"/>
  <c r="Q299" i="1"/>
  <c r="R299" i="1" s="1"/>
  <c r="U299" i="1"/>
  <c r="V299" i="1" s="1"/>
  <c r="S299" i="1"/>
  <c r="U366" i="1"/>
  <c r="V366" i="1" s="1"/>
  <c r="S366" i="1"/>
  <c r="Q366" i="1"/>
  <c r="R366" i="1" s="1"/>
  <c r="S282" i="1"/>
  <c r="U282" i="1"/>
  <c r="V282" i="1" s="1"/>
  <c r="Q282" i="1"/>
  <c r="R282" i="1" s="1"/>
  <c r="W329" i="1"/>
  <c r="T329" i="1"/>
  <c r="Q368" i="1"/>
  <c r="R368" i="1" s="1"/>
  <c r="U368" i="1"/>
  <c r="V368" i="1" s="1"/>
  <c r="S368" i="1"/>
  <c r="W328" i="1"/>
  <c r="T328" i="1"/>
  <c r="W274" i="1"/>
  <c r="T274" i="1"/>
  <c r="T275" i="1"/>
  <c r="W275" i="1"/>
  <c r="Q353" i="1"/>
  <c r="R353" i="1" s="1"/>
  <c r="U353" i="1"/>
  <c r="V353" i="1" s="1"/>
  <c r="S353" i="1"/>
  <c r="W330" i="1"/>
  <c r="T330" i="1"/>
  <c r="U388" i="1"/>
  <c r="V388" i="1" s="1"/>
  <c r="S388" i="1"/>
  <c r="Q388" i="1"/>
  <c r="R388" i="1" s="1"/>
  <c r="U332" i="1"/>
  <c r="V332" i="1" s="1"/>
  <c r="S332" i="1"/>
  <c r="Q332" i="1"/>
  <c r="R332" i="1" s="1"/>
  <c r="W290" i="1"/>
  <c r="T290" i="1"/>
  <c r="U292" i="1"/>
  <c r="V292" i="1" s="1"/>
  <c r="S292" i="1"/>
  <c r="Q292" i="1"/>
  <c r="R292" i="1" s="1"/>
  <c r="U347" i="1"/>
  <c r="V347" i="1" s="1"/>
  <c r="S347" i="1"/>
  <c r="Q347" i="1"/>
  <c r="R347" i="1" s="1"/>
  <c r="T227" i="1"/>
  <c r="W227" i="1"/>
  <c r="U277" i="1"/>
  <c r="V277" i="1" s="1"/>
  <c r="S277" i="1"/>
  <c r="Q277" i="1"/>
  <c r="R277" i="1" s="1"/>
  <c r="Q279" i="1"/>
  <c r="R279" i="1" s="1"/>
  <c r="U279" i="1"/>
  <c r="V279" i="1" s="1"/>
  <c r="S279" i="1"/>
  <c r="W268" i="1"/>
  <c r="T268" i="1"/>
  <c r="T283" i="1"/>
  <c r="W283" i="1"/>
  <c r="U337" i="1"/>
  <c r="V337" i="1" s="1"/>
  <c r="S337" i="1"/>
  <c r="Q337" i="1"/>
  <c r="R337" i="1" s="1"/>
  <c r="U182" i="1"/>
  <c r="V182" i="1" s="1"/>
  <c r="S182" i="1"/>
  <c r="Q182" i="1"/>
  <c r="R182" i="1" s="1"/>
  <c r="S350" i="1"/>
  <c r="Q350" i="1"/>
  <c r="R350" i="1" s="1"/>
  <c r="U350" i="1"/>
  <c r="V350" i="1" s="1"/>
  <c r="U390" i="1"/>
  <c r="V390" i="1" s="1"/>
  <c r="S390" i="1"/>
  <c r="Q390" i="1"/>
  <c r="R390" i="1" s="1"/>
  <c r="U280" i="1"/>
  <c r="V280" i="1" s="1"/>
  <c r="S280" i="1"/>
  <c r="Q280" i="1"/>
  <c r="R280" i="1" s="1"/>
  <c r="U281" i="1"/>
  <c r="V281" i="1" s="1"/>
  <c r="S281" i="1"/>
  <c r="Q281" i="1"/>
  <c r="R281" i="1" s="1"/>
  <c r="W327" i="1"/>
  <c r="T327" i="1"/>
  <c r="K166" i="1"/>
  <c r="K147" i="1"/>
  <c r="K105" i="1"/>
  <c r="B105" i="1" l="1"/>
  <c r="L105" i="1"/>
  <c r="L166" i="1"/>
  <c r="B166" i="1"/>
  <c r="L147" i="1"/>
  <c r="B147" i="1"/>
  <c r="W277" i="1"/>
  <c r="T277" i="1"/>
  <c r="T292" i="1"/>
  <c r="W292" i="1"/>
  <c r="T388" i="1"/>
  <c r="W388" i="1"/>
  <c r="T280" i="1"/>
  <c r="W280" i="1"/>
  <c r="T366" i="1"/>
  <c r="W366" i="1"/>
  <c r="W299" i="1"/>
  <c r="T299" i="1"/>
  <c r="S147" i="1"/>
  <c r="Q147" i="1"/>
  <c r="R147" i="1" s="1"/>
  <c r="U147" i="1"/>
  <c r="V147" i="1" s="1"/>
  <c r="T279" i="1"/>
  <c r="W279" i="1"/>
  <c r="W353" i="1"/>
  <c r="T353" i="1"/>
  <c r="T291" i="1"/>
  <c r="W291" i="1"/>
  <c r="U166" i="1"/>
  <c r="V166" i="1" s="1"/>
  <c r="Q166" i="1"/>
  <c r="R166" i="1" s="1"/>
  <c r="S166" i="1"/>
  <c r="T347" i="1"/>
  <c r="W347" i="1"/>
  <c r="T332" i="1"/>
  <c r="W332" i="1"/>
  <c r="W282" i="1"/>
  <c r="T282" i="1"/>
  <c r="T182" i="1"/>
  <c r="W182" i="1"/>
  <c r="W390" i="1"/>
  <c r="T390" i="1"/>
  <c r="W281" i="1"/>
  <c r="T281" i="1"/>
  <c r="U105" i="1"/>
  <c r="V105" i="1" s="1"/>
  <c r="Q105" i="1"/>
  <c r="R105" i="1" s="1"/>
  <c r="S105" i="1"/>
  <c r="T350" i="1"/>
  <c r="W350" i="1"/>
  <c r="W337" i="1"/>
  <c r="T337" i="1"/>
  <c r="W368" i="1"/>
  <c r="T368" i="1"/>
  <c r="O387" i="1"/>
  <c r="O386" i="1"/>
  <c r="O385" i="1"/>
  <c r="M387" i="1"/>
  <c r="M386" i="1"/>
  <c r="M385" i="1"/>
  <c r="K387" i="1"/>
  <c r="K386" i="1"/>
  <c r="K385" i="1"/>
  <c r="O383" i="1"/>
  <c r="M383" i="1"/>
  <c r="K383" i="1"/>
  <c r="M200" i="1"/>
  <c r="K200" i="1"/>
  <c r="K199" i="1"/>
  <c r="B199" i="1" s="1"/>
  <c r="O361" i="1"/>
  <c r="M361" i="1"/>
  <c r="K361" i="1"/>
  <c r="B361" i="1" l="1"/>
  <c r="B200" i="1"/>
  <c r="B385" i="1"/>
  <c r="B387" i="1"/>
  <c r="B386" i="1"/>
  <c r="B383" i="1"/>
  <c r="U385" i="1"/>
  <c r="V385" i="1" s="1"/>
  <c r="S385" i="1"/>
  <c r="Q385" i="1"/>
  <c r="R385" i="1" s="1"/>
  <c r="U200" i="1"/>
  <c r="V200" i="1" s="1"/>
  <c r="S200" i="1"/>
  <c r="Q200" i="1"/>
  <c r="R200" i="1" s="1"/>
  <c r="U199" i="1"/>
  <c r="V199" i="1" s="1"/>
  <c r="S199" i="1"/>
  <c r="Q199" i="1"/>
  <c r="R199" i="1" s="1"/>
  <c r="S386" i="1"/>
  <c r="Q386" i="1"/>
  <c r="R386" i="1" s="1"/>
  <c r="U386" i="1"/>
  <c r="V386" i="1" s="1"/>
  <c r="U387" i="1"/>
  <c r="V387" i="1" s="1"/>
  <c r="S387" i="1"/>
  <c r="Q387" i="1"/>
  <c r="R387" i="1" s="1"/>
  <c r="T147" i="1"/>
  <c r="W147" i="1"/>
  <c r="U383" i="1"/>
  <c r="V383" i="1" s="1"/>
  <c r="S383" i="1"/>
  <c r="Q383" i="1"/>
  <c r="R383" i="1" s="1"/>
  <c r="T166" i="1"/>
  <c r="W166" i="1"/>
  <c r="U361" i="1"/>
  <c r="V361" i="1" s="1"/>
  <c r="S361" i="1"/>
  <c r="Q361" i="1"/>
  <c r="R361" i="1" s="1"/>
  <c r="W105" i="1"/>
  <c r="T105" i="1"/>
  <c r="K257" i="1"/>
  <c r="O181" i="1"/>
  <c r="M181" i="1"/>
  <c r="K181" i="1"/>
  <c r="B181" i="1" l="1"/>
  <c r="L244" i="1"/>
  <c r="W199" i="1"/>
  <c r="T199" i="1"/>
  <c r="T387" i="1"/>
  <c r="W387" i="1"/>
  <c r="T200" i="1"/>
  <c r="W200" i="1"/>
  <c r="W361" i="1"/>
  <c r="T361" i="1"/>
  <c r="W383" i="1"/>
  <c r="T383" i="1"/>
  <c r="W386" i="1"/>
  <c r="T386" i="1"/>
  <c r="W385" i="1"/>
  <c r="T385" i="1"/>
  <c r="U181" i="1"/>
  <c r="V181" i="1" s="1"/>
  <c r="S181" i="1"/>
  <c r="Q181" i="1"/>
  <c r="R181" i="1" s="1"/>
  <c r="L33" i="1" l="1"/>
  <c r="T181" i="1"/>
  <c r="W181" i="1"/>
  <c r="O129" i="1"/>
  <c r="O97" i="1"/>
  <c r="O305" i="1"/>
  <c r="M305" i="1"/>
  <c r="M78" i="1"/>
  <c r="M63" i="1"/>
  <c r="M213" i="1"/>
  <c r="N213" i="1" s="1"/>
  <c r="K213" i="1"/>
  <c r="M363" i="1"/>
  <c r="K363" i="1"/>
  <c r="O306" i="1"/>
  <c r="M306" i="1"/>
  <c r="K306" i="1"/>
  <c r="O304" i="1"/>
  <c r="M304" i="1"/>
  <c r="K304" i="1"/>
  <c r="O38" i="1"/>
  <c r="P38" i="1" s="1"/>
  <c r="K38" i="1"/>
  <c r="O36" i="1"/>
  <c r="P36" i="1" s="1"/>
  <c r="M36" i="1"/>
  <c r="N36" i="1" s="1"/>
  <c r="K36" i="1"/>
  <c r="O35" i="1"/>
  <c r="P35" i="1" s="1"/>
  <c r="M35" i="1"/>
  <c r="N35" i="1" s="1"/>
  <c r="K35" i="1"/>
  <c r="O198" i="1"/>
  <c r="M198" i="1"/>
  <c r="K198" i="1"/>
  <c r="O196" i="1"/>
  <c r="O195" i="1"/>
  <c r="M196" i="1"/>
  <c r="M195" i="1"/>
  <c r="K196" i="1"/>
  <c r="K195" i="1"/>
  <c r="O170" i="1"/>
  <c r="M170" i="1"/>
  <c r="K170" i="1"/>
  <c r="O122" i="1"/>
  <c r="P122" i="1" s="1"/>
  <c r="M122" i="1"/>
  <c r="N122" i="1" s="1"/>
  <c r="B305" i="1" l="1"/>
  <c r="B170" i="1"/>
  <c r="B306" i="1"/>
  <c r="B198" i="1"/>
  <c r="B363" i="1"/>
  <c r="L122" i="1"/>
  <c r="B122" i="1"/>
  <c r="B36" i="1"/>
  <c r="L36" i="1"/>
  <c r="B195" i="1"/>
  <c r="L38" i="1"/>
  <c r="B196" i="1"/>
  <c r="B35" i="1"/>
  <c r="L35" i="1"/>
  <c r="B304" i="1"/>
  <c r="L213" i="1"/>
  <c r="B213" i="1"/>
  <c r="U36" i="1"/>
  <c r="V36" i="1" s="1"/>
  <c r="Q36" i="1"/>
  <c r="R36" i="1" s="1"/>
  <c r="S36" i="1"/>
  <c r="U305" i="1"/>
  <c r="V305" i="1" s="1"/>
  <c r="S305" i="1"/>
  <c r="Q305" i="1"/>
  <c r="R305" i="1" s="1"/>
  <c r="S198" i="1"/>
  <c r="Q198" i="1"/>
  <c r="R198" i="1" s="1"/>
  <c r="U198" i="1"/>
  <c r="V198" i="1" s="1"/>
  <c r="U363" i="1"/>
  <c r="V363" i="1" s="1"/>
  <c r="S363" i="1"/>
  <c r="Q363" i="1"/>
  <c r="R363" i="1" s="1"/>
  <c r="U195" i="1"/>
  <c r="V195" i="1" s="1"/>
  <c r="S195" i="1"/>
  <c r="Q195" i="1"/>
  <c r="R195" i="1" s="1"/>
  <c r="U306" i="1"/>
  <c r="V306" i="1" s="1"/>
  <c r="S306" i="1"/>
  <c r="Q306" i="1"/>
  <c r="R306" i="1" s="1"/>
  <c r="S170" i="1"/>
  <c r="Q170" i="1"/>
  <c r="R170" i="1" s="1"/>
  <c r="U170" i="1"/>
  <c r="V170" i="1" s="1"/>
  <c r="S196" i="1"/>
  <c r="U196" i="1"/>
  <c r="V196" i="1" s="1"/>
  <c r="Q196" i="1"/>
  <c r="R196" i="1" s="1"/>
  <c r="U35" i="1"/>
  <c r="V35" i="1" s="1"/>
  <c r="S35" i="1"/>
  <c r="Q35" i="1"/>
  <c r="R35" i="1" s="1"/>
  <c r="S304" i="1"/>
  <c r="Q304" i="1"/>
  <c r="R304" i="1" s="1"/>
  <c r="U304" i="1"/>
  <c r="V304" i="1" s="1"/>
  <c r="U213" i="1"/>
  <c r="V213" i="1" s="1"/>
  <c r="S213" i="1"/>
  <c r="Q213" i="1"/>
  <c r="R213" i="1" s="1"/>
  <c r="U122" i="1"/>
  <c r="V122" i="1" s="1"/>
  <c r="S122" i="1"/>
  <c r="Q122" i="1"/>
  <c r="R122" i="1" s="1"/>
  <c r="M54" i="1"/>
  <c r="U396" i="1"/>
  <c r="S396" i="1"/>
  <c r="Q396" i="1"/>
  <c r="R396" i="1" s="1"/>
  <c r="U395" i="1"/>
  <c r="V395" i="1" s="1"/>
  <c r="S395" i="1"/>
  <c r="Q395" i="1"/>
  <c r="R395" i="1" s="1"/>
  <c r="U394" i="1"/>
  <c r="V394" i="1" s="1"/>
  <c r="S394" i="1"/>
  <c r="Q394" i="1"/>
  <c r="R394" i="1" s="1"/>
  <c r="U375" i="1"/>
  <c r="V375" i="1" s="1"/>
  <c r="S375" i="1"/>
  <c r="Q375" i="1"/>
  <c r="R375" i="1" s="1"/>
  <c r="U374" i="1"/>
  <c r="V374" i="1" s="1"/>
  <c r="S374" i="1"/>
  <c r="Q374" i="1"/>
  <c r="R374" i="1" s="1"/>
  <c r="U373" i="1"/>
  <c r="V373" i="1" s="1"/>
  <c r="S373" i="1"/>
  <c r="Q373" i="1"/>
  <c r="R373" i="1" s="1"/>
  <c r="U372" i="1"/>
  <c r="V372" i="1" s="1"/>
  <c r="S372" i="1"/>
  <c r="Q372" i="1"/>
  <c r="R372" i="1" s="1"/>
  <c r="U359" i="1"/>
  <c r="V359" i="1" s="1"/>
  <c r="S359" i="1"/>
  <c r="Q359" i="1"/>
  <c r="R359" i="1" s="1"/>
  <c r="U358" i="1"/>
  <c r="V358" i="1" s="1"/>
  <c r="S358" i="1"/>
  <c r="Q358" i="1"/>
  <c r="R358" i="1" s="1"/>
  <c r="U357" i="1"/>
  <c r="V357" i="1" s="1"/>
  <c r="S357" i="1"/>
  <c r="Q357" i="1"/>
  <c r="R357" i="1" s="1"/>
  <c r="U356" i="1"/>
  <c r="V356" i="1" s="1"/>
  <c r="S356" i="1"/>
  <c r="Q356" i="1"/>
  <c r="R356" i="1" s="1"/>
  <c r="U355" i="1"/>
  <c r="V355" i="1" s="1"/>
  <c r="S355" i="1"/>
  <c r="Q355" i="1"/>
  <c r="R355" i="1" s="1"/>
  <c r="U345" i="1"/>
  <c r="V345" i="1" s="1"/>
  <c r="S345" i="1"/>
  <c r="Q345" i="1"/>
  <c r="R345" i="1" s="1"/>
  <c r="U344" i="1"/>
  <c r="V344" i="1" s="1"/>
  <c r="S344" i="1"/>
  <c r="Q344" i="1"/>
  <c r="R344" i="1" s="1"/>
  <c r="U343" i="1"/>
  <c r="V343" i="1" s="1"/>
  <c r="S343" i="1"/>
  <c r="Q343" i="1"/>
  <c r="U325" i="1"/>
  <c r="V325" i="1" s="1"/>
  <c r="S325" i="1"/>
  <c r="Q325" i="1"/>
  <c r="R325" i="1" s="1"/>
  <c r="U324" i="1"/>
  <c r="V324" i="1" s="1"/>
  <c r="S324" i="1"/>
  <c r="Q324" i="1"/>
  <c r="U323" i="1"/>
  <c r="V323" i="1" s="1"/>
  <c r="S323" i="1"/>
  <c r="Q323" i="1"/>
  <c r="R323" i="1" s="1"/>
  <c r="U311" i="1"/>
  <c r="S311" i="1"/>
  <c r="Q311" i="1"/>
  <c r="R311" i="1" s="1"/>
  <c r="U310" i="1"/>
  <c r="S310" i="1"/>
  <c r="Q310" i="1"/>
  <c r="R310" i="1" s="1"/>
  <c r="U309" i="1"/>
  <c r="V309" i="1" s="1"/>
  <c r="S309" i="1"/>
  <c r="Q309" i="1"/>
  <c r="R309" i="1" s="1"/>
  <c r="U289" i="1"/>
  <c r="V289" i="1" s="1"/>
  <c r="S289" i="1"/>
  <c r="Q289" i="1"/>
  <c r="R289" i="1" s="1"/>
  <c r="U287" i="1"/>
  <c r="V287" i="1" s="1"/>
  <c r="S287" i="1"/>
  <c r="Q287" i="1"/>
  <c r="R287" i="1" s="1"/>
  <c r="U273" i="1"/>
  <c r="V273" i="1" s="1"/>
  <c r="S273" i="1"/>
  <c r="Q273" i="1"/>
  <c r="R273" i="1" s="1"/>
  <c r="U272" i="1"/>
  <c r="S272" i="1"/>
  <c r="Q272" i="1"/>
  <c r="R272" i="1" s="1"/>
  <c r="U271" i="1"/>
  <c r="V271" i="1" s="1"/>
  <c r="S271" i="1"/>
  <c r="Q271" i="1"/>
  <c r="R271" i="1" s="1"/>
  <c r="U266" i="1"/>
  <c r="S266" i="1"/>
  <c r="Q266" i="1"/>
  <c r="R266" i="1" s="1"/>
  <c r="U264" i="1"/>
  <c r="V264" i="1" s="1"/>
  <c r="S264" i="1"/>
  <c r="Q264" i="1"/>
  <c r="R264" i="1" s="1"/>
  <c r="U252" i="1"/>
  <c r="V252" i="1" s="1"/>
  <c r="S252" i="1"/>
  <c r="Q252" i="1"/>
  <c r="R252" i="1" s="1"/>
  <c r="U250" i="1"/>
  <c r="V250" i="1" s="1"/>
  <c r="S250" i="1"/>
  <c r="Q250" i="1"/>
  <c r="R250" i="1" s="1"/>
  <c r="U249" i="1"/>
  <c r="S249" i="1"/>
  <c r="Q249" i="1"/>
  <c r="R249" i="1" s="1"/>
  <c r="U240" i="1"/>
  <c r="V240" i="1" s="1"/>
  <c r="S240" i="1"/>
  <c r="Q240" i="1"/>
  <c r="R240" i="1" s="1"/>
  <c r="U239" i="1"/>
  <c r="V239" i="1" s="1"/>
  <c r="S239" i="1"/>
  <c r="Q239" i="1"/>
  <c r="R239" i="1" s="1"/>
  <c r="U237" i="1"/>
  <c r="V237" i="1" s="1"/>
  <c r="F32" i="13" s="1"/>
  <c r="S237" i="1"/>
  <c r="Q237" i="1"/>
  <c r="R237" i="1" s="1"/>
  <c r="C32" i="13" s="1"/>
  <c r="U228" i="1"/>
  <c r="V228" i="1" s="1"/>
  <c r="S228" i="1"/>
  <c r="Q228" i="1"/>
  <c r="U221" i="1"/>
  <c r="S221" i="1"/>
  <c r="Q221" i="1"/>
  <c r="R221" i="1" s="1"/>
  <c r="U220" i="1"/>
  <c r="V220" i="1" s="1"/>
  <c r="S220" i="1"/>
  <c r="Q220" i="1"/>
  <c r="R220" i="1" s="1"/>
  <c r="U219" i="1"/>
  <c r="V219" i="1" s="1"/>
  <c r="S219" i="1"/>
  <c r="Q219" i="1"/>
  <c r="R219" i="1" s="1"/>
  <c r="U206" i="1"/>
  <c r="S206" i="1"/>
  <c r="Q206" i="1"/>
  <c r="R206" i="1" s="1"/>
  <c r="U205" i="1"/>
  <c r="V205" i="1" s="1"/>
  <c r="S205" i="1"/>
  <c r="Q205" i="1"/>
  <c r="R205" i="1" s="1"/>
  <c r="U189" i="1"/>
  <c r="V189" i="1" s="1"/>
  <c r="S189" i="1"/>
  <c r="Q189" i="1"/>
  <c r="R189" i="1" s="1"/>
  <c r="U188" i="1"/>
  <c r="V188" i="1" s="1"/>
  <c r="S188" i="1"/>
  <c r="Q188" i="1"/>
  <c r="R188" i="1" s="1"/>
  <c r="U179" i="1"/>
  <c r="V179" i="1" s="1"/>
  <c r="S179" i="1"/>
  <c r="Q179" i="1"/>
  <c r="R179" i="1" s="1"/>
  <c r="U178" i="1"/>
  <c r="V178" i="1" s="1"/>
  <c r="S178" i="1"/>
  <c r="Q178" i="1"/>
  <c r="R178" i="1" s="1"/>
  <c r="U172" i="1"/>
  <c r="V172" i="1" s="1"/>
  <c r="S172" i="1"/>
  <c r="Q172" i="1"/>
  <c r="R172" i="1" s="1"/>
  <c r="U169" i="1"/>
  <c r="S169" i="1"/>
  <c r="Q169" i="1"/>
  <c r="R169" i="1" s="1"/>
  <c r="U159" i="1"/>
  <c r="V159" i="1" s="1"/>
  <c r="F21" i="13" s="1"/>
  <c r="S159" i="1"/>
  <c r="Q159" i="1"/>
  <c r="R159" i="1" s="1"/>
  <c r="C21" i="13" s="1"/>
  <c r="U150" i="1"/>
  <c r="V150" i="1" s="1"/>
  <c r="S150" i="1"/>
  <c r="Q150" i="1"/>
  <c r="R150" i="1" s="1"/>
  <c r="U141" i="1"/>
  <c r="V141" i="1" s="1"/>
  <c r="F18" i="13" s="1"/>
  <c r="S141" i="1"/>
  <c r="Q141" i="1"/>
  <c r="R141" i="1" s="1"/>
  <c r="C18" i="13" s="1"/>
  <c r="U134" i="1"/>
  <c r="V134" i="1" s="1"/>
  <c r="S134" i="1"/>
  <c r="Q134" i="1"/>
  <c r="R134" i="1" s="1"/>
  <c r="U133" i="1"/>
  <c r="V133" i="1" s="1"/>
  <c r="S133" i="1"/>
  <c r="Q133" i="1"/>
  <c r="R133" i="1" s="1"/>
  <c r="U107" i="1"/>
  <c r="V107" i="1" s="1"/>
  <c r="S107" i="1"/>
  <c r="Q107" i="1"/>
  <c r="R107" i="1" s="1"/>
  <c r="U94" i="1"/>
  <c r="S94" i="1"/>
  <c r="Q94" i="1"/>
  <c r="R94" i="1" s="1"/>
  <c r="U93" i="1"/>
  <c r="V93" i="1" s="1"/>
  <c r="S93" i="1"/>
  <c r="Q93" i="1"/>
  <c r="R93" i="1" s="1"/>
  <c r="U92" i="1"/>
  <c r="V92" i="1" s="1"/>
  <c r="S92" i="1"/>
  <c r="Q92" i="1"/>
  <c r="R92" i="1" s="1"/>
  <c r="U89" i="1"/>
  <c r="V89" i="1" s="1"/>
  <c r="S89" i="1"/>
  <c r="Q89" i="1"/>
  <c r="R89" i="1" s="1"/>
  <c r="U88" i="1"/>
  <c r="V88" i="1" s="1"/>
  <c r="S88" i="1"/>
  <c r="Q88" i="1"/>
  <c r="R88" i="1" s="1"/>
  <c r="U16" i="1"/>
  <c r="V16" i="1" s="1"/>
  <c r="S16" i="1"/>
  <c r="Q16" i="1"/>
  <c r="R16" i="1" s="1"/>
  <c r="U62" i="1"/>
  <c r="V62" i="1" s="1"/>
  <c r="S62" i="1"/>
  <c r="Q62" i="1"/>
  <c r="R62" i="1" s="1"/>
  <c r="U31" i="1"/>
  <c r="V31" i="1" s="1"/>
  <c r="S31" i="1"/>
  <c r="Q31" i="1"/>
  <c r="R31" i="1" s="1"/>
  <c r="U22" i="1"/>
  <c r="V22" i="1" s="1"/>
  <c r="S22" i="1"/>
  <c r="R22" i="1"/>
  <c r="U15" i="1"/>
  <c r="S15" i="1"/>
  <c r="Q15" i="1"/>
  <c r="R15" i="1" s="1"/>
  <c r="U11" i="1"/>
  <c r="V11" i="1" s="1"/>
  <c r="S11" i="1"/>
  <c r="Q11" i="1"/>
  <c r="U10" i="1"/>
  <c r="V10" i="1" s="1"/>
  <c r="S10" i="1"/>
  <c r="Q10" i="1"/>
  <c r="R10" i="1" s="1"/>
  <c r="U9" i="1"/>
  <c r="V9" i="1" s="1"/>
  <c r="S9" i="1"/>
  <c r="Q9" i="1"/>
  <c r="R9" i="1" s="1"/>
  <c r="U8" i="1"/>
  <c r="S8" i="1"/>
  <c r="Q8" i="1"/>
  <c r="R8" i="1" s="1"/>
  <c r="U7" i="1"/>
  <c r="V7" i="1" s="1"/>
  <c r="S7" i="1"/>
  <c r="Q7" i="1"/>
  <c r="R7" i="1" s="1"/>
  <c r="U6" i="1"/>
  <c r="V6" i="1" s="1"/>
  <c r="S6" i="1"/>
  <c r="Q6" i="1"/>
  <c r="R6" i="1" s="1"/>
  <c r="U5" i="1"/>
  <c r="V5" i="1" s="1"/>
  <c r="S5" i="1"/>
  <c r="Q5" i="1"/>
  <c r="R5" i="1" s="1"/>
  <c r="U4" i="1"/>
  <c r="V4" i="1" s="1"/>
  <c r="S4" i="1"/>
  <c r="Q4" i="1"/>
  <c r="R4" i="1" s="1"/>
  <c r="F13" i="13" l="1"/>
  <c r="C4" i="13"/>
  <c r="D4" i="13" s="1"/>
  <c r="E4" i="13" s="1"/>
  <c r="C13" i="13"/>
  <c r="D13" i="13" s="1"/>
  <c r="C34" i="13"/>
  <c r="D34" i="13" s="1"/>
  <c r="E34" i="13" s="1"/>
  <c r="G21" i="13"/>
  <c r="H21" i="13" s="1"/>
  <c r="D32" i="13"/>
  <c r="E32" i="13" s="1"/>
  <c r="D21" i="13"/>
  <c r="E21" i="13" s="1"/>
  <c r="D18" i="13"/>
  <c r="E18" i="13" s="1"/>
  <c r="G18" i="13"/>
  <c r="H18" i="13" s="1"/>
  <c r="C26" i="13"/>
  <c r="C24" i="13"/>
  <c r="G32" i="13"/>
  <c r="H32" i="13" s="1"/>
  <c r="F24" i="13"/>
  <c r="F34" i="13"/>
  <c r="F26" i="13"/>
  <c r="T304" i="1"/>
  <c r="W304" i="1"/>
  <c r="W198" i="1"/>
  <c r="T198" i="1"/>
  <c r="W122" i="1"/>
  <c r="T122" i="1"/>
  <c r="T195" i="1"/>
  <c r="W195" i="1"/>
  <c r="W35" i="1"/>
  <c r="T35" i="1"/>
  <c r="W305" i="1"/>
  <c r="T305" i="1"/>
  <c r="W213" i="1"/>
  <c r="T213" i="1"/>
  <c r="W170" i="1"/>
  <c r="T170" i="1"/>
  <c r="W363" i="1"/>
  <c r="T363" i="1"/>
  <c r="W36" i="1"/>
  <c r="T36" i="1"/>
  <c r="T196" i="1"/>
  <c r="W196" i="1"/>
  <c r="T306" i="1"/>
  <c r="W306" i="1"/>
  <c r="T343" i="1"/>
  <c r="T310" i="1"/>
  <c r="W133" i="1"/>
  <c r="W372" i="1"/>
  <c r="T395" i="1"/>
  <c r="T206" i="1"/>
  <c r="T220" i="1"/>
  <c r="T221" i="1"/>
  <c r="T272" i="1"/>
  <c r="T289" i="1"/>
  <c r="W239" i="1"/>
  <c r="W396" i="1"/>
  <c r="T88" i="1"/>
  <c r="W94" i="1"/>
  <c r="T189" i="1"/>
  <c r="T252" i="1"/>
  <c r="T356" i="1"/>
  <c r="T250" i="1"/>
  <c r="W252" i="1"/>
  <c r="T172" i="1"/>
  <c r="T159" i="1"/>
  <c r="W272" i="1"/>
  <c r="T359" i="1"/>
  <c r="W89" i="1"/>
  <c r="T311" i="1"/>
  <c r="W375" i="1"/>
  <c r="W150" i="1"/>
  <c r="W358" i="1"/>
  <c r="T94" i="1"/>
  <c r="T205" i="1"/>
  <c r="T323" i="1"/>
  <c r="W289" i="1"/>
  <c r="R343" i="1"/>
  <c r="W356" i="1"/>
  <c r="T249" i="1"/>
  <c r="T266" i="1"/>
  <c r="T16" i="1"/>
  <c r="T169" i="1"/>
  <c r="W219" i="1"/>
  <c r="W221" i="1"/>
  <c r="W287" i="1"/>
  <c r="W355" i="1"/>
  <c r="W93" i="1"/>
  <c r="W237" i="1"/>
  <c r="W374" i="1"/>
  <c r="W10" i="1"/>
  <c r="W134" i="1"/>
  <c r="W178" i="1"/>
  <c r="W188" i="1"/>
  <c r="W325" i="1"/>
  <c r="W395" i="1"/>
  <c r="W107" i="1"/>
  <c r="W228" i="1"/>
  <c r="W264" i="1"/>
  <c r="W266" i="1"/>
  <c r="W309" i="1"/>
  <c r="W324" i="1"/>
  <c r="T374" i="1"/>
  <c r="T93" i="1"/>
  <c r="T240" i="1"/>
  <c r="W310" i="1"/>
  <c r="W16" i="1"/>
  <c r="T179" i="1"/>
  <c r="W206" i="1"/>
  <c r="T271" i="1"/>
  <c r="T273" i="1"/>
  <c r="T344" i="1"/>
  <c r="T373" i="1"/>
  <c r="W172" i="1"/>
  <c r="W240" i="1"/>
  <c r="W249" i="1"/>
  <c r="T357" i="1"/>
  <c r="T9" i="1"/>
  <c r="W4" i="1"/>
  <c r="W88" i="1"/>
  <c r="T239" i="1"/>
  <c r="W311" i="1"/>
  <c r="W323" i="1"/>
  <c r="W394" i="1"/>
  <c r="T396" i="1"/>
  <c r="W92" i="1"/>
  <c r="W141" i="1"/>
  <c r="W169" i="1"/>
  <c r="T228" i="1"/>
  <c r="T324" i="1"/>
  <c r="W344" i="1"/>
  <c r="W345" i="1"/>
  <c r="W357" i="1"/>
  <c r="T394" i="1"/>
  <c r="V396" i="1"/>
  <c r="W373" i="1"/>
  <c r="T375" i="1"/>
  <c r="T372" i="1"/>
  <c r="T358" i="1"/>
  <c r="W359" i="1"/>
  <c r="T355" i="1"/>
  <c r="W343" i="1"/>
  <c r="T345" i="1"/>
  <c r="R324" i="1"/>
  <c r="T325" i="1"/>
  <c r="V311" i="1"/>
  <c r="T309" i="1"/>
  <c r="V310" i="1"/>
  <c r="T287" i="1"/>
  <c r="V272" i="1"/>
  <c r="W273" i="1"/>
  <c r="W271" i="1"/>
  <c r="T264" i="1"/>
  <c r="V266" i="1"/>
  <c r="W250" i="1"/>
  <c r="V249" i="1"/>
  <c r="T237" i="1"/>
  <c r="R228" i="1"/>
  <c r="T219" i="1"/>
  <c r="V221" i="1"/>
  <c r="W220" i="1"/>
  <c r="V206" i="1"/>
  <c r="W205" i="1"/>
  <c r="T188" i="1"/>
  <c r="W189" i="1"/>
  <c r="T178" i="1"/>
  <c r="W179" i="1"/>
  <c r="V169" i="1"/>
  <c r="W159" i="1"/>
  <c r="T150" i="1"/>
  <c r="T141" i="1"/>
  <c r="T134" i="1"/>
  <c r="T133" i="1"/>
  <c r="T107" i="1"/>
  <c r="T92" i="1"/>
  <c r="V94" i="1"/>
  <c r="T89" i="1"/>
  <c r="W22" i="1"/>
  <c r="T7" i="1"/>
  <c r="W31" i="1"/>
  <c r="W62" i="1"/>
  <c r="T15" i="1"/>
  <c r="T5" i="1"/>
  <c r="T8" i="1"/>
  <c r="W15" i="1"/>
  <c r="W11" i="1"/>
  <c r="T6" i="1"/>
  <c r="W8" i="1"/>
  <c r="T10" i="1"/>
  <c r="T11" i="1"/>
  <c r="T62" i="1"/>
  <c r="T31" i="1"/>
  <c r="T22" i="1"/>
  <c r="V15" i="1"/>
  <c r="V8" i="1"/>
  <c r="W9" i="1"/>
  <c r="R11" i="1"/>
  <c r="T4" i="1"/>
  <c r="W7" i="1"/>
  <c r="W6" i="1"/>
  <c r="W5" i="1"/>
  <c r="P351" i="1"/>
  <c r="P349" i="1"/>
  <c r="P348" i="1"/>
  <c r="P330" i="1"/>
  <c r="P329" i="1"/>
  <c r="P328" i="1"/>
  <c r="P327" i="1"/>
  <c r="P307" i="1"/>
  <c r="P305" i="1"/>
  <c r="P304" i="1"/>
  <c r="P283" i="1"/>
  <c r="P268" i="1"/>
  <c r="P256" i="1"/>
  <c r="P255" i="1"/>
  <c r="P254" i="1"/>
  <c r="P253" i="1"/>
  <c r="P196" i="1"/>
  <c r="P183" i="1"/>
  <c r="P156" i="1"/>
  <c r="P146" i="1"/>
  <c r="N351" i="1"/>
  <c r="N349" i="1"/>
  <c r="N348" i="1"/>
  <c r="N330" i="1"/>
  <c r="N329" i="1"/>
  <c r="N328" i="1"/>
  <c r="N327" i="1"/>
  <c r="N307" i="1"/>
  <c r="N305" i="1"/>
  <c r="N304" i="1"/>
  <c r="N294" i="1"/>
  <c r="N283" i="1"/>
  <c r="N256" i="1"/>
  <c r="N255" i="1"/>
  <c r="N254" i="1"/>
  <c r="N253" i="1"/>
  <c r="N183" i="1"/>
  <c r="N156" i="1"/>
  <c r="N146" i="1"/>
  <c r="M27" i="1"/>
  <c r="N27" i="1" s="1"/>
  <c r="N23" i="1"/>
  <c r="L4" i="1"/>
  <c r="L363" i="1"/>
  <c r="L362" i="1"/>
  <c r="L351" i="1"/>
  <c r="L349" i="1"/>
  <c r="L348" i="1"/>
  <c r="L330" i="1"/>
  <c r="L329" i="1"/>
  <c r="L328" i="1"/>
  <c r="L327" i="1"/>
  <c r="L307" i="1"/>
  <c r="L305" i="1"/>
  <c r="L304" i="1"/>
  <c r="L283" i="1"/>
  <c r="L268" i="1"/>
  <c r="L256" i="1"/>
  <c r="L255" i="1"/>
  <c r="L254" i="1"/>
  <c r="L253" i="1"/>
  <c r="L183" i="1"/>
  <c r="L156" i="1"/>
  <c r="L146" i="1"/>
  <c r="E13" i="13" l="1"/>
  <c r="G26" i="13"/>
  <c r="H26" i="13" s="1"/>
  <c r="G13" i="13"/>
  <c r="H13" i="13" s="1"/>
  <c r="G34" i="13"/>
  <c r="H34" i="13" s="1"/>
  <c r="D26" i="13"/>
  <c r="E26" i="13" s="1"/>
  <c r="G24" i="13"/>
  <c r="H24" i="13" s="1"/>
  <c r="D24" i="13"/>
  <c r="E24" i="13" s="1"/>
  <c r="F4" i="13"/>
  <c r="O32" i="1"/>
  <c r="P32" i="1" s="1"/>
  <c r="M32" i="1"/>
  <c r="N32" i="1" s="1"/>
  <c r="O20" i="1"/>
  <c r="P20" i="1" s="1"/>
  <c r="O19" i="1"/>
  <c r="P19" i="1" s="1"/>
  <c r="M20" i="1"/>
  <c r="N20" i="1" s="1"/>
  <c r="M19" i="1"/>
  <c r="N19" i="1" s="1"/>
  <c r="P367" i="1"/>
  <c r="N367" i="1"/>
  <c r="K367" i="1"/>
  <c r="B367" i="1" s="1"/>
  <c r="P334" i="1"/>
  <c r="N334" i="1"/>
  <c r="K334" i="1"/>
  <c r="B334" i="1" s="1"/>
  <c r="P326" i="1"/>
  <c r="N326" i="1"/>
  <c r="K326" i="1"/>
  <c r="B326" i="1" s="1"/>
  <c r="P261" i="1"/>
  <c r="M261" i="1"/>
  <c r="B261" i="1" s="1"/>
  <c r="P215" i="1"/>
  <c r="M215" i="1"/>
  <c r="N215" i="1" s="1"/>
  <c r="K191" i="1"/>
  <c r="B191" i="1" s="1"/>
  <c r="P155" i="1"/>
  <c r="N155" i="1"/>
  <c r="K155" i="1"/>
  <c r="B155" i="1" s="1"/>
  <c r="P104" i="1"/>
  <c r="N104" i="1"/>
  <c r="K104" i="1"/>
  <c r="B104" i="1" s="1"/>
  <c r="O99" i="1"/>
  <c r="P99" i="1" s="1"/>
  <c r="N99" i="1"/>
  <c r="K99" i="1"/>
  <c r="P56" i="1"/>
  <c r="N56" i="1"/>
  <c r="P55" i="1"/>
  <c r="N55" i="1"/>
  <c r="K55" i="1"/>
  <c r="B55" i="1" s="1"/>
  <c r="G4" i="13" l="1"/>
  <c r="H4" i="13" s="1"/>
  <c r="B99" i="1"/>
  <c r="B215" i="1"/>
  <c r="L215" i="1"/>
  <c r="S99" i="1"/>
  <c r="Q99" i="1"/>
  <c r="R99" i="1" s="1"/>
  <c r="U99" i="1"/>
  <c r="V99" i="1" s="1"/>
  <c r="U155" i="1"/>
  <c r="V155" i="1" s="1"/>
  <c r="S155" i="1"/>
  <c r="Q155" i="1"/>
  <c r="R155" i="1" s="1"/>
  <c r="U215" i="1"/>
  <c r="V215" i="1" s="1"/>
  <c r="S215" i="1"/>
  <c r="Q215" i="1"/>
  <c r="R215" i="1" s="1"/>
  <c r="U334" i="1"/>
  <c r="V334" i="1" s="1"/>
  <c r="S334" i="1"/>
  <c r="Q334" i="1"/>
  <c r="R334" i="1" s="1"/>
  <c r="U104" i="1"/>
  <c r="V104" i="1" s="1"/>
  <c r="S104" i="1"/>
  <c r="Q104" i="1"/>
  <c r="R104" i="1" s="1"/>
  <c r="U326" i="1"/>
  <c r="V326" i="1" s="1"/>
  <c r="S326" i="1"/>
  <c r="Q326" i="1"/>
  <c r="R326" i="1" s="1"/>
  <c r="Q191" i="1"/>
  <c r="R191" i="1" s="1"/>
  <c r="U191" i="1"/>
  <c r="V191" i="1" s="1"/>
  <c r="S191" i="1"/>
  <c r="U55" i="1"/>
  <c r="V55" i="1" s="1"/>
  <c r="S55" i="1"/>
  <c r="Q55" i="1"/>
  <c r="R55" i="1" s="1"/>
  <c r="N261" i="1"/>
  <c r="S261" i="1"/>
  <c r="Q261" i="1"/>
  <c r="R261" i="1" s="1"/>
  <c r="U261" i="1"/>
  <c r="V261" i="1" s="1"/>
  <c r="U367" i="1"/>
  <c r="V367" i="1" s="1"/>
  <c r="S367" i="1"/>
  <c r="Q367" i="1"/>
  <c r="R367" i="1" s="1"/>
  <c r="L104" i="1"/>
  <c r="L334" i="1"/>
  <c r="L56" i="1"/>
  <c r="L261" i="1"/>
  <c r="L155" i="1"/>
  <c r="L99" i="1"/>
  <c r="L326" i="1"/>
  <c r="L367" i="1"/>
  <c r="L55" i="1"/>
  <c r="L191" i="1"/>
  <c r="B352" i="1"/>
  <c r="K336" i="1"/>
  <c r="B336" i="1" s="1"/>
  <c r="K335" i="1"/>
  <c r="B335" i="1" s="1"/>
  <c r="K333" i="1"/>
  <c r="B333" i="1" s="1"/>
  <c r="P364" i="1"/>
  <c r="N364" i="1"/>
  <c r="K267" i="1"/>
  <c r="O263" i="1"/>
  <c r="P263" i="1" s="1"/>
  <c r="M263" i="1"/>
  <c r="N263" i="1" s="1"/>
  <c r="K263" i="1"/>
  <c r="P262" i="1"/>
  <c r="N262" i="1"/>
  <c r="P260" i="1"/>
  <c r="N260" i="1"/>
  <c r="K260" i="1"/>
  <c r="B260" i="1" s="1"/>
  <c r="O259" i="1"/>
  <c r="P259" i="1" s="1"/>
  <c r="M259" i="1"/>
  <c r="N259" i="1" s="1"/>
  <c r="K259" i="1"/>
  <c r="O258" i="1"/>
  <c r="P258" i="1" s="1"/>
  <c r="M258" i="1"/>
  <c r="N258" i="1" s="1"/>
  <c r="K258" i="1"/>
  <c r="O257" i="1"/>
  <c r="P257" i="1" s="1"/>
  <c r="M257" i="1"/>
  <c r="K247" i="1"/>
  <c r="K248" i="1"/>
  <c r="O245" i="1"/>
  <c r="P245" i="1" s="1"/>
  <c r="M245" i="1"/>
  <c r="P244" i="1"/>
  <c r="O224" i="1"/>
  <c r="P224" i="1" s="1"/>
  <c r="M224" i="1"/>
  <c r="N224" i="1" s="1"/>
  <c r="K224" i="1"/>
  <c r="O210" i="1"/>
  <c r="P210" i="1" s="1"/>
  <c r="M210" i="1"/>
  <c r="N210" i="1" s="1"/>
  <c r="O212" i="1"/>
  <c r="P212" i="1" s="1"/>
  <c r="M212" i="1"/>
  <c r="N212" i="1" s="1"/>
  <c r="P209" i="1"/>
  <c r="N209" i="1"/>
  <c r="K212" i="1"/>
  <c r="K210" i="1"/>
  <c r="K209" i="1"/>
  <c r="O157" i="1"/>
  <c r="P157" i="1" s="1"/>
  <c r="M157" i="1"/>
  <c r="N157" i="1" s="1"/>
  <c r="K157" i="1"/>
  <c r="Q157" i="1" s="1"/>
  <c r="P33" i="1"/>
  <c r="B258" i="1" l="1"/>
  <c r="B157" i="1"/>
  <c r="B259" i="1"/>
  <c r="B263" i="1"/>
  <c r="B245" i="1"/>
  <c r="N245" i="1"/>
  <c r="L248" i="1"/>
  <c r="B248" i="1"/>
  <c r="B209" i="1"/>
  <c r="L209" i="1"/>
  <c r="L210" i="1"/>
  <c r="B210" i="1"/>
  <c r="B224" i="1"/>
  <c r="L224" i="1"/>
  <c r="L247" i="1"/>
  <c r="N244" i="1"/>
  <c r="B244" i="1"/>
  <c r="L212" i="1"/>
  <c r="B212" i="1"/>
  <c r="B257" i="1"/>
  <c r="L267" i="1"/>
  <c r="B267" i="1"/>
  <c r="U333" i="1"/>
  <c r="V333" i="1" s="1"/>
  <c r="S333" i="1"/>
  <c r="Q333" i="1"/>
  <c r="R333" i="1" s="1"/>
  <c r="W55" i="1"/>
  <c r="T55" i="1"/>
  <c r="T215" i="1"/>
  <c r="W215" i="1"/>
  <c r="W104" i="1"/>
  <c r="T104" i="1"/>
  <c r="U259" i="1"/>
  <c r="V259" i="1" s="1"/>
  <c r="Q259" i="1"/>
  <c r="R259" i="1" s="1"/>
  <c r="S259" i="1"/>
  <c r="T191" i="1"/>
  <c r="W191" i="1"/>
  <c r="T155" i="1"/>
  <c r="W155" i="1"/>
  <c r="T367" i="1"/>
  <c r="W367" i="1"/>
  <c r="U245" i="1"/>
  <c r="V245" i="1" s="1"/>
  <c r="S245" i="1"/>
  <c r="Q245" i="1"/>
  <c r="R245" i="1" s="1"/>
  <c r="U209" i="1"/>
  <c r="V209" i="1" s="1"/>
  <c r="Q209" i="1"/>
  <c r="R209" i="1" s="1"/>
  <c r="S209" i="1"/>
  <c r="S336" i="1"/>
  <c r="Q336" i="1"/>
  <c r="R336" i="1" s="1"/>
  <c r="U336" i="1"/>
  <c r="V336" i="1" s="1"/>
  <c r="U267" i="1"/>
  <c r="V267" i="1" s="1"/>
  <c r="S267" i="1"/>
  <c r="Q267" i="1"/>
  <c r="R267" i="1" s="1"/>
  <c r="W334" i="1"/>
  <c r="T334" i="1"/>
  <c r="U248" i="1"/>
  <c r="V248" i="1" s="1"/>
  <c r="S248" i="1"/>
  <c r="Q248" i="1"/>
  <c r="R248" i="1" s="1"/>
  <c r="U335" i="1"/>
  <c r="V335" i="1" s="1"/>
  <c r="S335" i="1"/>
  <c r="Q335" i="1"/>
  <c r="R335" i="1" s="1"/>
  <c r="Q224" i="1"/>
  <c r="R224" i="1" s="1"/>
  <c r="U224" i="1"/>
  <c r="V224" i="1" s="1"/>
  <c r="S224" i="1"/>
  <c r="W261" i="1"/>
  <c r="T261" i="1"/>
  <c r="U263" i="1"/>
  <c r="V263" i="1" s="1"/>
  <c r="S263" i="1"/>
  <c r="Q263" i="1"/>
  <c r="R263" i="1" s="1"/>
  <c r="U210" i="1"/>
  <c r="V210" i="1" s="1"/>
  <c r="S210" i="1"/>
  <c r="Q210" i="1"/>
  <c r="R210" i="1" s="1"/>
  <c r="U212" i="1"/>
  <c r="V212" i="1" s="1"/>
  <c r="Q212" i="1"/>
  <c r="R212" i="1" s="1"/>
  <c r="S212" i="1"/>
  <c r="N257" i="1"/>
  <c r="U257" i="1"/>
  <c r="V257" i="1" s="1"/>
  <c r="S257" i="1"/>
  <c r="Q257" i="1"/>
  <c r="R257" i="1" s="1"/>
  <c r="U260" i="1"/>
  <c r="V260" i="1" s="1"/>
  <c r="S260" i="1"/>
  <c r="Q260" i="1"/>
  <c r="R260" i="1" s="1"/>
  <c r="U352" i="1"/>
  <c r="V352" i="1" s="1"/>
  <c r="S352" i="1"/>
  <c r="Q352" i="1"/>
  <c r="R352" i="1" s="1"/>
  <c r="Q244" i="1"/>
  <c r="R244" i="1" s="1"/>
  <c r="S244" i="1"/>
  <c r="U244" i="1"/>
  <c r="V244" i="1" s="1"/>
  <c r="U258" i="1"/>
  <c r="V258" i="1" s="1"/>
  <c r="S258" i="1"/>
  <c r="Q258" i="1"/>
  <c r="R258" i="1" s="1"/>
  <c r="U157" i="1"/>
  <c r="V157" i="1" s="1"/>
  <c r="S157" i="1"/>
  <c r="R157" i="1"/>
  <c r="Q262" i="1"/>
  <c r="R262" i="1" s="1"/>
  <c r="U262" i="1"/>
  <c r="V262" i="1" s="1"/>
  <c r="S262" i="1"/>
  <c r="W326" i="1"/>
  <c r="T326" i="1"/>
  <c r="W99" i="1"/>
  <c r="T99" i="1"/>
  <c r="L260" i="1"/>
  <c r="L333" i="1"/>
  <c r="L335" i="1"/>
  <c r="L263" i="1"/>
  <c r="L376" i="1"/>
  <c r="L257" i="1"/>
  <c r="L157" i="1"/>
  <c r="L258" i="1"/>
  <c r="L364" i="1"/>
  <c r="L336" i="1"/>
  <c r="L352" i="1"/>
  <c r="L259" i="1"/>
  <c r="N268" i="1"/>
  <c r="P129" i="1"/>
  <c r="K235" i="1"/>
  <c r="M211" i="1"/>
  <c r="N211" i="1" s="1"/>
  <c r="O211" i="1"/>
  <c r="P211" i="1" s="1"/>
  <c r="K211" i="1"/>
  <c r="K34" i="1"/>
  <c r="O34" i="1"/>
  <c r="P34" i="1" s="1"/>
  <c r="M34" i="1"/>
  <c r="N34" i="1" s="1"/>
  <c r="P130" i="1"/>
  <c r="N130" i="1"/>
  <c r="P26" i="1"/>
  <c r="P23" i="1"/>
  <c r="N26" i="1"/>
  <c r="L211" i="1" l="1"/>
  <c r="B211" i="1"/>
  <c r="B34" i="1"/>
  <c r="L34" i="1"/>
  <c r="B130" i="1"/>
  <c r="T260" i="1"/>
  <c r="W260" i="1"/>
  <c r="W248" i="1"/>
  <c r="T248" i="1"/>
  <c r="W258" i="1"/>
  <c r="T258" i="1"/>
  <c r="W244" i="1"/>
  <c r="T244" i="1"/>
  <c r="W224" i="1"/>
  <c r="T224" i="1"/>
  <c r="T336" i="1"/>
  <c r="W336" i="1"/>
  <c r="T245" i="1"/>
  <c r="W245" i="1"/>
  <c r="W210" i="1"/>
  <c r="T210" i="1"/>
  <c r="W259" i="1"/>
  <c r="T259" i="1"/>
  <c r="U130" i="1"/>
  <c r="V130" i="1" s="1"/>
  <c r="S130" i="1"/>
  <c r="Q130" i="1"/>
  <c r="R130" i="1" s="1"/>
  <c r="U34" i="1"/>
  <c r="V34" i="1" s="1"/>
  <c r="S34" i="1"/>
  <c r="Q34" i="1"/>
  <c r="R34" i="1" s="1"/>
  <c r="W157" i="1"/>
  <c r="T157" i="1"/>
  <c r="T257" i="1"/>
  <c r="W257" i="1"/>
  <c r="S211" i="1"/>
  <c r="Q211" i="1"/>
  <c r="R211" i="1" s="1"/>
  <c r="U211" i="1"/>
  <c r="V211" i="1" s="1"/>
  <c r="T333" i="1"/>
  <c r="W333" i="1"/>
  <c r="T262" i="1"/>
  <c r="W262" i="1"/>
  <c r="W212" i="1"/>
  <c r="T212" i="1"/>
  <c r="W352" i="1"/>
  <c r="T352" i="1"/>
  <c r="W263" i="1"/>
  <c r="T263" i="1"/>
  <c r="W335" i="1"/>
  <c r="T335" i="1"/>
  <c r="T267" i="1"/>
  <c r="W267" i="1"/>
  <c r="W209" i="1"/>
  <c r="T209" i="1"/>
  <c r="L235" i="1"/>
  <c r="N78" i="1"/>
  <c r="K73" i="1"/>
  <c r="N63" i="1"/>
  <c r="K37" i="1"/>
  <c r="L37" i="1" l="1"/>
  <c r="T211" i="1"/>
  <c r="W211" i="1"/>
  <c r="T130" i="1"/>
  <c r="W130" i="1"/>
  <c r="W34" i="1"/>
  <c r="T34" i="1"/>
  <c r="L73" i="1"/>
  <c r="M38" i="1"/>
  <c r="M303" i="1"/>
  <c r="N303" i="1" s="1"/>
  <c r="O303" i="1"/>
  <c r="P303" i="1" s="1"/>
  <c r="K303" i="1"/>
  <c r="O302" i="1"/>
  <c r="P302" i="1" s="1"/>
  <c r="M302" i="1"/>
  <c r="N302" i="1" s="1"/>
  <c r="K302" i="1"/>
  <c r="O194" i="1"/>
  <c r="P194" i="1" s="1"/>
  <c r="M194" i="1"/>
  <c r="N194" i="1" s="1"/>
  <c r="K194" i="1"/>
  <c r="M97" i="1"/>
  <c r="N97" i="1" s="1"/>
  <c r="K97" i="1"/>
  <c r="O96" i="1"/>
  <c r="P96" i="1" s="1"/>
  <c r="M247" i="1"/>
  <c r="L10" i="1"/>
  <c r="P235" i="1"/>
  <c r="B298" i="1"/>
  <c r="K297" i="1"/>
  <c r="B297" i="1" s="1"/>
  <c r="K296" i="1"/>
  <c r="B296" i="1" s="1"/>
  <c r="K295" i="1"/>
  <c r="B295" i="1" s="1"/>
  <c r="K294" i="1"/>
  <c r="B294" i="1" s="1"/>
  <c r="N293" i="1"/>
  <c r="K293" i="1"/>
  <c r="B293" i="1" s="1"/>
  <c r="O197" i="1"/>
  <c r="P197" i="1" s="1"/>
  <c r="M197" i="1"/>
  <c r="N197" i="1" s="1"/>
  <c r="N196" i="1"/>
  <c r="K197" i="1"/>
  <c r="K154" i="1"/>
  <c r="B154" i="1" s="1"/>
  <c r="K54" i="1"/>
  <c r="N160" i="1"/>
  <c r="K32" i="1"/>
  <c r="K19" i="1"/>
  <c r="B19" i="1" s="1"/>
  <c r="K20" i="1"/>
  <c r="B20" i="1" s="1"/>
  <c r="O77" i="1"/>
  <c r="P77" i="1" s="1"/>
  <c r="M77" i="1"/>
  <c r="N77" i="1" s="1"/>
  <c r="K77" i="1"/>
  <c r="P45" i="1"/>
  <c r="O84" i="1"/>
  <c r="P84" i="1" s="1"/>
  <c r="M84" i="1"/>
  <c r="N84" i="1" s="1"/>
  <c r="K84" i="1"/>
  <c r="N45" i="1"/>
  <c r="M381" i="1"/>
  <c r="N381" i="1" s="1"/>
  <c r="M380" i="1"/>
  <c r="N380" i="1" s="1"/>
  <c r="M379" i="1"/>
  <c r="N379" i="1" s="1"/>
  <c r="M378" i="1"/>
  <c r="N378" i="1" s="1"/>
  <c r="M377" i="1"/>
  <c r="N377" i="1" s="1"/>
  <c r="K381" i="1"/>
  <c r="K380" i="1"/>
  <c r="K379" i="1"/>
  <c r="K378" i="1"/>
  <c r="K377" i="1"/>
  <c r="O384" i="1"/>
  <c r="P384" i="1" s="1"/>
  <c r="M384" i="1"/>
  <c r="N384" i="1" s="1"/>
  <c r="K384" i="1"/>
  <c r="O382" i="1"/>
  <c r="P382" i="1" s="1"/>
  <c r="M382" i="1"/>
  <c r="N382" i="1" s="1"/>
  <c r="K382" i="1"/>
  <c r="O320" i="1"/>
  <c r="P320" i="1" s="1"/>
  <c r="M320" i="1"/>
  <c r="N320" i="1" s="1"/>
  <c r="K320" i="1"/>
  <c r="P319" i="1"/>
  <c r="M319" i="1"/>
  <c r="N319" i="1" s="1"/>
  <c r="K319" i="1"/>
  <c r="P318" i="1"/>
  <c r="N318" i="1"/>
  <c r="P317" i="1"/>
  <c r="M317" i="1"/>
  <c r="N317" i="1" s="1"/>
  <c r="K317" i="1"/>
  <c r="O316" i="1"/>
  <c r="P316" i="1" s="1"/>
  <c r="M316" i="1"/>
  <c r="N316" i="1" s="1"/>
  <c r="K316" i="1"/>
  <c r="O315" i="1"/>
  <c r="P315" i="1" s="1"/>
  <c r="M315" i="1"/>
  <c r="N315" i="1" s="1"/>
  <c r="K315" i="1"/>
  <c r="O314" i="1"/>
  <c r="P314" i="1" s="1"/>
  <c r="M314" i="1"/>
  <c r="N314" i="1" s="1"/>
  <c r="K314" i="1"/>
  <c r="M399" i="1"/>
  <c r="N399" i="1" s="1"/>
  <c r="O399" i="1"/>
  <c r="P399" i="1" s="1"/>
  <c r="O392" i="1"/>
  <c r="P392" i="1" s="1"/>
  <c r="O339" i="1"/>
  <c r="P339" i="1" s="1"/>
  <c r="O321" i="1"/>
  <c r="P321" i="1" s="1"/>
  <c r="O284" i="1"/>
  <c r="P284" i="1" s="1"/>
  <c r="O231" i="1"/>
  <c r="P231" i="1" s="1"/>
  <c r="O225" i="1"/>
  <c r="P225" i="1" s="1"/>
  <c r="O214" i="1"/>
  <c r="P214" i="1" s="1"/>
  <c r="O201" i="1"/>
  <c r="P201" i="1" s="1"/>
  <c r="O176" i="1"/>
  <c r="P176" i="1" s="1"/>
  <c r="O173" i="1"/>
  <c r="P173" i="1" s="1"/>
  <c r="O139" i="1"/>
  <c r="P139" i="1" s="1"/>
  <c r="O58" i="1"/>
  <c r="P58" i="1" s="1"/>
  <c r="O42" i="1"/>
  <c r="P42" i="1" s="1"/>
  <c r="O27" i="1"/>
  <c r="P27" i="1" s="1"/>
  <c r="M392" i="1"/>
  <c r="N392" i="1" s="1"/>
  <c r="M339" i="1"/>
  <c r="N339" i="1" s="1"/>
  <c r="M321" i="1"/>
  <c r="N321" i="1" s="1"/>
  <c r="M284" i="1"/>
  <c r="N284" i="1" s="1"/>
  <c r="M231" i="1"/>
  <c r="N231" i="1" s="1"/>
  <c r="M225" i="1"/>
  <c r="N225" i="1" s="1"/>
  <c r="M214" i="1"/>
  <c r="N214" i="1" s="1"/>
  <c r="M201" i="1"/>
  <c r="N201" i="1" s="1"/>
  <c r="M176" i="1"/>
  <c r="N176" i="1" s="1"/>
  <c r="M173" i="1"/>
  <c r="N173" i="1" s="1"/>
  <c r="M139" i="1"/>
  <c r="N139" i="1" s="1"/>
  <c r="M58" i="1"/>
  <c r="N58" i="1" s="1"/>
  <c r="M42" i="1"/>
  <c r="N42" i="1" s="1"/>
  <c r="K27" i="1"/>
  <c r="K399" i="1"/>
  <c r="K392" i="1"/>
  <c r="K339" i="1"/>
  <c r="K321" i="1"/>
  <c r="K284" i="1"/>
  <c r="K231" i="1"/>
  <c r="K225" i="1"/>
  <c r="K214" i="1"/>
  <c r="K201" i="1"/>
  <c r="K176" i="1"/>
  <c r="K173" i="1"/>
  <c r="K139" i="1"/>
  <c r="K58" i="1"/>
  <c r="K42" i="1"/>
  <c r="M96" i="1"/>
  <c r="N96" i="1" s="1"/>
  <c r="K96" i="1"/>
  <c r="P95" i="1"/>
  <c r="M95" i="1"/>
  <c r="N95" i="1" s="1"/>
  <c r="O365" i="1"/>
  <c r="P365" i="1" s="1"/>
  <c r="M365" i="1"/>
  <c r="N365" i="1" s="1"/>
  <c r="K365" i="1"/>
  <c r="O300" i="1"/>
  <c r="P300" i="1" s="1"/>
  <c r="O389" i="1"/>
  <c r="P389" i="1" s="1"/>
  <c r="M389" i="1"/>
  <c r="N389" i="1" s="1"/>
  <c r="K389" i="1"/>
  <c r="M300" i="1"/>
  <c r="N300" i="1" s="1"/>
  <c r="K300" i="1"/>
  <c r="B235" i="1"/>
  <c r="K222" i="1"/>
  <c r="B48" i="1"/>
  <c r="O125" i="1"/>
  <c r="P125" i="1" s="1"/>
  <c r="M125" i="1"/>
  <c r="N125" i="1" s="1"/>
  <c r="K125" i="1"/>
  <c r="O100" i="1"/>
  <c r="P100" i="1" s="1"/>
  <c r="O85" i="1"/>
  <c r="P85" i="1" s="1"/>
  <c r="M85" i="1"/>
  <c r="N85" i="1" s="1"/>
  <c r="K85" i="1"/>
  <c r="O72" i="1"/>
  <c r="P72" i="1" s="1"/>
  <c r="M72" i="1"/>
  <c r="N72" i="1" s="1"/>
  <c r="K72" i="1"/>
  <c r="P68" i="1"/>
  <c r="M68" i="1"/>
  <c r="N68" i="1" s="1"/>
  <c r="K68" i="1"/>
  <c r="O71" i="1"/>
  <c r="P71" i="1" s="1"/>
  <c r="M71" i="1"/>
  <c r="N71" i="1" s="1"/>
  <c r="K71" i="1"/>
  <c r="M83" i="1"/>
  <c r="N83" i="1" s="1"/>
  <c r="O83" i="1"/>
  <c r="P83" i="1" s="1"/>
  <c r="K83" i="1"/>
  <c r="O82" i="1"/>
  <c r="P82" i="1" s="1"/>
  <c r="M82" i="1"/>
  <c r="N82" i="1" s="1"/>
  <c r="K82" i="1"/>
  <c r="O81" i="1"/>
  <c r="P81" i="1" s="1"/>
  <c r="M81" i="1"/>
  <c r="N81" i="1" s="1"/>
  <c r="K81" i="1"/>
  <c r="O80" i="1"/>
  <c r="P80" i="1" s="1"/>
  <c r="M80" i="1"/>
  <c r="N80" i="1" s="1"/>
  <c r="K80" i="1"/>
  <c r="O79" i="1"/>
  <c r="P79" i="1" s="1"/>
  <c r="M79" i="1"/>
  <c r="N79" i="1" s="1"/>
  <c r="K79" i="1"/>
  <c r="O78" i="1"/>
  <c r="P78" i="1" s="1"/>
  <c r="K78" i="1"/>
  <c r="O76" i="1"/>
  <c r="P76" i="1" s="1"/>
  <c r="M76" i="1"/>
  <c r="N76" i="1" s="1"/>
  <c r="K76" i="1"/>
  <c r="O75" i="1"/>
  <c r="P75" i="1" s="1"/>
  <c r="M75" i="1"/>
  <c r="N75" i="1" s="1"/>
  <c r="K75" i="1"/>
  <c r="O74" i="1"/>
  <c r="P74" i="1" s="1"/>
  <c r="M74" i="1"/>
  <c r="N74" i="1" s="1"/>
  <c r="K74" i="1"/>
  <c r="O73" i="1"/>
  <c r="P73" i="1" s="1"/>
  <c r="M73" i="1"/>
  <c r="N73" i="1" s="1"/>
  <c r="O121" i="1"/>
  <c r="P121" i="1" s="1"/>
  <c r="N121" i="1"/>
  <c r="K121" i="1"/>
  <c r="O126" i="1"/>
  <c r="P126" i="1" s="1"/>
  <c r="N126" i="1"/>
  <c r="K126" i="1"/>
  <c r="P109" i="1"/>
  <c r="M109" i="1"/>
  <c r="N109" i="1" s="1"/>
  <c r="K109" i="1"/>
  <c r="M100" i="1"/>
  <c r="N100" i="1" s="1"/>
  <c r="O41" i="1"/>
  <c r="P41" i="1" s="1"/>
  <c r="O40" i="1"/>
  <c r="P40" i="1" s="1"/>
  <c r="O127" i="1"/>
  <c r="P127" i="1" s="1"/>
  <c r="K127" i="1"/>
  <c r="M127" i="1"/>
  <c r="N127" i="1" s="1"/>
  <c r="O128" i="1"/>
  <c r="P128" i="1" s="1"/>
  <c r="M128" i="1"/>
  <c r="N128" i="1" s="1"/>
  <c r="N129" i="1"/>
  <c r="K129" i="1"/>
  <c r="O124" i="1"/>
  <c r="P124" i="1" s="1"/>
  <c r="M124" i="1"/>
  <c r="N124" i="1" s="1"/>
  <c r="K124" i="1"/>
  <c r="O117" i="1"/>
  <c r="P117" i="1" s="1"/>
  <c r="M117" i="1"/>
  <c r="N117" i="1" s="1"/>
  <c r="O123" i="1"/>
  <c r="P123" i="1" s="1"/>
  <c r="M123" i="1"/>
  <c r="N123" i="1" s="1"/>
  <c r="K123" i="1"/>
  <c r="K117" i="1"/>
  <c r="O120" i="1"/>
  <c r="P120" i="1" s="1"/>
  <c r="O119" i="1"/>
  <c r="P119" i="1" s="1"/>
  <c r="M120" i="1"/>
  <c r="N120" i="1" s="1"/>
  <c r="M119" i="1"/>
  <c r="N119" i="1" s="1"/>
  <c r="K120" i="1"/>
  <c r="K119" i="1"/>
  <c r="O118" i="1"/>
  <c r="P118" i="1" s="1"/>
  <c r="M118" i="1"/>
  <c r="N118" i="1" s="1"/>
  <c r="K118" i="1"/>
  <c r="O116" i="1"/>
  <c r="P116" i="1" s="1"/>
  <c r="O115" i="1"/>
  <c r="P115" i="1" s="1"/>
  <c r="O114" i="1"/>
  <c r="P114" i="1" s="1"/>
  <c r="O113" i="1"/>
  <c r="P113" i="1" s="1"/>
  <c r="O112" i="1"/>
  <c r="P112" i="1" s="1"/>
  <c r="O111" i="1"/>
  <c r="P111" i="1" s="1"/>
  <c r="O110" i="1"/>
  <c r="P110" i="1" s="1"/>
  <c r="M116" i="1"/>
  <c r="N116" i="1" s="1"/>
  <c r="M115" i="1"/>
  <c r="N115" i="1" s="1"/>
  <c r="M114" i="1"/>
  <c r="N114" i="1" s="1"/>
  <c r="M113" i="1"/>
  <c r="N113" i="1" s="1"/>
  <c r="M112" i="1"/>
  <c r="N112" i="1" s="1"/>
  <c r="M111" i="1"/>
  <c r="N111" i="1" s="1"/>
  <c r="M110" i="1"/>
  <c r="N110" i="1" s="1"/>
  <c r="K116" i="1"/>
  <c r="B116" i="1" s="1"/>
  <c r="K115" i="1"/>
  <c r="K114" i="1"/>
  <c r="K113" i="1"/>
  <c r="K112" i="1"/>
  <c r="K111" i="1"/>
  <c r="K110" i="1"/>
  <c r="M41" i="1"/>
  <c r="N41" i="1" s="1"/>
  <c r="M40" i="1"/>
  <c r="N40" i="1" s="1"/>
  <c r="K41" i="1"/>
  <c r="K40" i="1"/>
  <c r="L396" i="1"/>
  <c r="L395" i="1"/>
  <c r="L394" i="1"/>
  <c r="L375" i="1"/>
  <c r="L374" i="1"/>
  <c r="L373" i="1"/>
  <c r="L372" i="1"/>
  <c r="L358" i="1"/>
  <c r="L357" i="1"/>
  <c r="L356" i="1"/>
  <c r="L355" i="1"/>
  <c r="L345" i="1"/>
  <c r="L344" i="1"/>
  <c r="L343" i="1"/>
  <c r="L325" i="1"/>
  <c r="L324" i="1"/>
  <c r="L323" i="1"/>
  <c r="L311" i="1"/>
  <c r="L310" i="1"/>
  <c r="L309" i="1"/>
  <c r="L289" i="1"/>
  <c r="L287" i="1"/>
  <c r="L273" i="1"/>
  <c r="L272" i="1"/>
  <c r="L271" i="1"/>
  <c r="L266" i="1"/>
  <c r="L264" i="1"/>
  <c r="L252" i="1"/>
  <c r="L250" i="1"/>
  <c r="L249" i="1"/>
  <c r="L240" i="1"/>
  <c r="L239" i="1"/>
  <c r="L237" i="1"/>
  <c r="L228" i="1"/>
  <c r="L221" i="1"/>
  <c r="L220" i="1"/>
  <c r="L219" i="1"/>
  <c r="L206" i="1"/>
  <c r="L205" i="1"/>
  <c r="L189" i="1"/>
  <c r="L188" i="1"/>
  <c r="L179" i="1"/>
  <c r="L178" i="1"/>
  <c r="L172" i="1"/>
  <c r="L169" i="1"/>
  <c r="L159" i="1"/>
  <c r="L150" i="1"/>
  <c r="L141" i="1"/>
  <c r="L134" i="1"/>
  <c r="L133" i="1"/>
  <c r="L107" i="1"/>
  <c r="O70" i="1"/>
  <c r="P70" i="1" s="1"/>
  <c r="L8" i="1"/>
  <c r="L94" i="1"/>
  <c r="L93" i="1"/>
  <c r="L92" i="1"/>
  <c r="L89" i="1"/>
  <c r="L88" i="1"/>
  <c r="L62" i="1"/>
  <c r="L31" i="1"/>
  <c r="L22" i="1"/>
  <c r="L16" i="1"/>
  <c r="L15" i="1"/>
  <c r="L11" i="1"/>
  <c r="L9" i="1"/>
  <c r="L7" i="1"/>
  <c r="L6" i="1"/>
  <c r="L5" i="1"/>
  <c r="M70" i="1"/>
  <c r="N70" i="1" s="1"/>
  <c r="K70" i="1"/>
  <c r="O69" i="1"/>
  <c r="P69" i="1" s="1"/>
  <c r="M69" i="1"/>
  <c r="N69" i="1" s="1"/>
  <c r="K69" i="1"/>
  <c r="P67" i="1"/>
  <c r="M67" i="1"/>
  <c r="N67" i="1" s="1"/>
  <c r="K67" i="1"/>
  <c r="O66" i="1"/>
  <c r="P66" i="1" s="1"/>
  <c r="M66" i="1"/>
  <c r="N66" i="1" s="1"/>
  <c r="K66" i="1"/>
  <c r="P65" i="1"/>
  <c r="M65" i="1"/>
  <c r="N65" i="1" s="1"/>
  <c r="K65" i="1"/>
  <c r="O64" i="1"/>
  <c r="P64" i="1" s="1"/>
  <c r="K64" i="1"/>
  <c r="M64" i="1"/>
  <c r="N64" i="1" s="1"/>
  <c r="K63" i="1"/>
  <c r="B63" i="1" s="1"/>
  <c r="K101" i="1"/>
  <c r="B101" i="1" s="1"/>
  <c r="O37" i="1"/>
  <c r="P37" i="1" s="1"/>
  <c r="M37" i="1"/>
  <c r="N37" i="1" s="1"/>
  <c r="O102" i="1"/>
  <c r="P102" i="1" s="1"/>
  <c r="M102" i="1"/>
  <c r="N102" i="1" s="1"/>
  <c r="K102" i="1"/>
  <c r="P103" i="1"/>
  <c r="N103" i="1"/>
  <c r="K103" i="1"/>
  <c r="O301" i="1"/>
  <c r="P301" i="1" s="1"/>
  <c r="M301" i="1"/>
  <c r="N301" i="1" s="1"/>
  <c r="K301" i="1"/>
  <c r="P391" i="1"/>
  <c r="P390" i="1"/>
  <c r="P388" i="1"/>
  <c r="P387" i="1"/>
  <c r="P386" i="1"/>
  <c r="P385" i="1"/>
  <c r="P383" i="1"/>
  <c r="P377" i="1"/>
  <c r="P381" i="1"/>
  <c r="P380" i="1"/>
  <c r="P379" i="1"/>
  <c r="P378" i="1"/>
  <c r="P376" i="1"/>
  <c r="P363" i="1"/>
  <c r="P362" i="1"/>
  <c r="P352" i="1"/>
  <c r="P350" i="1"/>
  <c r="P347" i="1"/>
  <c r="P336" i="1"/>
  <c r="P335" i="1"/>
  <c r="P333" i="1"/>
  <c r="P313" i="1"/>
  <c r="P306" i="1"/>
  <c r="P299" i="1"/>
  <c r="P298" i="1"/>
  <c r="P297" i="1"/>
  <c r="P296" i="1"/>
  <c r="P295" i="1"/>
  <c r="P294" i="1"/>
  <c r="P293" i="1"/>
  <c r="P282" i="1"/>
  <c r="P281" i="1"/>
  <c r="P280" i="1"/>
  <c r="P279" i="1"/>
  <c r="P278" i="1"/>
  <c r="P277" i="1"/>
  <c r="B234" i="1"/>
  <c r="P232" i="1"/>
  <c r="P230" i="1"/>
  <c r="P217" i="1"/>
  <c r="P202" i="1"/>
  <c r="P200" i="1"/>
  <c r="P199" i="1"/>
  <c r="P198" i="1"/>
  <c r="P195" i="1"/>
  <c r="P191" i="1"/>
  <c r="P185" i="1"/>
  <c r="P184" i="1"/>
  <c r="P170" i="1"/>
  <c r="P168" i="1"/>
  <c r="P165" i="1"/>
  <c r="P164" i="1"/>
  <c r="P163" i="1"/>
  <c r="P162" i="1"/>
  <c r="P160" i="1"/>
  <c r="P154" i="1"/>
  <c r="P153" i="1"/>
  <c r="P152" i="1"/>
  <c r="P151" i="1"/>
  <c r="P145" i="1"/>
  <c r="P142" i="1"/>
  <c r="P138" i="1"/>
  <c r="P137" i="1"/>
  <c r="P136" i="1"/>
  <c r="P101" i="1"/>
  <c r="P98" i="1"/>
  <c r="P97" i="1"/>
  <c r="P63" i="1"/>
  <c r="P54" i="1"/>
  <c r="P53" i="1"/>
  <c r="P48" i="1"/>
  <c r="K57" i="1"/>
  <c r="B57" i="1" s="1"/>
  <c r="K50" i="1"/>
  <c r="B50" i="1" s="1"/>
  <c r="K44" i="1"/>
  <c r="B44" i="1" s="1"/>
  <c r="K39" i="1"/>
  <c r="B39" i="1" s="1"/>
  <c r="K30" i="1"/>
  <c r="B30" i="1" s="1"/>
  <c r="K28" i="1"/>
  <c r="B28" i="1" s="1"/>
  <c r="K25" i="1"/>
  <c r="B25" i="1" s="1"/>
  <c r="K208" i="1"/>
  <c r="B208" i="1" s="1"/>
  <c r="O12" i="1"/>
  <c r="P12" i="1" s="1"/>
  <c r="M12" i="1"/>
  <c r="N397" i="1"/>
  <c r="P398" i="1"/>
  <c r="B54" i="1" l="1"/>
  <c r="S54" i="1"/>
  <c r="B378" i="1"/>
  <c r="B197" i="1"/>
  <c r="B95" i="1"/>
  <c r="B128" i="1"/>
  <c r="B75" i="1"/>
  <c r="B365" i="1"/>
  <c r="B82" i="1"/>
  <c r="B316" i="1"/>
  <c r="B102" i="1"/>
  <c r="B67" i="1"/>
  <c r="B194" i="1"/>
  <c r="B77" i="1"/>
  <c r="B109" i="1"/>
  <c r="B319" i="1"/>
  <c r="B114" i="1"/>
  <c r="B119" i="1"/>
  <c r="B71" i="1"/>
  <c r="B318" i="1"/>
  <c r="B100" i="1"/>
  <c r="B121" i="1"/>
  <c r="B79" i="1"/>
  <c r="B97" i="1"/>
  <c r="B231" i="1"/>
  <c r="B85" i="1"/>
  <c r="B382" i="1"/>
  <c r="B379" i="1"/>
  <c r="B303" i="1"/>
  <c r="B110" i="1"/>
  <c r="B380" i="1"/>
  <c r="B301" i="1"/>
  <c r="B68" i="1"/>
  <c r="B69" i="1"/>
  <c r="B40" i="1"/>
  <c r="B124" i="1"/>
  <c r="B76" i="1"/>
  <c r="B80" i="1"/>
  <c r="B314" i="1"/>
  <c r="B384" i="1"/>
  <c r="B118" i="1"/>
  <c r="B83" i="1"/>
  <c r="B125" i="1"/>
  <c r="B317" i="1"/>
  <c r="B84" i="1"/>
  <c r="N12" i="1"/>
  <c r="B12" i="1"/>
  <c r="B112" i="1"/>
  <c r="B139" i="1"/>
  <c r="B321" i="1"/>
  <c r="L26" i="1"/>
  <c r="B26" i="1"/>
  <c r="B111" i="1"/>
  <c r="B284" i="1"/>
  <c r="B65" i="1"/>
  <c r="B113" i="1"/>
  <c r="B300" i="1"/>
  <c r="B173" i="1"/>
  <c r="B339" i="1"/>
  <c r="B381" i="1"/>
  <c r="B45" i="1"/>
  <c r="L45" i="1"/>
  <c r="L222" i="1"/>
  <c r="B222" i="1"/>
  <c r="L23" i="1"/>
  <c r="B23" i="1"/>
  <c r="B176" i="1"/>
  <c r="B392" i="1"/>
  <c r="L392" i="1"/>
  <c r="N33" i="1"/>
  <c r="B33" i="1"/>
  <c r="B41" i="1"/>
  <c r="B115" i="1"/>
  <c r="B127" i="1"/>
  <c r="B389" i="1"/>
  <c r="B201" i="1"/>
  <c r="B399" i="1"/>
  <c r="L399" i="1"/>
  <c r="N38" i="1"/>
  <c r="B38" i="1"/>
  <c r="B73" i="1"/>
  <c r="L42" i="1"/>
  <c r="B42" i="1"/>
  <c r="B64" i="1"/>
  <c r="L120" i="1"/>
  <c r="B120" i="1"/>
  <c r="B103" i="1"/>
  <c r="B66" i="1"/>
  <c r="B117" i="1"/>
  <c r="B126" i="1"/>
  <c r="B74" i="1"/>
  <c r="B72" i="1"/>
  <c r="B96" i="1"/>
  <c r="B214" i="1"/>
  <c r="B27" i="1"/>
  <c r="B320" i="1"/>
  <c r="B32" i="1"/>
  <c r="S32" i="1"/>
  <c r="B302" i="1"/>
  <c r="B37" i="1"/>
  <c r="B58" i="1"/>
  <c r="B70" i="1"/>
  <c r="B123" i="1"/>
  <c r="B129" i="1"/>
  <c r="B78" i="1"/>
  <c r="B81" i="1"/>
  <c r="B225" i="1"/>
  <c r="B315" i="1"/>
  <c r="B377" i="1"/>
  <c r="N247" i="1"/>
  <c r="B247" i="1"/>
  <c r="U114" i="1"/>
  <c r="V114" i="1" s="1"/>
  <c r="S114" i="1"/>
  <c r="Q114" i="1"/>
  <c r="R114" i="1" s="1"/>
  <c r="U231" i="1"/>
  <c r="V231" i="1" s="1"/>
  <c r="S231" i="1"/>
  <c r="Q231" i="1"/>
  <c r="R231" i="1" s="1"/>
  <c r="U293" i="1"/>
  <c r="V293" i="1" s="1"/>
  <c r="S293" i="1"/>
  <c r="Q293" i="1"/>
  <c r="R293" i="1" s="1"/>
  <c r="P234" i="1"/>
  <c r="R234" i="1"/>
  <c r="V234" i="1"/>
  <c r="U103" i="1"/>
  <c r="V103" i="1" s="1"/>
  <c r="S103" i="1"/>
  <c r="Q103" i="1"/>
  <c r="R103" i="1" s="1"/>
  <c r="U101" i="1"/>
  <c r="V101" i="1" s="1"/>
  <c r="S101" i="1"/>
  <c r="Q101" i="1"/>
  <c r="R101" i="1" s="1"/>
  <c r="S66" i="1"/>
  <c r="Q66" i="1"/>
  <c r="R66" i="1" s="1"/>
  <c r="U66" i="1"/>
  <c r="V66" i="1" s="1"/>
  <c r="U41" i="1"/>
  <c r="V41" i="1" s="1"/>
  <c r="S41" i="1"/>
  <c r="Q41" i="1"/>
  <c r="R41" i="1" s="1"/>
  <c r="U115" i="1"/>
  <c r="V115" i="1" s="1"/>
  <c r="Q115" i="1"/>
  <c r="R115" i="1" s="1"/>
  <c r="S115" i="1"/>
  <c r="U118" i="1"/>
  <c r="V118" i="1" s="1"/>
  <c r="S118" i="1"/>
  <c r="Q118" i="1"/>
  <c r="R118" i="1" s="1"/>
  <c r="U127" i="1"/>
  <c r="V127" i="1" s="1"/>
  <c r="S127" i="1"/>
  <c r="Q127" i="1"/>
  <c r="R127" i="1" s="1"/>
  <c r="U83" i="1"/>
  <c r="V83" i="1" s="1"/>
  <c r="S83" i="1"/>
  <c r="Q83" i="1"/>
  <c r="R83" i="1" s="1"/>
  <c r="S125" i="1"/>
  <c r="Q125" i="1"/>
  <c r="R125" i="1" s="1"/>
  <c r="U125" i="1"/>
  <c r="V125" i="1" s="1"/>
  <c r="U300" i="1"/>
  <c r="V300" i="1" s="1"/>
  <c r="S300" i="1"/>
  <c r="Q300" i="1"/>
  <c r="R300" i="1" s="1"/>
  <c r="S365" i="1"/>
  <c r="Q365" i="1"/>
  <c r="R365" i="1" s="1"/>
  <c r="U365" i="1"/>
  <c r="V365" i="1" s="1"/>
  <c r="U58" i="1"/>
  <c r="V58" i="1" s="1"/>
  <c r="S58" i="1"/>
  <c r="Q58" i="1"/>
  <c r="R58" i="1" s="1"/>
  <c r="S284" i="1"/>
  <c r="Q284" i="1"/>
  <c r="R284" i="1" s="1"/>
  <c r="C37" i="13" s="1"/>
  <c r="U284" i="1"/>
  <c r="V284" i="1" s="1"/>
  <c r="F37" i="13" s="1"/>
  <c r="U382" i="1"/>
  <c r="V382" i="1" s="1"/>
  <c r="S382" i="1"/>
  <c r="Q382" i="1"/>
  <c r="R382" i="1" s="1"/>
  <c r="U379" i="1"/>
  <c r="V379" i="1" s="1"/>
  <c r="S379" i="1"/>
  <c r="Q379" i="1"/>
  <c r="R379" i="1" s="1"/>
  <c r="S302" i="1"/>
  <c r="U302" i="1"/>
  <c r="V302" i="1" s="1"/>
  <c r="Q302" i="1"/>
  <c r="R302" i="1" s="1"/>
  <c r="U38" i="1"/>
  <c r="V38" i="1" s="1"/>
  <c r="S38" i="1"/>
  <c r="Q38" i="1"/>
  <c r="R38" i="1" s="1"/>
  <c r="U73" i="1"/>
  <c r="V73" i="1" s="1"/>
  <c r="U80" i="1"/>
  <c r="V80" i="1" s="1"/>
  <c r="Q80" i="1"/>
  <c r="R80" i="1" s="1"/>
  <c r="S80" i="1"/>
  <c r="Q235" i="1"/>
  <c r="R235" i="1" s="1"/>
  <c r="S235" i="1"/>
  <c r="U235" i="1"/>
  <c r="V235" i="1" s="1"/>
  <c r="Q318" i="1"/>
  <c r="R318" i="1" s="1"/>
  <c r="U318" i="1"/>
  <c r="V318" i="1" s="1"/>
  <c r="S318" i="1"/>
  <c r="S378" i="1"/>
  <c r="Q378" i="1"/>
  <c r="R378" i="1" s="1"/>
  <c r="U378" i="1"/>
  <c r="V378" i="1" s="1"/>
  <c r="U63" i="1"/>
  <c r="V63" i="1" s="1"/>
  <c r="S63" i="1"/>
  <c r="Q63" i="1"/>
  <c r="R63" i="1" s="1"/>
  <c r="U70" i="1"/>
  <c r="V70" i="1" s="1"/>
  <c r="S70" i="1"/>
  <c r="Q70" i="1"/>
  <c r="R70" i="1" s="1"/>
  <c r="U116" i="1"/>
  <c r="V116" i="1" s="1"/>
  <c r="S116" i="1"/>
  <c r="Q116" i="1"/>
  <c r="R116" i="1" s="1"/>
  <c r="S117" i="1"/>
  <c r="Q117" i="1"/>
  <c r="R117" i="1" s="1"/>
  <c r="U117" i="1"/>
  <c r="V117" i="1" s="1"/>
  <c r="U126" i="1"/>
  <c r="V126" i="1" s="1"/>
  <c r="S126" i="1"/>
  <c r="Q126" i="1"/>
  <c r="R126" i="1" s="1"/>
  <c r="S74" i="1"/>
  <c r="Q74" i="1"/>
  <c r="R74" i="1" s="1"/>
  <c r="U74" i="1"/>
  <c r="V74" i="1" s="1"/>
  <c r="U72" i="1"/>
  <c r="V72" i="1" s="1"/>
  <c r="Q72" i="1"/>
  <c r="R72" i="1" s="1"/>
  <c r="S72" i="1"/>
  <c r="U139" i="1"/>
  <c r="V139" i="1" s="1"/>
  <c r="S139" i="1"/>
  <c r="Q139" i="1"/>
  <c r="R139" i="1" s="1"/>
  <c r="U321" i="1"/>
  <c r="V321" i="1" s="1"/>
  <c r="S321" i="1"/>
  <c r="Q321" i="1"/>
  <c r="R321" i="1" s="1"/>
  <c r="U316" i="1"/>
  <c r="V316" i="1" s="1"/>
  <c r="S316" i="1"/>
  <c r="Q316" i="1"/>
  <c r="R316" i="1" s="1"/>
  <c r="U380" i="1"/>
  <c r="V380" i="1" s="1"/>
  <c r="S380" i="1"/>
  <c r="Q380" i="1"/>
  <c r="R380" i="1" s="1"/>
  <c r="U23" i="1"/>
  <c r="V23" i="1" s="1"/>
  <c r="S23" i="1"/>
  <c r="Q23" i="1"/>
  <c r="R23" i="1" s="1"/>
  <c r="Q77" i="1"/>
  <c r="R77" i="1" s="1"/>
  <c r="S77" i="1"/>
  <c r="U77" i="1"/>
  <c r="V77" i="1" s="1"/>
  <c r="U54" i="1"/>
  <c r="V54" i="1" s="1"/>
  <c r="Q54" i="1"/>
  <c r="S294" i="1"/>
  <c r="U294" i="1"/>
  <c r="V294" i="1" s="1"/>
  <c r="Q294" i="1"/>
  <c r="R294" i="1" s="1"/>
  <c r="U247" i="1"/>
  <c r="V247" i="1" s="1"/>
  <c r="Q247" i="1"/>
  <c r="R247" i="1" s="1"/>
  <c r="S247" i="1"/>
  <c r="U124" i="1"/>
  <c r="V124" i="1" s="1"/>
  <c r="S124" i="1"/>
  <c r="Q124" i="1"/>
  <c r="R124" i="1" s="1"/>
  <c r="U123" i="1"/>
  <c r="V123" i="1" s="1"/>
  <c r="Q123" i="1"/>
  <c r="R123" i="1" s="1"/>
  <c r="S123" i="1"/>
  <c r="U129" i="1"/>
  <c r="V129" i="1" s="1"/>
  <c r="S129" i="1"/>
  <c r="Q129" i="1"/>
  <c r="R129" i="1" s="1"/>
  <c r="U78" i="1"/>
  <c r="V78" i="1" s="1"/>
  <c r="S78" i="1"/>
  <c r="Q78" i="1"/>
  <c r="R78" i="1" s="1"/>
  <c r="U81" i="1"/>
  <c r="V81" i="1" s="1"/>
  <c r="S81" i="1"/>
  <c r="Q81" i="1"/>
  <c r="R81" i="1" s="1"/>
  <c r="U173" i="1"/>
  <c r="V173" i="1" s="1"/>
  <c r="F22" i="13" s="1"/>
  <c r="S173" i="1"/>
  <c r="Q173" i="1"/>
  <c r="R173" i="1" s="1"/>
  <c r="C22" i="13" s="1"/>
  <c r="Q339" i="1"/>
  <c r="R339" i="1" s="1"/>
  <c r="U339" i="1"/>
  <c r="V339" i="1" s="1"/>
  <c r="S339" i="1"/>
  <c r="U319" i="1"/>
  <c r="V319" i="1" s="1"/>
  <c r="S319" i="1"/>
  <c r="Q319" i="1"/>
  <c r="R319" i="1" s="1"/>
  <c r="Q381" i="1"/>
  <c r="R381" i="1" s="1"/>
  <c r="U381" i="1"/>
  <c r="V381" i="1" s="1"/>
  <c r="S381" i="1"/>
  <c r="U26" i="1"/>
  <c r="V26" i="1" s="1"/>
  <c r="S26" i="1"/>
  <c r="Q26" i="1"/>
  <c r="R26" i="1" s="1"/>
  <c r="U154" i="1"/>
  <c r="V154" i="1" s="1"/>
  <c r="S154" i="1"/>
  <c r="Q154" i="1"/>
  <c r="R154" i="1" s="1"/>
  <c r="U295" i="1"/>
  <c r="V295" i="1" s="1"/>
  <c r="S295" i="1"/>
  <c r="Q295" i="1"/>
  <c r="R295" i="1" s="1"/>
  <c r="U64" i="1"/>
  <c r="V64" i="1" s="1"/>
  <c r="Q64" i="1"/>
  <c r="R64" i="1" s="1"/>
  <c r="S64" i="1"/>
  <c r="U110" i="1"/>
  <c r="V110" i="1" s="1"/>
  <c r="S110" i="1"/>
  <c r="Q110" i="1"/>
  <c r="R110" i="1" s="1"/>
  <c r="U119" i="1"/>
  <c r="V119" i="1" s="1"/>
  <c r="S119" i="1"/>
  <c r="Q119" i="1"/>
  <c r="R119" i="1" s="1"/>
  <c r="U71" i="1"/>
  <c r="V71" i="1" s="1"/>
  <c r="S71" i="1"/>
  <c r="Q71" i="1"/>
  <c r="R71" i="1" s="1"/>
  <c r="U48" i="1"/>
  <c r="V48" i="1" s="1"/>
  <c r="Q48" i="1"/>
  <c r="R48" i="1" s="1"/>
  <c r="S48" i="1"/>
  <c r="Q176" i="1"/>
  <c r="R176" i="1" s="1"/>
  <c r="C23" i="13" s="1"/>
  <c r="U176" i="1"/>
  <c r="V176" i="1" s="1"/>
  <c r="F23" i="13" s="1"/>
  <c r="G23" i="13" s="1"/>
  <c r="H23" i="13" s="1"/>
  <c r="S176" i="1"/>
  <c r="U392" i="1"/>
  <c r="V392" i="1" s="1"/>
  <c r="S392" i="1"/>
  <c r="Q392" i="1"/>
  <c r="R392" i="1" s="1"/>
  <c r="U314" i="1"/>
  <c r="V314" i="1" s="1"/>
  <c r="S314" i="1"/>
  <c r="Q314" i="1"/>
  <c r="R314" i="1" s="1"/>
  <c r="U384" i="1"/>
  <c r="V384" i="1" s="1"/>
  <c r="S384" i="1"/>
  <c r="Q384" i="1"/>
  <c r="R384" i="1" s="1"/>
  <c r="U45" i="1"/>
  <c r="V45" i="1" s="1"/>
  <c r="S45" i="1"/>
  <c r="Q45" i="1"/>
  <c r="R45" i="1" s="1"/>
  <c r="U197" i="1"/>
  <c r="V197" i="1" s="1"/>
  <c r="S197" i="1"/>
  <c r="Q197" i="1"/>
  <c r="R197" i="1" s="1"/>
  <c r="S296" i="1"/>
  <c r="Q296" i="1"/>
  <c r="R296" i="1" s="1"/>
  <c r="U296" i="1"/>
  <c r="V296" i="1" s="1"/>
  <c r="U97" i="1"/>
  <c r="V97" i="1" s="1"/>
  <c r="Q97" i="1"/>
  <c r="R97" i="1" s="1"/>
  <c r="S97" i="1"/>
  <c r="U303" i="1"/>
  <c r="V303" i="1" s="1"/>
  <c r="S303" i="1"/>
  <c r="Q303" i="1"/>
  <c r="R303" i="1" s="1"/>
  <c r="Q37" i="1"/>
  <c r="R37" i="1" s="1"/>
  <c r="U40" i="1"/>
  <c r="V40" i="1" s="1"/>
  <c r="S40" i="1"/>
  <c r="Q40" i="1"/>
  <c r="R40" i="1" s="1"/>
  <c r="Q102" i="1"/>
  <c r="R102" i="1" s="1"/>
  <c r="S102" i="1"/>
  <c r="U102" i="1"/>
  <c r="V102" i="1" s="1"/>
  <c r="U111" i="1"/>
  <c r="V111" i="1" s="1"/>
  <c r="S111" i="1"/>
  <c r="Q111" i="1"/>
  <c r="R111" i="1" s="1"/>
  <c r="Q120" i="1"/>
  <c r="R120" i="1" s="1"/>
  <c r="S120" i="1"/>
  <c r="U120" i="1"/>
  <c r="V120" i="1" s="1"/>
  <c r="Q128" i="1"/>
  <c r="R128" i="1" s="1"/>
  <c r="S128" i="1"/>
  <c r="U128" i="1"/>
  <c r="V128" i="1" s="1"/>
  <c r="U100" i="1"/>
  <c r="V100" i="1" s="1"/>
  <c r="S100" i="1"/>
  <c r="Q100" i="1"/>
  <c r="R100" i="1" s="1"/>
  <c r="U121" i="1"/>
  <c r="V121" i="1" s="1"/>
  <c r="S121" i="1"/>
  <c r="Q121" i="1"/>
  <c r="R121" i="1" s="1"/>
  <c r="U75" i="1"/>
  <c r="V75" i="1" s="1"/>
  <c r="S75" i="1"/>
  <c r="Q75" i="1"/>
  <c r="R75" i="1" s="1"/>
  <c r="U79" i="1"/>
  <c r="V79" i="1" s="1"/>
  <c r="S79" i="1"/>
  <c r="Q79" i="1"/>
  <c r="R79" i="1" s="1"/>
  <c r="Q85" i="1"/>
  <c r="R85" i="1" s="1"/>
  <c r="S85" i="1"/>
  <c r="U85" i="1"/>
  <c r="V85" i="1" s="1"/>
  <c r="Q389" i="1"/>
  <c r="R389" i="1" s="1"/>
  <c r="U389" i="1"/>
  <c r="V389" i="1" s="1"/>
  <c r="S389" i="1"/>
  <c r="Q201" i="1"/>
  <c r="R201" i="1" s="1"/>
  <c r="U201" i="1"/>
  <c r="V201" i="1" s="1"/>
  <c r="S201" i="1"/>
  <c r="U399" i="1"/>
  <c r="V399" i="1" s="1"/>
  <c r="S399" i="1"/>
  <c r="Q399" i="1"/>
  <c r="R399" i="1" s="1"/>
  <c r="S317" i="1"/>
  <c r="Q317" i="1"/>
  <c r="R317" i="1" s="1"/>
  <c r="U317" i="1"/>
  <c r="V317" i="1" s="1"/>
  <c r="Q297" i="1"/>
  <c r="R297" i="1" s="1"/>
  <c r="U297" i="1"/>
  <c r="V297" i="1" s="1"/>
  <c r="S297" i="1"/>
  <c r="S37" i="1"/>
  <c r="U76" i="1"/>
  <c r="V76" i="1" s="1"/>
  <c r="S76" i="1"/>
  <c r="Q76" i="1"/>
  <c r="R76" i="1" s="1"/>
  <c r="S73" i="1"/>
  <c r="U67" i="1"/>
  <c r="V67" i="1" s="1"/>
  <c r="S67" i="1"/>
  <c r="Q67" i="1"/>
  <c r="R67" i="1" s="1"/>
  <c r="U301" i="1"/>
  <c r="V301" i="1" s="1"/>
  <c r="S301" i="1"/>
  <c r="Q301" i="1"/>
  <c r="R301" i="1" s="1"/>
  <c r="U65" i="1"/>
  <c r="V65" i="1" s="1"/>
  <c r="S65" i="1"/>
  <c r="Q65" i="1"/>
  <c r="R65" i="1" s="1"/>
  <c r="Q112" i="1"/>
  <c r="R112" i="1" s="1"/>
  <c r="S112" i="1"/>
  <c r="U112" i="1"/>
  <c r="V112" i="1" s="1"/>
  <c r="S82" i="1"/>
  <c r="Q82" i="1"/>
  <c r="R82" i="1" s="1"/>
  <c r="U82" i="1"/>
  <c r="V82" i="1" s="1"/>
  <c r="U96" i="1"/>
  <c r="V96" i="1" s="1"/>
  <c r="S96" i="1"/>
  <c r="Q96" i="1"/>
  <c r="R96" i="1" s="1"/>
  <c r="Q214" i="1"/>
  <c r="R214" i="1" s="1"/>
  <c r="U214" i="1"/>
  <c r="V214" i="1" s="1"/>
  <c r="S214" i="1"/>
  <c r="U27" i="1"/>
  <c r="V27" i="1" s="1"/>
  <c r="S27" i="1"/>
  <c r="Q27" i="1"/>
  <c r="R27" i="1" s="1"/>
  <c r="Q320" i="1"/>
  <c r="R320" i="1" s="1"/>
  <c r="U320" i="1"/>
  <c r="V320" i="1" s="1"/>
  <c r="S320" i="1"/>
  <c r="U84" i="1"/>
  <c r="V84" i="1" s="1"/>
  <c r="S84" i="1"/>
  <c r="Q84" i="1"/>
  <c r="R84" i="1" s="1"/>
  <c r="U298" i="1"/>
  <c r="V298" i="1" s="1"/>
  <c r="S298" i="1"/>
  <c r="Q298" i="1"/>
  <c r="R298" i="1" s="1"/>
  <c r="U194" i="1"/>
  <c r="V194" i="1" s="1"/>
  <c r="S194" i="1"/>
  <c r="Q194" i="1"/>
  <c r="R194" i="1" s="1"/>
  <c r="U37" i="1"/>
  <c r="V37" i="1" s="1"/>
  <c r="Q42" i="1"/>
  <c r="R42" i="1" s="1"/>
  <c r="S42" i="1"/>
  <c r="U42" i="1"/>
  <c r="V42" i="1" s="1"/>
  <c r="Q69" i="1"/>
  <c r="R69" i="1" s="1"/>
  <c r="S69" i="1"/>
  <c r="U69" i="1"/>
  <c r="V69" i="1" s="1"/>
  <c r="U95" i="1"/>
  <c r="V95" i="1" s="1"/>
  <c r="S95" i="1"/>
  <c r="Q95" i="1"/>
  <c r="R95" i="1" s="1"/>
  <c r="U113" i="1"/>
  <c r="V113" i="1" s="1"/>
  <c r="S113" i="1"/>
  <c r="Q113" i="1"/>
  <c r="R113" i="1" s="1"/>
  <c r="S109" i="1"/>
  <c r="Q109" i="1"/>
  <c r="R109" i="1" s="1"/>
  <c r="U109" i="1"/>
  <c r="V109" i="1" s="1"/>
  <c r="U68" i="1"/>
  <c r="V68" i="1" s="1"/>
  <c r="S68" i="1"/>
  <c r="Q68" i="1"/>
  <c r="R68" i="1" s="1"/>
  <c r="U222" i="1"/>
  <c r="V222" i="1" s="1"/>
  <c r="S222" i="1"/>
  <c r="Q222" i="1"/>
  <c r="R222" i="1" s="1"/>
  <c r="U225" i="1"/>
  <c r="V225" i="1" s="1"/>
  <c r="S225" i="1"/>
  <c r="Q225" i="1"/>
  <c r="R225" i="1" s="1"/>
  <c r="S315" i="1"/>
  <c r="U315" i="1"/>
  <c r="V315" i="1" s="1"/>
  <c r="Q315" i="1"/>
  <c r="R315" i="1" s="1"/>
  <c r="U377" i="1"/>
  <c r="V377" i="1" s="1"/>
  <c r="S377" i="1"/>
  <c r="Q377" i="1"/>
  <c r="R377" i="1" s="1"/>
  <c r="Q33" i="1"/>
  <c r="R33" i="1" s="1"/>
  <c r="U33" i="1"/>
  <c r="V33" i="1" s="1"/>
  <c r="S33" i="1"/>
  <c r="Q73" i="1"/>
  <c r="R73" i="1" s="1"/>
  <c r="L44" i="1"/>
  <c r="S44" i="1"/>
  <c r="Q44" i="1"/>
  <c r="R44" i="1" s="1"/>
  <c r="U44" i="1"/>
  <c r="V44" i="1" s="1"/>
  <c r="L321" i="1"/>
  <c r="L316" i="1"/>
  <c r="L380" i="1"/>
  <c r="L77" i="1"/>
  <c r="L302" i="1"/>
  <c r="L69" i="1"/>
  <c r="L95" i="1"/>
  <c r="L113" i="1"/>
  <c r="L109" i="1"/>
  <c r="L68" i="1"/>
  <c r="L173" i="1"/>
  <c r="L339" i="1"/>
  <c r="L319" i="1"/>
  <c r="L381" i="1"/>
  <c r="L153" i="1"/>
  <c r="L40" i="1"/>
  <c r="L114" i="1"/>
  <c r="L124" i="1"/>
  <c r="L76" i="1"/>
  <c r="L80" i="1"/>
  <c r="L389" i="1"/>
  <c r="L176" i="1"/>
  <c r="L314" i="1"/>
  <c r="L384" i="1"/>
  <c r="L306" i="1"/>
  <c r="L53" i="1"/>
  <c r="L184" i="1"/>
  <c r="S12" i="1"/>
  <c r="U12" i="1"/>
  <c r="Q12" i="1"/>
  <c r="L66" i="1"/>
  <c r="L41" i="1"/>
  <c r="L115" i="1"/>
  <c r="L118" i="1"/>
  <c r="L127" i="1"/>
  <c r="L83" i="1"/>
  <c r="L125" i="1"/>
  <c r="L96" i="1"/>
  <c r="L201" i="1"/>
  <c r="L317" i="1"/>
  <c r="U20" i="1"/>
  <c r="V20" i="1" s="1"/>
  <c r="S20" i="1"/>
  <c r="Q20" i="1"/>
  <c r="R20" i="1" s="1"/>
  <c r="L20" i="1"/>
  <c r="L54" i="1"/>
  <c r="L293" i="1"/>
  <c r="L196" i="1"/>
  <c r="L303" i="1"/>
  <c r="L57" i="1"/>
  <c r="S57" i="1"/>
  <c r="U57" i="1"/>
  <c r="V57" i="1" s="1"/>
  <c r="Q57" i="1"/>
  <c r="R57" i="1" s="1"/>
  <c r="L63" i="1"/>
  <c r="L117" i="1"/>
  <c r="L126" i="1"/>
  <c r="L74" i="1"/>
  <c r="L72" i="1"/>
  <c r="N235" i="1"/>
  <c r="L214" i="1"/>
  <c r="L27" i="1"/>
  <c r="L320" i="1"/>
  <c r="L84" i="1"/>
  <c r="U19" i="1"/>
  <c r="V19" i="1" s="1"/>
  <c r="S19" i="1"/>
  <c r="Q19" i="1"/>
  <c r="R19" i="1" s="1"/>
  <c r="L19" i="1"/>
  <c r="L154" i="1"/>
  <c r="L194" i="1"/>
  <c r="L301" i="1"/>
  <c r="L139" i="1"/>
  <c r="L70" i="1"/>
  <c r="L123" i="1"/>
  <c r="L129" i="1"/>
  <c r="L78" i="1"/>
  <c r="L81" i="1"/>
  <c r="L300" i="1"/>
  <c r="L225" i="1"/>
  <c r="L315" i="1"/>
  <c r="L377" i="1"/>
  <c r="U32" i="1"/>
  <c r="V32" i="1" s="1"/>
  <c r="Q32" i="1"/>
  <c r="R32" i="1" s="1"/>
  <c r="L32" i="1"/>
  <c r="L197" i="1"/>
  <c r="L294" i="1"/>
  <c r="L65" i="1"/>
  <c r="L112" i="1"/>
  <c r="L82" i="1"/>
  <c r="L297" i="1"/>
  <c r="L208" i="1"/>
  <c r="U208" i="1"/>
  <c r="V208" i="1" s="1"/>
  <c r="S208" i="1"/>
  <c r="Q208" i="1"/>
  <c r="R208" i="1" s="1"/>
  <c r="L103" i="1"/>
  <c r="L25" i="1"/>
  <c r="U25" i="1"/>
  <c r="V25" i="1" s="1"/>
  <c r="S25" i="1"/>
  <c r="Q25" i="1"/>
  <c r="R25" i="1" s="1"/>
  <c r="L28" i="1"/>
  <c r="U28" i="1"/>
  <c r="V28" i="1" s="1"/>
  <c r="Q28" i="1"/>
  <c r="R28" i="1" s="1"/>
  <c r="S28" i="1"/>
  <c r="L64" i="1"/>
  <c r="L71" i="1"/>
  <c r="L48" i="1"/>
  <c r="L231" i="1"/>
  <c r="L318" i="1"/>
  <c r="L378" i="1"/>
  <c r="L160" i="1"/>
  <c r="L295" i="1"/>
  <c r="L50" i="1"/>
  <c r="S50" i="1"/>
  <c r="U50" i="1"/>
  <c r="V50" i="1" s="1"/>
  <c r="Q50" i="1"/>
  <c r="R50" i="1" s="1"/>
  <c r="L101" i="1"/>
  <c r="L116" i="1"/>
  <c r="L398" i="1"/>
  <c r="L30" i="1"/>
  <c r="U30" i="1"/>
  <c r="V30" i="1" s="1"/>
  <c r="S30" i="1"/>
  <c r="Q30" i="1"/>
  <c r="R30" i="1" s="1"/>
  <c r="L102" i="1"/>
  <c r="L67" i="1"/>
  <c r="L110" i="1"/>
  <c r="L119" i="1"/>
  <c r="L39" i="1"/>
  <c r="Q39" i="1"/>
  <c r="R39" i="1" s="1"/>
  <c r="U39" i="1"/>
  <c r="V39" i="1" s="1"/>
  <c r="S39" i="1"/>
  <c r="L111" i="1"/>
  <c r="L128" i="1"/>
  <c r="L100" i="1"/>
  <c r="L121" i="1"/>
  <c r="L75" i="1"/>
  <c r="L79" i="1"/>
  <c r="L85" i="1"/>
  <c r="L58" i="1"/>
  <c r="L284" i="1"/>
  <c r="L382" i="1"/>
  <c r="L379" i="1"/>
  <c r="L296" i="1"/>
  <c r="L97" i="1"/>
  <c r="L232" i="1"/>
  <c r="P397" i="1"/>
  <c r="N391" i="1"/>
  <c r="N390" i="1"/>
  <c r="N388" i="1"/>
  <c r="N387" i="1"/>
  <c r="N386" i="1"/>
  <c r="N385" i="1"/>
  <c r="N383" i="1"/>
  <c r="P366" i="1"/>
  <c r="N366" i="1"/>
  <c r="P361" i="1"/>
  <c r="N361" i="1"/>
  <c r="P360" i="1"/>
  <c r="N360" i="1"/>
  <c r="N350" i="1"/>
  <c r="N347" i="1"/>
  <c r="N313" i="1"/>
  <c r="N306" i="1"/>
  <c r="N299" i="1"/>
  <c r="N298" i="1"/>
  <c r="N297" i="1"/>
  <c r="N296" i="1"/>
  <c r="N295" i="1"/>
  <c r="N282" i="1"/>
  <c r="N281" i="1"/>
  <c r="N280" i="1"/>
  <c r="N279" i="1"/>
  <c r="N278" i="1"/>
  <c r="N277" i="1"/>
  <c r="P269" i="1"/>
  <c r="N269" i="1"/>
  <c r="N234" i="1"/>
  <c r="N232" i="1"/>
  <c r="N230" i="1"/>
  <c r="N217" i="1"/>
  <c r="N202" i="1"/>
  <c r="N200" i="1"/>
  <c r="N199" i="1"/>
  <c r="N198" i="1"/>
  <c r="N195" i="1"/>
  <c r="P193" i="1"/>
  <c r="N193" i="1"/>
  <c r="P192" i="1"/>
  <c r="N192" i="1"/>
  <c r="N185" i="1"/>
  <c r="N184" i="1"/>
  <c r="P182" i="1"/>
  <c r="N182" i="1"/>
  <c r="P181" i="1"/>
  <c r="N181" i="1"/>
  <c r="N170" i="1"/>
  <c r="N168" i="1"/>
  <c r="N165" i="1"/>
  <c r="N164" i="1"/>
  <c r="N163" i="1"/>
  <c r="N162" i="1"/>
  <c r="N154" i="1"/>
  <c r="N153" i="1"/>
  <c r="N152" i="1"/>
  <c r="N151" i="1"/>
  <c r="N145" i="1"/>
  <c r="P144" i="1"/>
  <c r="N144" i="1"/>
  <c r="P143" i="1"/>
  <c r="N143" i="1"/>
  <c r="N142" i="1"/>
  <c r="N138" i="1"/>
  <c r="N137" i="1"/>
  <c r="N136" i="1"/>
  <c r="N101" i="1"/>
  <c r="N98" i="1"/>
  <c r="N54" i="1"/>
  <c r="N53" i="1"/>
  <c r="N48" i="1"/>
  <c r="R54" i="1" l="1"/>
  <c r="C9" i="13" s="1"/>
  <c r="T54" i="1"/>
  <c r="C27" i="13"/>
  <c r="D27" i="13" s="1"/>
  <c r="E27" i="13" s="1"/>
  <c r="C6" i="13"/>
  <c r="D22" i="13"/>
  <c r="E22" i="13" s="1"/>
  <c r="C45" i="13"/>
  <c r="C29" i="13"/>
  <c r="D37" i="13"/>
  <c r="E37" i="13" s="1"/>
  <c r="C7" i="13"/>
  <c r="C16" i="13"/>
  <c r="D23" i="13"/>
  <c r="E23" i="13" s="1"/>
  <c r="C39" i="13"/>
  <c r="C30" i="13"/>
  <c r="G22" i="13"/>
  <c r="H22" i="13" s="1"/>
  <c r="C11" i="13"/>
  <c r="C15" i="13"/>
  <c r="G37" i="13"/>
  <c r="H37" i="13" s="1"/>
  <c r="F45" i="13"/>
  <c r="F29" i="13"/>
  <c r="F16" i="13"/>
  <c r="F15" i="13"/>
  <c r="G15" i="13" s="1"/>
  <c r="H15" i="13" s="1"/>
  <c r="F6" i="13"/>
  <c r="O3" i="13"/>
  <c r="F7" i="13"/>
  <c r="G7" i="13" s="1"/>
  <c r="H7" i="13" s="1"/>
  <c r="F27" i="13"/>
  <c r="G27" i="13" s="1"/>
  <c r="H27" i="13" s="1"/>
  <c r="F39" i="13"/>
  <c r="G39" i="13" s="1"/>
  <c r="H39" i="13" s="1"/>
  <c r="F30" i="13"/>
  <c r="F9" i="13"/>
  <c r="F11" i="13"/>
  <c r="G11" i="13" s="1"/>
  <c r="H11" i="13" s="1"/>
  <c r="B360" i="1"/>
  <c r="B192" i="1"/>
  <c r="B397" i="1"/>
  <c r="B269" i="1"/>
  <c r="N398" i="1"/>
  <c r="B398" i="1"/>
  <c r="B193" i="1"/>
  <c r="T96" i="1"/>
  <c r="W96" i="1"/>
  <c r="W124" i="1"/>
  <c r="T124" i="1"/>
  <c r="T321" i="1"/>
  <c r="W321" i="1"/>
  <c r="W117" i="1"/>
  <c r="T117" i="1"/>
  <c r="W63" i="1"/>
  <c r="T63" i="1"/>
  <c r="W41" i="1"/>
  <c r="T41" i="1"/>
  <c r="T293" i="1"/>
  <c r="W293" i="1"/>
  <c r="W113" i="1"/>
  <c r="T113" i="1"/>
  <c r="T298" i="1"/>
  <c r="W298" i="1"/>
  <c r="W65" i="1"/>
  <c r="T65" i="1"/>
  <c r="T73" i="1"/>
  <c r="W73" i="1"/>
  <c r="T79" i="1"/>
  <c r="W79" i="1"/>
  <c r="W40" i="1"/>
  <c r="T40" i="1"/>
  <c r="T45" i="1"/>
  <c r="W45" i="1"/>
  <c r="T110" i="1"/>
  <c r="W110" i="1"/>
  <c r="W173" i="1"/>
  <c r="T173" i="1"/>
  <c r="W54" i="1"/>
  <c r="W235" i="1"/>
  <c r="T235" i="1"/>
  <c r="T103" i="1"/>
  <c r="W103" i="1"/>
  <c r="W120" i="1"/>
  <c r="T120" i="1"/>
  <c r="W38" i="1"/>
  <c r="T38" i="1"/>
  <c r="W58" i="1"/>
  <c r="T58" i="1"/>
  <c r="V136" i="1"/>
  <c r="C17" i="13"/>
  <c r="W33" i="1"/>
  <c r="T33" i="1"/>
  <c r="T42" i="1"/>
  <c r="W42" i="1"/>
  <c r="W27" i="1"/>
  <c r="T27" i="1"/>
  <c r="T389" i="1"/>
  <c r="W389" i="1"/>
  <c r="W100" i="1"/>
  <c r="T100" i="1"/>
  <c r="T392" i="1"/>
  <c r="W392" i="1"/>
  <c r="T154" i="1"/>
  <c r="W154" i="1"/>
  <c r="W129" i="1"/>
  <c r="T129" i="1"/>
  <c r="W247" i="1"/>
  <c r="T247" i="1"/>
  <c r="T380" i="1"/>
  <c r="W380" i="1"/>
  <c r="T74" i="1"/>
  <c r="W74" i="1"/>
  <c r="T116" i="1"/>
  <c r="W116" i="1"/>
  <c r="W382" i="1"/>
  <c r="T382" i="1"/>
  <c r="W125" i="1"/>
  <c r="T125" i="1"/>
  <c r="W118" i="1"/>
  <c r="T118" i="1"/>
  <c r="W225" i="1"/>
  <c r="T225" i="1"/>
  <c r="T194" i="1"/>
  <c r="W194" i="1"/>
  <c r="T315" i="1"/>
  <c r="W315" i="1"/>
  <c r="T68" i="1"/>
  <c r="W68" i="1"/>
  <c r="W76" i="1"/>
  <c r="T76" i="1"/>
  <c r="T317" i="1"/>
  <c r="W317" i="1"/>
  <c r="W111" i="1"/>
  <c r="T111" i="1"/>
  <c r="T71" i="1"/>
  <c r="W71" i="1"/>
  <c r="T64" i="1"/>
  <c r="W64" i="1"/>
  <c r="T319" i="1"/>
  <c r="W319" i="1"/>
  <c r="T139" i="1"/>
  <c r="W139" i="1"/>
  <c r="W80" i="1"/>
  <c r="T80" i="1"/>
  <c r="T234" i="1"/>
  <c r="W234" i="1"/>
  <c r="T231" i="1"/>
  <c r="W231" i="1"/>
  <c r="T222" i="1"/>
  <c r="W222" i="1"/>
  <c r="U151" i="1"/>
  <c r="V151" i="1" s="1"/>
  <c r="F20" i="13" s="1"/>
  <c r="S151" i="1"/>
  <c r="Q151" i="1"/>
  <c r="R151" i="1" s="1"/>
  <c r="C20" i="13" s="1"/>
  <c r="W95" i="1"/>
  <c r="T95" i="1"/>
  <c r="W84" i="1"/>
  <c r="T84" i="1"/>
  <c r="T214" i="1"/>
  <c r="W214" i="1"/>
  <c r="W82" i="1"/>
  <c r="T82" i="1"/>
  <c r="T301" i="1"/>
  <c r="W301" i="1"/>
  <c r="T75" i="1"/>
  <c r="W75" i="1"/>
  <c r="T296" i="1"/>
  <c r="W296" i="1"/>
  <c r="W384" i="1"/>
  <c r="T384" i="1"/>
  <c r="T176" i="1"/>
  <c r="W176" i="1"/>
  <c r="T81" i="1"/>
  <c r="W81" i="1"/>
  <c r="W123" i="1"/>
  <c r="T123" i="1"/>
  <c r="W77" i="1"/>
  <c r="T77" i="1"/>
  <c r="T126" i="1"/>
  <c r="W126" i="1"/>
  <c r="W378" i="1"/>
  <c r="T378" i="1"/>
  <c r="T365" i="1"/>
  <c r="W365" i="1"/>
  <c r="W83" i="1"/>
  <c r="T83" i="1"/>
  <c r="T115" i="1"/>
  <c r="W115" i="1"/>
  <c r="T66" i="1"/>
  <c r="W66" i="1"/>
  <c r="T37" i="1"/>
  <c r="W37" i="1"/>
  <c r="W399" i="1"/>
  <c r="T399" i="1"/>
  <c r="W128" i="1"/>
  <c r="T128" i="1"/>
  <c r="T303" i="1"/>
  <c r="W303" i="1"/>
  <c r="W26" i="1"/>
  <c r="T26" i="1"/>
  <c r="T339" i="1"/>
  <c r="W339" i="1"/>
  <c r="W316" i="1"/>
  <c r="T316" i="1"/>
  <c r="W72" i="1"/>
  <c r="T72" i="1"/>
  <c r="T70" i="1"/>
  <c r="W70" i="1"/>
  <c r="T318" i="1"/>
  <c r="W318" i="1"/>
  <c r="T302" i="1"/>
  <c r="W302" i="1"/>
  <c r="W112" i="1"/>
  <c r="T112" i="1"/>
  <c r="T297" i="1"/>
  <c r="W297" i="1"/>
  <c r="T85" i="1"/>
  <c r="W85" i="1"/>
  <c r="W197" i="1"/>
  <c r="T197" i="1"/>
  <c r="T119" i="1"/>
  <c r="W119" i="1"/>
  <c r="T284" i="1"/>
  <c r="W284" i="1"/>
  <c r="T300" i="1"/>
  <c r="W300" i="1"/>
  <c r="W101" i="1"/>
  <c r="T101" i="1"/>
  <c r="T114" i="1"/>
  <c r="W114" i="1"/>
  <c r="T320" i="1"/>
  <c r="W320" i="1"/>
  <c r="W102" i="1"/>
  <c r="T102" i="1"/>
  <c r="W377" i="1"/>
  <c r="T377" i="1"/>
  <c r="W109" i="1"/>
  <c r="T109" i="1"/>
  <c r="T69" i="1"/>
  <c r="W69" i="1"/>
  <c r="W67" i="1"/>
  <c r="T67" i="1"/>
  <c r="T201" i="1"/>
  <c r="W201" i="1"/>
  <c r="W121" i="1"/>
  <c r="T121" i="1"/>
  <c r="T97" i="1"/>
  <c r="W97" i="1"/>
  <c r="W314" i="1"/>
  <c r="T314" i="1"/>
  <c r="T48" i="1"/>
  <c r="W48" i="1"/>
  <c r="W295" i="1"/>
  <c r="T295" i="1"/>
  <c r="W381" i="1"/>
  <c r="T381" i="1"/>
  <c r="T78" i="1"/>
  <c r="W78" i="1"/>
  <c r="W294" i="1"/>
  <c r="T294" i="1"/>
  <c r="W23" i="1"/>
  <c r="T23" i="1"/>
  <c r="T379" i="1"/>
  <c r="W379" i="1"/>
  <c r="T127" i="1"/>
  <c r="W127" i="1"/>
  <c r="Q398" i="1"/>
  <c r="R398" i="1" s="1"/>
  <c r="T39" i="1"/>
  <c r="W39" i="1"/>
  <c r="L168" i="1"/>
  <c r="W19" i="1"/>
  <c r="T19" i="1"/>
  <c r="L143" i="1"/>
  <c r="L277" i="1"/>
  <c r="N335" i="1"/>
  <c r="L170" i="1"/>
  <c r="L200" i="1"/>
  <c r="L282" i="1"/>
  <c r="L98" i="1"/>
  <c r="L144" i="1"/>
  <c r="L185" i="1"/>
  <c r="L234" i="1"/>
  <c r="L387" i="1"/>
  <c r="Q397" i="1"/>
  <c r="R397" i="1" s="1"/>
  <c r="U397" i="1"/>
  <c r="V397" i="1" s="1"/>
  <c r="S397" i="1"/>
  <c r="L397" i="1"/>
  <c r="S398" i="1"/>
  <c r="T28" i="1"/>
  <c r="W28" i="1"/>
  <c r="L199" i="1"/>
  <c r="W208" i="1"/>
  <c r="T208" i="1"/>
  <c r="L137" i="1"/>
  <c r="L138" i="1"/>
  <c r="L164" i="1"/>
  <c r="L181" i="1"/>
  <c r="L195" i="1"/>
  <c r="L202" i="1"/>
  <c r="L279" i="1"/>
  <c r="L350" i="1"/>
  <c r="N376" i="1"/>
  <c r="U398" i="1"/>
  <c r="V398" i="1" s="1"/>
  <c r="T32" i="1"/>
  <c r="W32" i="1"/>
  <c r="W57" i="1"/>
  <c r="T57" i="1"/>
  <c r="W20" i="1"/>
  <c r="T20" i="1"/>
  <c r="R12" i="1"/>
  <c r="C2" i="13" s="1"/>
  <c r="L162" i="1"/>
  <c r="L281" i="1"/>
  <c r="L193" i="1"/>
  <c r="L391" i="1"/>
  <c r="L152" i="1"/>
  <c r="L361" i="1"/>
  <c r="N191" i="1"/>
  <c r="Q269" i="1"/>
  <c r="R269" i="1" s="1"/>
  <c r="U269" i="1"/>
  <c r="V269" i="1" s="1"/>
  <c r="S269" i="1"/>
  <c r="L269" i="1"/>
  <c r="U313" i="1"/>
  <c r="V313" i="1" s="1"/>
  <c r="S313" i="1"/>
  <c r="Q313" i="1"/>
  <c r="R313" i="1" s="1"/>
  <c r="L313" i="1"/>
  <c r="N362" i="1"/>
  <c r="L383" i="1"/>
  <c r="L388" i="1"/>
  <c r="V12" i="1"/>
  <c r="F2" i="13" s="1"/>
  <c r="L136" i="1"/>
  <c r="L230" i="1"/>
  <c r="L278" i="1"/>
  <c r="L347" i="1"/>
  <c r="U135" i="1"/>
  <c r="V135" i="1" s="1"/>
  <c r="S135" i="1"/>
  <c r="L135" i="1"/>
  <c r="L145" i="1"/>
  <c r="L165" i="1"/>
  <c r="L192" i="1"/>
  <c r="L198" i="1"/>
  <c r="L217" i="1"/>
  <c r="L280" i="1"/>
  <c r="N352" i="1"/>
  <c r="N363" i="1"/>
  <c r="T30" i="1"/>
  <c r="W30" i="1"/>
  <c r="W12" i="1"/>
  <c r="T12" i="1"/>
  <c r="W44" i="1"/>
  <c r="T44" i="1"/>
  <c r="L151" i="1"/>
  <c r="L299" i="1"/>
  <c r="T25" i="1"/>
  <c r="W25" i="1"/>
  <c r="N336" i="1"/>
  <c r="L386" i="1"/>
  <c r="L163" i="1"/>
  <c r="L142" i="1"/>
  <c r="L182" i="1"/>
  <c r="N333" i="1"/>
  <c r="S360" i="1"/>
  <c r="Q360" i="1"/>
  <c r="R360" i="1" s="1"/>
  <c r="C44" i="13" s="1"/>
  <c r="U360" i="1"/>
  <c r="V360" i="1" s="1"/>
  <c r="F44" i="13" s="1"/>
  <c r="L360" i="1"/>
  <c r="L366" i="1"/>
  <c r="L385" i="1"/>
  <c r="L390" i="1"/>
  <c r="T50" i="1"/>
  <c r="W50" i="1"/>
  <c r="K3" i="13" l="1"/>
  <c r="L3" i="13" s="1"/>
  <c r="F8" i="13"/>
  <c r="C46" i="13"/>
  <c r="D46" i="13" s="1"/>
  <c r="E46" i="13" s="1"/>
  <c r="K2" i="13"/>
  <c r="L2" i="13" s="1"/>
  <c r="D2" i="13"/>
  <c r="E2" i="13" s="1"/>
  <c r="D16" i="13"/>
  <c r="E16" i="13" s="1"/>
  <c r="C19" i="13"/>
  <c r="D20" i="13"/>
  <c r="E20" i="13" s="1"/>
  <c r="G29" i="13"/>
  <c r="H29" i="13" s="1"/>
  <c r="D45" i="13"/>
  <c r="E45" i="13" s="1"/>
  <c r="D11" i="13"/>
  <c r="E11" i="13" s="1"/>
  <c r="D17" i="13"/>
  <c r="E17" i="13" s="1"/>
  <c r="G30" i="13"/>
  <c r="H30" i="13" s="1"/>
  <c r="D7" i="13"/>
  <c r="E7" i="13" s="1"/>
  <c r="O2" i="13"/>
  <c r="P2" i="13" s="1"/>
  <c r="Q2" i="13" s="1"/>
  <c r="G2" i="13"/>
  <c r="H2" i="13" s="1"/>
  <c r="G45" i="13"/>
  <c r="H45" i="13" s="1"/>
  <c r="F5" i="13"/>
  <c r="G6" i="13"/>
  <c r="H6" i="13" s="1"/>
  <c r="C14" i="13"/>
  <c r="D15" i="13"/>
  <c r="E15" i="13" s="1"/>
  <c r="G9" i="13"/>
  <c r="H9" i="13" s="1"/>
  <c r="F19" i="13"/>
  <c r="G19" i="13" s="1"/>
  <c r="H19" i="13" s="1"/>
  <c r="G20" i="13"/>
  <c r="H20" i="13" s="1"/>
  <c r="D30" i="13"/>
  <c r="E30" i="13" s="1"/>
  <c r="C8" i="13"/>
  <c r="D9" i="13"/>
  <c r="E9" i="13" s="1"/>
  <c r="G16" i="13"/>
  <c r="H16" i="13" s="1"/>
  <c r="G44" i="13"/>
  <c r="H44" i="13" s="1"/>
  <c r="D44" i="13"/>
  <c r="E44" i="13" s="1"/>
  <c r="D39" i="13"/>
  <c r="E39" i="13" s="1"/>
  <c r="D29" i="13"/>
  <c r="E29" i="13" s="1"/>
  <c r="C5" i="13"/>
  <c r="D6" i="13"/>
  <c r="E6" i="13" s="1"/>
  <c r="B407" i="1"/>
  <c r="B406" i="1"/>
  <c r="B405" i="1"/>
  <c r="B404" i="1"/>
  <c r="P3" i="13"/>
  <c r="Q3" i="13" s="1"/>
  <c r="AA3" i="13" s="1"/>
  <c r="F17" i="13"/>
  <c r="O4" i="13"/>
  <c r="K4" i="13"/>
  <c r="F46" i="13"/>
  <c r="W136" i="1"/>
  <c r="T136" i="1"/>
  <c r="S233" i="1"/>
  <c r="Q233" i="1"/>
  <c r="R233" i="1" s="1"/>
  <c r="C31" i="13" s="1"/>
  <c r="C28" i="13" s="1"/>
  <c r="U233" i="1"/>
  <c r="V233" i="1" s="1"/>
  <c r="T151" i="1"/>
  <c r="W151" i="1"/>
  <c r="U338" i="1"/>
  <c r="V338" i="1" s="1"/>
  <c r="F41" i="13" s="1"/>
  <c r="S338" i="1"/>
  <c r="Q338" i="1"/>
  <c r="R338" i="1" s="1"/>
  <c r="C41" i="13" s="1"/>
  <c r="U312" i="1"/>
  <c r="V312" i="1" s="1"/>
  <c r="F40" i="13" s="1"/>
  <c r="C40" i="13"/>
  <c r="U346" i="1"/>
  <c r="V346" i="1" s="1"/>
  <c r="F43" i="13" s="1"/>
  <c r="G43" i="13" s="1"/>
  <c r="H43" i="13" s="1"/>
  <c r="R346" i="1"/>
  <c r="C43" i="13" s="1"/>
  <c r="W398" i="1"/>
  <c r="W397" i="1"/>
  <c r="T397" i="1"/>
  <c r="T269" i="1"/>
  <c r="W269" i="1"/>
  <c r="W135" i="1"/>
  <c r="T135" i="1"/>
  <c r="L251" i="1"/>
  <c r="U251" i="1"/>
  <c r="V251" i="1" s="1"/>
  <c r="S251" i="1"/>
  <c r="Q251" i="1"/>
  <c r="R251" i="1" s="1"/>
  <c r="C36" i="13" s="1"/>
  <c r="T398" i="1"/>
  <c r="T360" i="1"/>
  <c r="W360" i="1"/>
  <c r="W313" i="1"/>
  <c r="T313" i="1"/>
  <c r="M3" i="13" l="1"/>
  <c r="W3" i="13"/>
  <c r="D28" i="13"/>
  <c r="E28" i="13" s="1"/>
  <c r="C25" i="13"/>
  <c r="C42" i="13"/>
  <c r="D43" i="13"/>
  <c r="E43" i="13" s="1"/>
  <c r="G5" i="13"/>
  <c r="H5" i="13" s="1"/>
  <c r="D40" i="13"/>
  <c r="E40" i="13" s="1"/>
  <c r="D31" i="13"/>
  <c r="E31" i="13" s="1"/>
  <c r="F14" i="13"/>
  <c r="G17" i="13"/>
  <c r="H17" i="13" s="1"/>
  <c r="D8" i="13"/>
  <c r="E8" i="13" s="1"/>
  <c r="D19" i="13"/>
  <c r="E19" i="13" s="1"/>
  <c r="G41" i="13"/>
  <c r="H41" i="13" s="1"/>
  <c r="F3" i="13"/>
  <c r="G3" i="13" s="1"/>
  <c r="H3" i="13" s="1"/>
  <c r="G8" i="13"/>
  <c r="H8" i="13" s="1"/>
  <c r="D5" i="13"/>
  <c r="E5" i="13" s="1"/>
  <c r="C3" i="13"/>
  <c r="G46" i="13"/>
  <c r="H46" i="13" s="1"/>
  <c r="C12" i="13"/>
  <c r="D14" i="13"/>
  <c r="E14" i="13" s="1"/>
  <c r="C35" i="13"/>
  <c r="D36" i="13"/>
  <c r="E36" i="13" s="1"/>
  <c r="G40" i="13"/>
  <c r="H40" i="13" s="1"/>
  <c r="D41" i="13"/>
  <c r="E41" i="13" s="1"/>
  <c r="C38" i="13"/>
  <c r="D38" i="13" s="1"/>
  <c r="E38" i="13" s="1"/>
  <c r="L4" i="13"/>
  <c r="P4" i="13"/>
  <c r="Q4" i="13" s="1"/>
  <c r="AA4" i="13" s="1"/>
  <c r="AB4" i="13" s="1"/>
  <c r="AA9" i="13" s="1"/>
  <c r="AB9" i="13" s="1"/>
  <c r="W2" i="13"/>
  <c r="M2" i="13"/>
  <c r="F38" i="13"/>
  <c r="K5" i="13"/>
  <c r="F31" i="13"/>
  <c r="O5" i="13"/>
  <c r="K6" i="13"/>
  <c r="F36" i="13"/>
  <c r="O6" i="13"/>
  <c r="F42" i="13"/>
  <c r="V403" i="1"/>
  <c r="V404" i="1" s="1"/>
  <c r="V405" i="1" s="1"/>
  <c r="R403" i="1"/>
  <c r="R404" i="1" s="1"/>
  <c r="R405" i="1" s="1"/>
  <c r="T312" i="1"/>
  <c r="W312" i="1"/>
  <c r="W338" i="1"/>
  <c r="T338" i="1"/>
  <c r="T233" i="1"/>
  <c r="W233" i="1"/>
  <c r="T346" i="1"/>
  <c r="W346" i="1"/>
  <c r="W251" i="1"/>
  <c r="T251" i="1"/>
  <c r="V3" i="13" l="1"/>
  <c r="AF3" i="13"/>
  <c r="W4" i="13"/>
  <c r="D12" i="13"/>
  <c r="E12" i="13" s="1"/>
  <c r="F12" i="13"/>
  <c r="G14" i="13"/>
  <c r="H14" i="13" s="1"/>
  <c r="G42" i="13"/>
  <c r="H42" i="13" s="1"/>
  <c r="D42" i="13"/>
  <c r="E42" i="13" s="1"/>
  <c r="D25" i="13"/>
  <c r="E25" i="13" s="1"/>
  <c r="D35" i="13"/>
  <c r="E35" i="13" s="1"/>
  <c r="C33" i="13"/>
  <c r="G38" i="13"/>
  <c r="H38" i="13" s="1"/>
  <c r="F35" i="13"/>
  <c r="G35" i="13" s="1"/>
  <c r="H35" i="13" s="1"/>
  <c r="G36" i="13"/>
  <c r="H36" i="13" s="1"/>
  <c r="D3" i="13"/>
  <c r="E3" i="13" s="1"/>
  <c r="F28" i="13"/>
  <c r="G31" i="13"/>
  <c r="H31" i="13" s="1"/>
  <c r="P5" i="13"/>
  <c r="Q5" i="13" s="1"/>
  <c r="L5" i="13"/>
  <c r="K8" i="13"/>
  <c r="P6" i="13"/>
  <c r="Q6" i="13" s="1"/>
  <c r="AA6" i="13" s="1"/>
  <c r="AA12" i="13" s="1"/>
  <c r="AB12" i="13" s="1"/>
  <c r="L6" i="13"/>
  <c r="M6" i="13" s="1"/>
  <c r="V2" i="13"/>
  <c r="M4" i="13"/>
  <c r="O8" i="13"/>
  <c r="V4" i="13" l="1"/>
  <c r="AF4" i="13"/>
  <c r="AG4" i="13" s="1"/>
  <c r="V6" i="13"/>
  <c r="AF6" i="13"/>
  <c r="AF12" i="13" s="1"/>
  <c r="AG12" i="13" s="1"/>
  <c r="AF9" i="13"/>
  <c r="AA5" i="13"/>
  <c r="AA11" i="13" s="1"/>
  <c r="AB11" i="13" s="1"/>
  <c r="AB13" i="13" s="1"/>
  <c r="W6" i="13"/>
  <c r="W5" i="13"/>
  <c r="F33" i="13"/>
  <c r="G33" i="13" s="1"/>
  <c r="H33" i="13" s="1"/>
  <c r="D33" i="13"/>
  <c r="E33" i="13" s="1"/>
  <c r="F25" i="13"/>
  <c r="G28" i="13"/>
  <c r="H28" i="13" s="1"/>
  <c r="G12" i="13"/>
  <c r="H12" i="13" s="1"/>
  <c r="L8" i="13"/>
  <c r="M8" i="13" s="1"/>
  <c r="M5" i="13"/>
  <c r="P8" i="13"/>
  <c r="N2" i="13" l="1"/>
  <c r="N5" i="13"/>
  <c r="N6" i="13"/>
  <c r="N7" i="13"/>
  <c r="N4" i="13"/>
  <c r="N3" i="13"/>
  <c r="V5" i="13"/>
  <c r="AF5" i="13"/>
  <c r="AF11" i="13" s="1"/>
  <c r="AG11" i="13" s="1"/>
  <c r="AG9" i="13"/>
  <c r="Q8" i="13"/>
  <c r="G25" i="13"/>
  <c r="H25" i="13" s="1"/>
  <c r="AF13" i="13" l="1"/>
  <c r="AG13" i="13"/>
  <c r="R2" i="13"/>
  <c r="R7" i="13"/>
  <c r="R3" i="13"/>
  <c r="R4" i="13"/>
  <c r="R6" i="13"/>
  <c r="R5" i="13"/>
  <c r="AA13"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Paula Andrea Cogollo Guerra</author>
    <author>Leidy Johana Molano Lozada</author>
  </authors>
  <commentList>
    <comment ref="M235" authorId="0" shapeId="0" xr:uid="{42AAD53A-7B6B-774A-A218-6FC3A5D0AD8B}">
      <text>
        <r>
          <rPr>
            <b/>
            <sz val="10"/>
            <color rgb="FF000000"/>
            <rFont val="Tahoma"/>
            <family val="2"/>
          </rPr>
          <t>Paula Andrea Cogollo Guerra:</t>
        </r>
        <r>
          <rPr>
            <sz val="10"/>
            <color rgb="FF000000"/>
            <rFont val="Tahoma"/>
            <family val="2"/>
          </rPr>
          <t xml:space="preserve">
</t>
        </r>
        <r>
          <rPr>
            <sz val="10"/>
            <color rgb="FF000000"/>
            <rFont val="Tahoma"/>
            <family val="2"/>
          </rPr>
          <t>ese no es el valor</t>
        </r>
      </text>
    </comment>
    <comment ref="Q251" authorId="1" shapeId="0" xr:uid="{AF2D817A-1D32-49F9-8155-507482B81252}">
      <text>
        <r>
          <rPr>
            <b/>
            <sz val="9"/>
            <color rgb="FF000000"/>
            <rFont val="Tahoma"/>
            <family val="2"/>
          </rPr>
          <t>Leidy Johana Molano Lozada:</t>
        </r>
        <r>
          <rPr>
            <sz val="9"/>
            <color rgb="FF000000"/>
            <rFont val="Tahoma"/>
            <family val="2"/>
          </rPr>
          <t xml:space="preserve">
</t>
        </r>
        <r>
          <rPr>
            <sz val="9"/>
            <color rgb="FF000000"/>
            <rFont val="Tahoma"/>
            <family val="2"/>
          </rPr>
          <t>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<sst xmlns="http://schemas.openxmlformats.org/spreadsheetml/2006/main" count="2642" uniqueCount="937">
  <si>
    <t>Cotización 1</t>
  </si>
  <si>
    <t>Cotización 2</t>
  </si>
  <si>
    <t>Cotización 3</t>
  </si>
  <si>
    <t>TOMA DE DECISIONES</t>
  </si>
  <si>
    <t>RELACIÓN COTIZACIONES</t>
  </si>
  <si>
    <t>Rev</t>
  </si>
  <si>
    <t>MATERIALES E INSUMOS</t>
  </si>
  <si>
    <t>DESCRIPCIÓN</t>
  </si>
  <si>
    <t xml:space="preserve">CANTIDAD </t>
  </si>
  <si>
    <t>Unidad de medida</t>
  </si>
  <si>
    <t>Tiempo</t>
  </si>
  <si>
    <t>Valor unitario sin IVA</t>
  </si>
  <si>
    <t>Valor total Sin IVA</t>
  </si>
  <si>
    <t>PROMEDIO UNITARIO</t>
  </si>
  <si>
    <t>TOTAL PROMEDIO SIN IVA</t>
  </si>
  <si>
    <t>DESVIACIÓN ESTANDAR</t>
  </si>
  <si>
    <t>COEFICIENTE DE VARIACIÓN PROMEDIO</t>
  </si>
  <si>
    <t>MEDIANA UNITARIO</t>
  </si>
  <si>
    <t>TOTAL MEDIANA SIN IVA</t>
  </si>
  <si>
    <t>COEFICIENTE DE VARIACIÓN MEDIANA</t>
  </si>
  <si>
    <t>TH</t>
  </si>
  <si>
    <t xml:space="preserve">coordinador(a) general </t>
  </si>
  <si>
    <t xml:space="preserve">Profesional en Ciencias Humanas, Sociales, Administrativas, Educación o afines, con posgrado en Gerencia social, experiencia mínima de 3 años en coordinación de proyectos sociales </t>
  </si>
  <si>
    <t>persona</t>
  </si>
  <si>
    <t>meses</t>
  </si>
  <si>
    <t>Profesional administrativo</t>
  </si>
  <si>
    <t>Profesional en Administración, Contaduría, Economía o áreas afines.
Experiencia:
Mínimo dos (2) años en apoyo administrativo y/o financiero en la ejecución de proyectos, manejo de bases de datos, control documental, elaboración de informes y seguimiento de información.</t>
  </si>
  <si>
    <t>Profesional en Comunicación Social</t>
  </si>
  <si>
    <t>Profesional en Comunicación Social, Audiovisual o áreas afines.
Experiencia:
Mínimo dos (2) años en procesos comunitarios, producción de contenidos y estrategias comunicativas con enfoque social o de género.
Deberá liderar la estrategia de comunicación, producción de contenidos y difusión.</t>
  </si>
  <si>
    <t>PROFESIONAL PSICOSOCIAL</t>
  </si>
  <si>
    <t>Profesional en Psicología, Trabajo Social o áreas afines.
Experiencia mínima de dos (2) años en acompañamiento psicosocial, intervención comunitaria o trabajo con población vulnerable, preferiblemente con mujeres.
Deberá apoyar procesos de bienestar emocional, orientación y manejo de situaciones sensibles durante el desarrollo de las actividades</t>
  </si>
  <si>
    <t>PROFESIONAL DE SEGUIMIENTO Y EVALUACIÓN</t>
  </si>
  <si>
    <t>Profesional en áreas sociales, administrativas o económicas.
Experiencia mínima de dos (2) años en seguimiento, monitoreo o evaluación de proyectos.
Responsable del diseño de instrumentos, consolidación de información, indicadores y elaboración de informes.</t>
  </si>
  <si>
    <t xml:space="preserve">gestores/as  de inscripción </t>
  </si>
  <si>
    <t xml:space="preserve">Técnica en áreas sociales, administrativas o de la salud, con 1 año de experiencia en actividades comunitarias o de inscripción en proyectos sociales. Con habilidades en atención al público, manejo de bases de datos y uso de herramientas digitales. </t>
  </si>
  <si>
    <t>Diseñador (a) gráfico</t>
  </si>
  <si>
    <t>Profesional en Diseño Gráfico o áreas afines.
Experiencia: Mínimo 1 año en diseño de piezas digitales e infografías; experiencia en visualización de información o mapas.
Acreditación: Diploma o acta de grado y portafolio.
Funciones: Diseño del mapa digital, diagramación de la información georreferenciada y adaptación a lineamientos institucionales.</t>
  </si>
  <si>
    <t xml:space="preserve">community manager </t>
  </si>
  <si>
    <t>profesional en comunicación digital, diseño o afines. Experiencia mínima de un (1) año en gestión de redes sociales, análisis de métricas, posicionamiento digital y difusión de campañas sociales con enfoque comunitario.</t>
  </si>
  <si>
    <t>CORPOINDECOL</t>
  </si>
  <si>
    <t>MEDICOS SIN FORNTERAS</t>
  </si>
  <si>
    <t>ANIMAL CITY</t>
  </si>
  <si>
    <t>Lenguaje de señas</t>
  </si>
  <si>
    <t>Certificación vigente en interpretación de LSC. Experiencia de 1 año en eventos.</t>
  </si>
  <si>
    <t>presentación</t>
  </si>
  <si>
    <t>Meta 2 - 2026: Vincular 400 mujeres para el ejercicio de derechos y el fortalecimiento de su autonomía económica</t>
  </si>
  <si>
    <t xml:space="preserve">Coordinador de la meta </t>
  </si>
  <si>
    <t>Perfil:
Profesional en áreas sociales, económicas, administrativas o afines.
Experiencia:
Mínimo tres (3) años en coordinación de proyectos sociales o de desarrollo económico, con experiencia en trabajo con población vulnerable, especialmente mujeres, y en procesos de fortalecimiento de capacidades con enfoque de género.
Acreditación:
Diploma o acta de grado y certificaciones de experiencia relacionada.</t>
  </si>
  <si>
    <t>Profesional social</t>
  </si>
  <si>
    <t>Perfil:
Profesional en Trabajo Social, Psicología, Sociología, Ciencia Política o áreas afines.
Experiencia:
Mínimo dos (2) años en intervención comunitaria con población vulnerable, especialmente mujeres, en procesos de acompañamiento social y fortalecimiento de capacidades con enfoque de género y derechos.
Acreditación:
Diploma o acta de grado y certificaciones de experiencia relacionada.</t>
  </si>
  <si>
    <t>Profesional en emprendimiento</t>
  </si>
  <si>
    <t>Perfil:
Profesional en Administración, Economía, Contaduría, Ingeniería Industrial, Mercadeo o áreas afines.
Experiencia:
Mínimo dos (2) años en fortalecimiento de emprendimientos o generación de ingresos, con población vulnerable, especialmente mujeres, promoviendo autonomía económica con enfoque de género.
Acreditación:
Diploma o acta de grado y certificaciones de experiencia relacionada.</t>
  </si>
  <si>
    <t xml:space="preserve">COMPONENTE 1 – PP 54149 DDifMujer. Apoyo económico para mujeres en vulnerabilidad económica, que contribuya a la reducción de la feminización de la pobreza. </t>
  </si>
  <si>
    <t>Entrega de apoyos económicos para fortalecimiento productivo</t>
  </si>
  <si>
    <t>C</t>
  </si>
  <si>
    <t>BONO TIPO 1</t>
  </si>
  <si>
    <t>Valor simbolico en dinero por $5.000.000 libre de impuestos</t>
  </si>
  <si>
    <t>unidad</t>
  </si>
  <si>
    <t>BONO</t>
  </si>
  <si>
    <t>BONO TIPO 2</t>
  </si>
  <si>
    <t>Valor simbolico en dinero por $1.000.000 libre de impuestos</t>
  </si>
  <si>
    <t>Alquiler Espacio de Formación</t>
  </si>
  <si>
    <t>Alquiler de salon comunal con aforo para minimo (25 - 50 personas), con todo el equipamiento tecnologico (sonido, proyector, microfonos), silleteria, espacio para alimentacion minimo uno (1) baño para el desarrollo del fortalecimiento</t>
  </si>
  <si>
    <t>sesiones</t>
  </si>
  <si>
    <t>horas</t>
  </si>
  <si>
    <t>Profesional formador con enfoque en emprendimiento y género</t>
  </si>
  <si>
    <t>Perfil:
Profesional en áreas administrativas, económicas, sociales o afines.
Experiencia:
Mínimo dos (2) años en formación a población vulnerable, especialmente mujeres, en fortalecimiento de emprendimientos o generación de ingresos, con conocimientos en enfoque de género, derechos de las mujeres y metodologías participativas.
Acreditación:
Diploma o acta de grado y certificaciones de experiencia relacionada.</t>
  </si>
  <si>
    <t>sesión</t>
  </si>
  <si>
    <t>Estacion de Café</t>
  </si>
  <si>
    <t>Servicio de cafetería (tinto, aromática y agua): Operario + presentación mesa + vasos de cartón bebida caliente 4 oz. + mezclador + azúcar + crema para café+snack
Para: 100 personas
 Duración del evento aprox. 6 horas. Transporte incluido</t>
  </si>
  <si>
    <t>evento capital</t>
  </si>
  <si>
    <t>la vittoria</t>
  </si>
  <si>
    <t>el cafetal</t>
  </si>
  <si>
    <t xml:space="preserve">día </t>
  </si>
  <si>
    <t>Maestro/a de Ceremonias</t>
  </si>
  <si>
    <t>Perfil:
Técnico o profesional en comunicación, locución o áreas afines.
Experiencia:
Mínimo un (1) año en conducción de eventos sociales o comunitarios, preferiblemente en actividades dirigidas a población vulnerable, con enfoque inclusivo y de género.
Acreditación:
Certificado de estudios y certificaciones de experiencia.</t>
  </si>
  <si>
    <t>Servicio de cafetería (tinto, aromática y agua): Operario + presentación mesa + vasos de cartón bebida caliente 4 oz. + mezclador + azúcar + crema para café+snack
Para: 200 personas
 Duración del evento aprox. 6 horas. Transporte incluido</t>
  </si>
  <si>
    <t>Refrigerio</t>
  </si>
  <si>
    <t>Auxiliar logístico</t>
  </si>
  <si>
    <t>Perfil: Bachiller o técnico.
Experiencia: Mínimo seis (6) meses en apoyo logístico de eventos, desarrollo de actividades operativas del evento como  entrega de incentivos, logística, registro y atención a participantes.
Acreditación: Certificado de estudios y/o certificaciones de experiencia
Incluye: Alimentación y transporte</t>
  </si>
  <si>
    <t xml:space="preserve">COMPONENTE 2 – PP 54149 DDifMujer. MUESTRAS DE EXPERIENCIAS Y BONO REDIMIBLE </t>
  </si>
  <si>
    <t>Auxiliar administrativa</t>
  </si>
  <si>
    <t>Perfil: Bachiller.
Experiencia : Mínimo veinticuatro (24) meses de experiencia en apoyo administrativo a la ejecución de proyectos sociales, realizando actividades de archivo, manejo documental, apoyo logístico y seguimiento básico.
Acreditación: Certificado de estudios y certificaciones de experiencia laboral</t>
  </si>
  <si>
    <t>Incentivo – Bono redimible</t>
  </si>
  <si>
    <t>Incentivo económico-Bono redimible en almacén o empresa de grandes superficies.
Valor: Quinientos mil pesos ($500.000) por beneficiario.
Entrega: Bono físico o digital, válido para redención según condiciones del proveedor.</t>
  </si>
  <si>
    <t>Alquiler de carpas</t>
  </si>
  <si>
    <t>carpa 2 x 2 a 4 aguas con laterales
Incluye: Transporte, montaje, anclaje, desmontaje y retiro al finalizar el evento.
Entrega: Carpas instaladas, seguras y operativas en los puntos definidos.</t>
  </si>
  <si>
    <t>TECNICARPAS</t>
  </si>
  <si>
    <t>D&amp;R PRODUCCIONES</t>
  </si>
  <si>
    <t xml:space="preserve">NEMESIS </t>
  </si>
  <si>
    <t xml:space="preserve"> Alquiler Sillas plásticas</t>
  </si>
  <si>
    <t>Sillas plasticas sin brazos de medidas Profundidad : 52.5 cm ; Alto : 87.5 cm; Color Blanco); 
(En alquiler y todo incluye puesta en sitio y recogida al finalizar el evento)
Los elementos, de acuerdo con las cantidades solicitadas, han sido consolidados de manera unificada para evitar repeticiones. Dichos insumos y sus respectivas cantidades serán distribuidos según las necesidades específicas de cada una de las actividades programadas.</t>
  </si>
  <si>
    <t>Aquileresbogota</t>
  </si>
  <si>
    <t>Alvaro castañeda</t>
  </si>
  <si>
    <t>MYM</t>
  </si>
  <si>
    <t>Alquiler Mesas</t>
  </si>
  <si>
    <t xml:space="preserve">Mesa plegable tipo portafolio de 1.8 metros con estructura reforzada y fácil transporte.
Incluye transporte </t>
  </si>
  <si>
    <t>Alquileres bogota</t>
  </si>
  <si>
    <t>Parlante</t>
  </si>
  <si>
    <t>Tipo: Amplificador o parlante activo con conexión inalámbrica o cableada. Potencia: Mínimo 80W – 120W, ideal para espacios abiertos o medianos. Conectividad: Bluetooth Entrada USB Entrada auxiliar (3.5 mm o RCA) Batería recargable o conexión directa a corriente. Incluye: Perilla de control de volumen, bajos y agudos. Uso previsto: Apoyo en jornadas lúdicas, educativas o comunitarias que requieren proyección de audio o música ambiental. Alquiler y todo incluye puesta en sitio y recogida al finalizar el evento Los elementos, de acuerdo con las cantidades solicitadas, han sido consolidados de manera unificada para evitar repeticiones. Dichos insumos y sus respectivas cantidades serán distribuidos según las necesidades específicas de cada una de las actividades programadas.</t>
  </si>
  <si>
    <t>TK PRODUCCIONES</t>
  </si>
  <si>
    <t>Base para Parlante</t>
  </si>
  <si>
    <t>Trípode Soporte Para Bafle Parlantes 90-125cm Hasta 40kg Color Negro. </t>
  </si>
  <si>
    <t>FALABELLA</t>
  </si>
  <si>
    <t>LUEGOPAGO</t>
  </si>
  <si>
    <t>KALLEY</t>
  </si>
  <si>
    <t>ALQUILER DE JUEGO DE MICROFONO INALAMBRICO</t>
  </si>
  <si>
    <t xml:space="preserve">Micrófono profesional con o sin manos libres para eventos, debe tener capacidad de operación de baterías recargables o de alta duración. Unidad. </t>
  </si>
  <si>
    <t xml:space="preserve">Presentadora </t>
  </si>
  <si>
    <t>Perfil:
Técnico o persona con experiencia en animación o presentación de eventos.
Experiencia:
Mínimo un (1) año en actividades de animación o promoción en eventos comunitarios, preferiblemente con población vulnerable, especialmente mujeres, con enfoque de género.
Acreditación:
Certificaciones de experiencia relacionada.</t>
  </si>
  <si>
    <t xml:space="preserve">Pendon </t>
  </si>
  <si>
    <t>Pendón publicitario en lona de PVC o lona vinílica, para cada emprendimiento, con medidas de 50x70cm (deberá contener nombre del emprendimiento y canales de comunicación disponibles) </t>
  </si>
  <si>
    <t>KAVAS PRINT</t>
  </si>
  <si>
    <t>SOLUCIONES TRIADA</t>
  </si>
  <si>
    <t>CASTELL GRAPHICS</t>
  </si>
  <si>
    <t>Pendones en lona PVC o lona vinílica, con medidas de 180x80 cms y soporte tipo araña de 180x80 cms (allí será relacionado el contenido con enfoque incluyente, cultural, festivo y de reconocimiento a las mujeres) este esta definido por la alcaldia local para identificar el evento.</t>
  </si>
  <si>
    <t>día</t>
  </si>
  <si>
    <t>Experiencia:
Mínimo dos (2) años de experiencia certificada en procesos de formación dirigidos a población vulnerable, especialmente mujeres y/o cuidadoras, así como en el fortalecimiento de unidades productivas, emprendimientos o iniciativas de generación de ingresos.
Deberá contar con experiencia en formulación, acompañamiento y fortalecimiento de emprendimientos, así como en el desarrollo de procesos pedagógicos, comunitarios o participativos.
Adicionalmente, deberá acreditar conocimientos y experiencia en derechos humanos de las mujeres, legislación en género, enfoque diferencial e interseccional, y metodologías de formación que promuevan la participación, el empoderamiento y la autonomía económica de las mujeres.
Acreditación:
Diploma o acta de grado del nivel profesional y certificaciones de experiencia laboral relacionada con las funciones a desempeñar.</t>
  </si>
  <si>
    <t xml:space="preserve">Servicio de cafetería (tinto, aromática y agua):  vasos de cartón bebida caliente 4 oz. + mezclador + azúcar + crema para café y snack
Para: 50 personas
Duración del evento aprox. 6 horas. Transporte incluido y puesto en sitio. </t>
  </si>
  <si>
    <t>Alquiler de espacio para evento de cierre</t>
  </si>
  <si>
    <t>Alquiler de salon o auditorio sencillo con capacidad para minímo  (100 - 200 personas) en optimas condiciones debe incluir: silleteria, sonido, tarima, proyectores, espacio para alimentacion  minímo dos (2) baños. (buena ventilacion y iluminacion)</t>
  </si>
  <si>
    <t xml:space="preserve">Agenda ecologica conmemorativa </t>
  </si>
  <si>
    <t xml:space="preserve">
Diseño, producción e impresión de material institucional sostenible. Formato: Libreta tamaño 14 x 21.5 cm (cerrado).
Materiales:Páginas internas en papel bond ecológico (reciclado) de 90 g. Carátula en propalcote ecológico o cartulina reciclada de 200 g.
Tintas ecológicas o a base de agua. Ganchos metálicos para encuadernación.
Características: 100 páginas interiores. Impresión a 1 tinta en interiores. Carátula a color (4x4).
Encuadernación cosida al caballete con dos ganchos. Incluye separadores mensuales con contenidos sobre hitos y procesos históricos de participación de las mujeres en la localidad. Incorpora imagen institucional de la Alcaldía Local de Engativá.
Diseño: Elaborado por el operador y sujeto a aprobación del área de prensa de la Alcaldía Local de Engativá.
Entrega: Libretas elaboradas con criterios ecológicos, impresas y listas para distribución.</t>
  </si>
  <si>
    <t>Lapicero</t>
  </si>
  <si>
    <t>Esfero. Plástico resistente, apto para estampado. Características: Sistema retráctil. Tinta negra. Superficie adecuada para personalización. Personalización: Estampado con imagen institucional. Entrega: Esferos marcados y listos para distribución.</t>
  </si>
  <si>
    <t>Chaquetas</t>
  </si>
  <si>
    <t>Chaqueta impermeable, forrada, con bolsillos internos y externos, con capota, con dos logos cocidos los cuales serán aprobados en comité técnico y por la oficina de prensa del FDLE</t>
  </si>
  <si>
    <t>Placa simbolica</t>
  </si>
  <si>
    <t>PLACA FOTOIMPRESA EN LAMINA DE ALUMINIO CON LOGO Y TEXTO A COLOR SOBRE BASE DE MADERA 25 X 20 CM.</t>
  </si>
  <si>
    <t>Moderador/a del conversatorio.</t>
  </si>
  <si>
    <t>Perfil:
Profesional en comunicación, humanidades, ciencias sociales o áreas afines.
Experiencia:
Mínimo dos (2) años en moderación de espacios académicos o comunitarios, preferiblemente en temas de género, derechos de las mujeres o procesos sociales con población vulnerable.
Acreditación:
Diploma o acta de grado y certificaciones de experiencia relacionada.</t>
  </si>
  <si>
    <t>Persona</t>
  </si>
  <si>
    <t>Día</t>
  </si>
  <si>
    <t xml:space="preserve">Componente 4. Curso de manicura </t>
  </si>
  <si>
    <t>Tallerista</t>
  </si>
  <si>
    <t>Perfil:
Técnico, tecnólogo o profesional en estética, cosmetología, belleza integral o áreas afines.
Experiencia:
Mínimo dos (2) años de experiencia en formación o capacitación en técnicas de manicura, pedicura o cuidado estético, preferiblemente con población femenina, mujeres cuidadoras o población vulnerable, incorporando enfoque de género, autonomía económica y fortalecimiento de capacidades productivas.
Acreditación:
Certificado, diploma o acta de grado en el área de formación, así como certificaciones de experiencia relacionadas.</t>
  </si>
  <si>
    <t>Curso formativo Manicura</t>
  </si>
  <si>
    <t>Formación teórico-práctica relacionada con técnicas básicas de cuidado y embellecimiento de uñas, manejo adecuado de herramientas e insumos, normas básicas de higiene y bioseguridad, así como nociones de atención al cliente y organización del servicio, en una escuela o centro de formación que cuente con las condiciones técnicas, locativas y pedagógicas necesarias para la adecuada realización de las actividades teórico–prácticas. 
Incluye formador, espacio de formación, estaciones de trabajo, insumos para práctica, acompañamiento y certificación
minimo 40 horas de formación</t>
  </si>
  <si>
    <t>Super Wow</t>
  </si>
  <si>
    <t>Maria´s Academy</t>
  </si>
  <si>
    <t>Alicate de cutícula</t>
  </si>
  <si>
    <t>Alicate Mundial CortaCuticula Profesional, Acero inoxidable resistente a la corrosión para mayor durabilidad, Punta recta para un corte limpio y preciso.</t>
  </si>
  <si>
    <t>Palatsi</t>
  </si>
  <si>
    <t>Elite</t>
  </si>
  <si>
    <t>Celeste</t>
  </si>
  <si>
    <t>Cortauñas</t>
  </si>
  <si>
    <t>Corta uñas grande con cuchillas curvas en acero inoxidable</t>
  </si>
  <si>
    <t>Kroma</t>
  </si>
  <si>
    <t>Lima profesional</t>
  </si>
  <si>
    <t>Lima desechable, con partículas que ofrecen una superficie abrasiva que lima las uñas de manera rápida y suave. No humedecer. 120/180: paquete de 10 unidad.</t>
  </si>
  <si>
    <t>Masglo</t>
  </si>
  <si>
    <t>Mundi Belleza</t>
  </si>
  <si>
    <t>Falabella</t>
  </si>
  <si>
    <t>Pusher metalico</t>
  </si>
  <si>
    <t>Empujador De Cutículas, 2 Extremos, Acero Inoxidable</t>
  </si>
  <si>
    <t>Essential</t>
  </si>
  <si>
    <t>Esmalte Tradicional (colores variados)</t>
  </si>
  <si>
    <t>Set de 5 esmaltes tradicionales, Volumen de la unidad: 13.5 mL, colores surtidos</t>
  </si>
  <si>
    <t>Distribuidora Leons</t>
  </si>
  <si>
    <t>Mujer Latina</t>
  </si>
  <si>
    <t>Base transparente</t>
  </si>
  <si>
    <t>BASE TRADICIONAL FORTALECEDORA 13,5 ML</t>
  </si>
  <si>
    <t>Surticosmeticos</t>
  </si>
  <si>
    <t>Krika</t>
  </si>
  <si>
    <t>Ecofarma</t>
  </si>
  <si>
    <t>Brillo secante</t>
  </si>
  <si>
    <t>BRILLO TRADICIONAL SECANTE 13,5 ML</t>
  </si>
  <si>
    <t>Dekosas</t>
  </si>
  <si>
    <t>Dekosas (belier)</t>
  </si>
  <si>
    <t>Removedor (250 ml)</t>
  </si>
  <si>
    <t>REMOVEDOR DE ESMALTE TRADICIONAL 100% Libre de acetona, Volumen neto: 250 mL</t>
  </si>
  <si>
    <t>Estilo del peluquero</t>
  </si>
  <si>
    <t>Esmalte semipermanente (Colores Variados)</t>
  </si>
  <si>
    <t>Set de 5 esmaltes semipermantes, Volumen de la unidad: 15ml, colores surtidos</t>
  </si>
  <si>
    <t>Spongee</t>
  </si>
  <si>
    <t>Lima spongee 100/180</t>
  </si>
  <si>
    <t>Lans Products</t>
  </si>
  <si>
    <t>Belleza Amazonica</t>
  </si>
  <si>
    <t>YKmania</t>
  </si>
  <si>
    <t xml:space="preserve">BASE COAT SEMIPERMANENTE </t>
  </si>
  <si>
    <t>BASE COAT GEL POLISH DE 14 O 15 ML TRASLÚCIDO</t>
  </si>
  <si>
    <t xml:space="preserve">Latin </t>
  </si>
  <si>
    <t xml:space="preserve">TOP COAT SEMIPERMANENTE </t>
  </si>
  <si>
    <t>Sellador y terminador de brillo GEL POLISH DE 14 O 15 ML TRASLÚCIDO</t>
  </si>
  <si>
    <t>Casa de belleza</t>
  </si>
  <si>
    <t>Ollé</t>
  </si>
  <si>
    <t>Removedor Esmalte Semipermanente 250ml</t>
  </si>
  <si>
    <t>Cloe</t>
  </si>
  <si>
    <t>Distri mabelle</t>
  </si>
  <si>
    <t>Algodón (paquete)</t>
  </si>
  <si>
    <t>Paquete de Algodón En Motas Blancas 500gr</t>
  </si>
  <si>
    <t>Cimex</t>
  </si>
  <si>
    <t>Jelt</t>
  </si>
  <si>
    <t>La muela</t>
  </si>
  <si>
    <t>Toalla pequeña</t>
  </si>
  <si>
    <t xml:space="preserve">Rollo de Toalla tipo Wypall Paños Absorbente Manicure rollo </t>
  </si>
  <si>
    <t>D&amp;L</t>
  </si>
  <si>
    <t>Nasa Beauty</t>
  </si>
  <si>
    <t>Kit pinceles de decoración</t>
  </si>
  <si>
    <t>Kit de pinceles de decoración x3 (5mm, 12mm y 9mm)</t>
  </si>
  <si>
    <t>Mixcoco</t>
  </si>
  <si>
    <t>Natalia giraldo</t>
  </si>
  <si>
    <t>Deko uñas</t>
  </si>
  <si>
    <t>Aceite de uñas</t>
  </si>
  <si>
    <t>15 ml</t>
  </si>
  <si>
    <t>Nails Station</t>
  </si>
  <si>
    <t>Diana Nails</t>
  </si>
  <si>
    <t>Preparador de uñas para semipermantente</t>
  </si>
  <si>
    <t>Tipo esmalte 15ml</t>
  </si>
  <si>
    <t>Mia Secret</t>
  </si>
  <si>
    <t>Magickur</t>
  </si>
  <si>
    <t>Tecnifilos</t>
  </si>
  <si>
    <t xml:space="preserve">Exfoliante </t>
  </si>
  <si>
    <t>Exfoliante 120 ml</t>
  </si>
  <si>
    <t>Belier</t>
  </si>
  <si>
    <t>Cositas deliciosas</t>
  </si>
  <si>
    <t>Guantes desechables</t>
  </si>
  <si>
    <t>Caja guantes desechables de nitrilo x 100</t>
  </si>
  <si>
    <t>Provesi</t>
  </si>
  <si>
    <t>Pasteur</t>
  </si>
  <si>
    <t>Lampara LED UV</t>
  </si>
  <si>
    <t>LAMPARA LED UV - Voltaje: 120 V
Potencia de 54 W para un secado rápido y eficiente. Sensor de movimiento para encendido automático y apagado.
Conexión a energía portátil para fácil uso en cualquier lugar.
Temporizador programable de 10, 30, 60 y 120 segundos.</t>
  </si>
  <si>
    <t>Exito</t>
  </si>
  <si>
    <t>Maletín para esmaltes</t>
  </si>
  <si>
    <t>Material acolchado: hecho de microfibra de poliéster suave. Interior acolchado suave que mantiene tus botellas de esmalte de uñas en buenas condiciones. ALMACENAMIENTO DE ESMALTES DE UÑAS: El compartimento inferior contiene 2 estuches extraíbles. Cada estuche tiene capacidad para hasta 24 botellas de esmalte de uñas de 0.5 onzas líquidas. Los separadores de botellas en la caja son flexibles y desmontables. SECCIÓN DE LÁMPARA DE UÑAS: La sección superior con bolsillo de malla y bandas elásticas para mantener un secador de uñas regular (tamaño aproximado 9" x 7.5" x 4.5"), botellas de removedor de uñas y otras herramientas. BOLSILLOS PARA HERRAMIENTAS: 2 bolsas laterales para sujetar cepillos y herramientas de puntos. El bolsillo interior transparente y el bolsillo trasero exterior para guardar otros accesorios de manicura.</t>
  </si>
  <si>
    <t>Fantasias Yuly</t>
  </si>
  <si>
    <t>Meta 3 - 2026: Vincular 750 mujeres cuidadoras a estrategias de cuidado
Iniciativa PP: 54150: DDifMujer Engativá cuida a las Cuidadoras</t>
  </si>
  <si>
    <t>Iniciativa PP: 54150: DDifMujer Engativá cuida a las Cuidadoras</t>
  </si>
  <si>
    <t>Perfil:
Profesional en áreas de las ciencias sociales, económicas, administrativas o afines.
Experiencia:
Mínimo tres (3) años en coordinación, dirección o supervisión de proyectos sociales o comunitarios, preferiblemente relacionados con procesos de cuidado, bienestar social o fortalecimiento de capacidades, con población vulnerable, especialmente mujeres cuidadoras, con enfoque de género.
Acreditación:
Título profesional y certificaciones de experiencia relacionada.</t>
  </si>
  <si>
    <t>Profesional en desarrollo comunitario / cuidado</t>
  </si>
  <si>
    <t>Perfil:
Profesional en áreas sociales, económicas o afines.
Experiencia:
Mínimo dos (2) años en implementación de procesos formativos, acompañamiento a población vulnerable, fortalecimiento de capacidades o proyectos relacionados con el cuidado, bienestar o economía del cuidado, especialmente con mujeres cuidadoras, con enfoque de género.
Acreditación:
Título profesional y certificaciones de experiencia relacionada.</t>
  </si>
  <si>
    <r>
      <t xml:space="preserve">Componente 1 – PP </t>
    </r>
    <r>
      <rPr>
        <b/>
        <u/>
        <sz val="16"/>
        <color theme="0"/>
        <rFont val="Arial"/>
        <family val="2"/>
      </rPr>
      <t>54150 DDifMujer</t>
    </r>
    <r>
      <rPr>
        <b/>
        <sz val="16"/>
        <color theme="0"/>
        <rFont val="Arial"/>
        <family val="2"/>
      </rPr>
      <t>.</t>
    </r>
    <r>
      <rPr>
        <b/>
        <u/>
        <sz val="16"/>
        <color theme="0"/>
        <rFont val="Arial"/>
        <family val="2"/>
      </rPr>
      <t xml:space="preserve"> </t>
    </r>
    <r>
      <rPr>
        <b/>
        <sz val="16"/>
        <color theme="0"/>
        <rFont val="Arial"/>
        <family val="2"/>
      </rPr>
      <t>Escenarios de respiro, bienestar físico, emocional y/o mental</t>
    </r>
  </si>
  <si>
    <t>a.     Taller de natación para cuidadoras</t>
  </si>
  <si>
    <t>Instructora de Natación</t>
  </si>
  <si>
    <t>Perfil:
Licenciada en Educación Física o áreas afines.
Experiencia:
Mínimo un (1) año como instructora de natación o actividades físicas acuáticas con población vulnerable, preferiblemente mujeres cuidadoras, con enfoque de género.
Acreditación:
Título profesional y certificaciones en RCP, primeros auxilios y seguridad acuática.</t>
  </si>
  <si>
    <t>Fisioterapeuta</t>
  </si>
  <si>
    <t>Perfil:
Profesional en fisioterapia, terapia ocupacional, enfermería o áreas de la salud.
Experiencia:
Mínimo dos (2) años en acompañamiento a población vulnerable, especialmente mujeres cuidadoras, en procesos de bienestar físico y emocional con enfoque de género.
Acreditación:
Título profesional y certificaciones de experiencia relacionada.</t>
  </si>
  <si>
    <t>Gorro de Natación</t>
  </si>
  <si>
    <t xml:space="preserve">Gorro para natación.Acabado: Superficie Lisa.                                                                                                                                                                                                                                                                                                                          Composición: Silicona. Talla: Única, con ajuste elástico.                                                                                                                                                                                                                                                                                                                                         Color: Unicolor  surtido </t>
  </si>
  <si>
    <t>DECATHLON</t>
  </si>
  <si>
    <t>DEPORTES REGOL</t>
  </si>
  <si>
    <t>PEPE GANGA</t>
  </si>
  <si>
    <t>Vestido de Baño</t>
  </si>
  <si>
    <t>Vestido de baño deportivo de dos piezas tipo camiseta y short para mujer adulta.
Material:
Tela elástica para uso acuático, composición en poliéster y elastano o poliamida y elastano, resistente al cloro y al uso continuo en piscina.
Diseño:
Conjunto de dos piezas compuesto por camiseta y short.
Camiseta: Manga corta o manga tipo raglán, cuello redondo, ajuste al cuerpo, con opción de protección UV (UPF 50+).
Short: Corte deportivo, ajuste elástico en cintura, con largo medio tipo short deportivo.
Diseño ergonómico que permita libertad de movimiento en actividades acuáticas.
Características adicionales:
Sistema de soporte interno en la parte superior (top o brasier incorporado), con copas removibles o ajustables.
Costuras reforzadas para mayor durabilidad en ambientes acuáticos.
Tela de secado rápido, alta elasticidad, liviana y de tacto suave.
Resistencia al desgaste por cloro y exposición solar.
No transparente al contacto con el agua.
Propiedades del material:
Alta elasticidad, absorción de humedad, secado rápido, confort térmico y resistencia al uso prolongado en piscina.
Uso:
Prenda diseñada para actividades acuáticas recreativas, deportivas o formativas en piscina.
Tallas:
Variadas para mujer adulta (S, M, L, XL y XXL), distribuidas de acuerdo con las necesidades de la población beneficiaria.
Color y diseño:
Colores y/o estampados sujetos a disponibilidad del proveedor o definidos por la entidad contratante, acorde con lineamientos institucionales.</t>
  </si>
  <si>
    <t>ESPLÉNDIVA</t>
  </si>
  <si>
    <t>HOLLY KRAB</t>
  </si>
  <si>
    <t>MOMBORA</t>
  </si>
  <si>
    <t>Gafas de Natación</t>
  </si>
  <si>
    <t>Material:
Lentes en policarbonato o material equivalente, con marco y correa en silicona o material flexible resistente al agua.
Características:
Diseño ergonómico con ajuste cómodo al rostro.
Correa elástica ajustable.
Puente nasal adaptable o flexible.
Lentes con tratamiento antiempañante y protección UV.
Sellado hermético con borde suave para evitar filtraciones.
Dimensiones:
Estándar para uso adulto.
Color:
Unicolor o surtido, sujeto a disponibilidad del proveedor.</t>
  </si>
  <si>
    <t>SPORTFITNESS</t>
  </si>
  <si>
    <t>Termo plastico</t>
  </si>
  <si>
    <t>Termo / botella reutilizable. Material: Plástico resistente con certificación libre de BPA.
Capacidad: 850 ml. Dimensiones aproximadas: Altura 23 – 25 cm; diámetro 7 – 8 cm. Tapa: Rosca o sistema de cierre hermético antiderrame.
Área de impresión aproximada:Tampografía: 5 cm alto x 4 cm ancho.
Serigrafía: 9 cm alto x 8 cm ancho. Personalización: Impresión con logos de la Alcaldía Local de Engativá y una frase institucional (definida por el comité).
Color: Sujeto a disponibilidad.</t>
  </si>
  <si>
    <t>Tula</t>
  </si>
  <si>
    <t>Tula ecológica tipo mochila elaborada en lona cruda o drill 100% algodón, con dimensiones aproximadas de 42 cm de alto por 34 cm de ancho, capacidad de 8 a 10 litros y cordones de algodón o nylon reforzado para cierre doble. El diseño incluye un estampado frontal mediante serigrafía o sublimación (según el tipo de tela), en un área de impresión de aproximadamente 20 x 25 cm.</t>
  </si>
  <si>
    <t>Guia de ejercicios básicos impreso sobre Natación</t>
  </si>
  <si>
    <t>Material pedagógico impreso. Formato: Brochure grapado. Tamaño: 14 cm x 21,5 cm.
Extensión: 10 páginas a color.Material: Interior: Papel propalcote de 115 g. Portada: Papel propalcote de 150 g con laminado mate.
Impresión: A color, tiro y retiro. Encuadernación: Grapado tipo folleto. Diseño: Incluye diagramación e incorporación de logos institucionales, previamente aprobados por el área de prensa.</t>
  </si>
  <si>
    <t>LITOGRAFÍA</t>
  </si>
  <si>
    <t>Carril Piscina</t>
  </si>
  <si>
    <t>Alquiler de carriles en piscina para desarrollo de curso de natación. Cantidad de carriles: 4 carriles por sesión.
Intensidad horaria: 16 horas mensuales (4 horas semanales). Duración del servicio: 5 meses.
Población: 10  grupos de hasta 20 participantes cada uno. Escenario: Piscina habilitada que cumpla con la normatividad vigente, reglamentación técnica y condiciones de bioseguridad para la práctica de actividades acuáticas.Condiciones del servicio: Disponibilidad de carriles delimitados, condiciones adecuadas de mantenimiento, limpieza y seguridad para el desarrollo de la actividad.</t>
  </si>
  <si>
    <t>Flotadores tipo churro</t>
  </si>
  <si>
    <t>Material:
Espuma de polietileno expandido (EPE) o material equivalente, resistente al agua y al cloro.
Características:
Diseño tubular flexible y liviano.
Superficie suave, no absorbente e impermeable.
Resistente al uso continuo en piscina.
No requiere inflado.
Alta flotabilidad.
Dimensiones:
Aproximadamente entre 140 cm y 160 cm de largo y diámetro estándar.
Color:
Surtido o sujeto a disponibilidad del proveedor.
Uso:
Elemento de apoyo para actividades recreativas, formativas o de acondicionamiento en medio acuático.</t>
  </si>
  <si>
    <t>HOMECENTER</t>
  </si>
  <si>
    <t>EXITO</t>
  </si>
  <si>
    <t>Tablas flotadoras</t>
  </si>
  <si>
    <t>Tabla flotadora para entrenamiento y aprendizaje de natación. Material: Espuma de polietileno expandido (EVA o EPE) de alta densidad. Dimensiones aproximadas: 40 – 45 cm de largo x 25 – 30 cm de ancho x 3 – 4 cm de grosor. Diseño: Forma ergonómica con bordes redondeados y agarres laterales para sujeción. Propiedades: Material liviano, impermeable, resistente al cloro y de alta flotabilidad.Color: Surtido o sujeto a disponibilidad
Uso rotativo</t>
  </si>
  <si>
    <t>Certificados de participación</t>
  </si>
  <si>
    <t>Paquete de Snack</t>
  </si>
  <si>
    <t>1 Paquete(1) de mix de frutos secos (no menor a 200 gramos)
*Una (1) manzana fresca (puede ser roja o verde, según disponibilidad)
*Una (1) botella de agua plástica de 200 ml
*Los anteriores elementos deben estar empacados en una bolsa Papel Kraft Ecológica de 27x22x11cm</t>
  </si>
  <si>
    <t xml:space="preserve">b.	Taller de bisutería </t>
  </si>
  <si>
    <t>Perfil:
Técnico, tecnólogo o profesional en artes, diseño artesanal, bisutería o áreas afines.
Experiencia:
Mínimo un (1) año de experiencia en formación o enseñanza en técnicas de bisutería o manualidades, preferiblemente con población femenina, mujeres cuidadoras o población vulnerable, incorporando enfoque de género, bienestar y fortalecimiento de capacidades.
Acreditación:
Certificado, diploma o acta de grado en el área de formación, así como certificaciones de experiencia relacionadas.</t>
  </si>
  <si>
    <t xml:space="preserve">Alquiler de espacio </t>
  </si>
  <si>
    <t>alquiler</t>
  </si>
  <si>
    <t>Neceser</t>
  </si>
  <si>
    <t xml:space="preserve">                                                                                                                                                                                                                                                                                                                                  Estuche organizador para materiales de bisutería. Material: Plástico transparente o translúcido (PVC o material similar) resistente.
Dimensiones aproximadas: 20 – 25 cm de largo x 12 – 15 cm de ancho x 6 – 8 cm de alto. Sistema de cierre: Cierre plástico tipo broche o botón a presión.
Propiedades: Material impermeable, de fácil limpieza y alta durabilidad. Color: Transparente o sujeto a disponibilidad.</t>
  </si>
  <si>
    <t>BIDECOL</t>
  </si>
  <si>
    <t>Mostacillas checas calibradas</t>
  </si>
  <si>
    <t>Paquete unitario de Mostacilla Checa diametro de 1.8 Mm o 2 Mm Color Blanco por 1 libra</t>
  </si>
  <si>
    <t>BISUTERIA FINA</t>
  </si>
  <si>
    <t>ECLIPSE SAN VICTORINO</t>
  </si>
  <si>
    <t>REMATICO</t>
  </si>
  <si>
    <t>Paquete unitario de Mostacilla Checa diametro de 1.8 Mm o 2 Mm Color Negro por 1 libra</t>
  </si>
  <si>
    <t>Paquete unitario de Mostacilla Checa diametro de 1.8 Mm o 2 Mm Color amarillo por 1 libra</t>
  </si>
  <si>
    <t>Paquete unitario de Mostacilla Checa diametro de 1.8 Mm o 2 Mm Color Rojo por 1 libra</t>
  </si>
  <si>
    <t>Paquete unitario de Mostacilla Checa diametro de 1.8 Mm o 2 Mm Color Verde por 1 libra</t>
  </si>
  <si>
    <t>Paquete unitario de Mostacilla Checa diametro de 1.8 Mm o 2 Mm Color Azul por 1 libra</t>
  </si>
  <si>
    <t>Paquete unitario de Mostacilla Checa diametro de 1.8 Mm o 2 Mm Color Dorado por 1 libra</t>
  </si>
  <si>
    <t>Agujas para mostacilla de ojo redondo.</t>
  </si>
  <si>
    <t>Agujas para bisutería y trabajo con mostacillas. Material: Acero inoxidable o acero niquelado. Diseño: Aguja delgada con ojo redondo.
Longitud aproximada: 5 – 7 cm. Propiedades: Flexibles, resistentes y aptas para trabajo con mostacillas de tamaño pequeño. Presentación: Paquete o unidad según requerimi</t>
  </si>
  <si>
    <t xml:space="preserve">Hilo </t>
  </si>
  <si>
    <t xml:space="preserve">                                                                                                                                                                                                                                                                                                        Hilo para elaboración de bisutería. Material: Fibra sintética de alta resistencia.
Tipo de hilo: Hilo tipo Búfalo. Color: Blanco. Longitud: 3 metros por unidad.Propiedades: Flexible, resistente a la tensión y apto para tejido con mostacillas</t>
  </si>
  <si>
    <t xml:space="preserve">                                                                                                                                                                                                                                                                                                        Hilo para elaboración de bisutería. Material: Fibra sintética de alta resistencia.
Tipo de hilo: Hilo tipo Búfalo. Color: Negro. Longitud: 3 metros por unidad.Propiedades: Flexible, resistente a la tensión y apto para tejido con mostacillas</t>
  </si>
  <si>
    <t xml:space="preserve">                                                                                                                                                                                                                                                                                                        Hilo para elaboración de bisutería. Material: Fibra sintética de alta resistencia.
Tipo de hilo: Hilo tipo Búfalo. Color: Trasparente. Longitud: 3 metros por unidad.Propiedades: Flexible, resistente a la tensión y apto para tejido con mostacillas</t>
  </si>
  <si>
    <t>participante</t>
  </si>
  <si>
    <t>Terminales</t>
  </si>
  <si>
    <t>Terminal plano para acabado de piezas de bisutería. Material: Acero o aleación metálica con acabado dorado o plateado.
Dimensiones aproximadas: 8 – 12 mm. Diseño: Terminal plano con orificio para sujeción a argollas o broches. Propiedades: Resistente a la manipulación y adecuado para fijación de hilos o tejidos con mostacillas. Presentación: Paquete por 12 unidades</t>
  </si>
  <si>
    <t>CAROL SHOP</t>
  </si>
  <si>
    <t>Cierre plano tipo maleta (bisuteria)</t>
  </si>
  <si>
    <t>Cierre para accesorios de bisutería. Cierre:  Acero o aleación metálica con acabado dorado o plateado.
Diseño: Cierre plano tipo maleta. Dimensiones aproximadas: 10 – 15 mm. Propiedades: Resistente a la manipulación y apto para collares o pulseras.
Presentación: Paquete por unidades según referencia del proveedor.</t>
  </si>
  <si>
    <t>Agujas para bisutería</t>
  </si>
  <si>
    <t>Agujas delgadas para trabajo con mostacillas y materiales de bisutería, elaboradas en acero resistente, con ojo fino que permite el paso de hilos delgados. Flexibles y adecuadas para trabajos manuales de precisión.</t>
  </si>
  <si>
    <t>Tijeras para bisutería</t>
  </si>
  <si>
    <t>Tijeras de tamaño compacto, con hojas en acero inoxidable y puntas finas, adecuadas para corte de hilos, nylon o materiales utilizados en bisutería. Diseño ergonómico, livianas y de fácil manejo.</t>
  </si>
  <si>
    <t xml:space="preserve">109 - 110 -111 </t>
  </si>
  <si>
    <t xml:space="preserve">Pinza punta redonda- Pinza unta plana lisa sin ranuras - Pinza corta frio </t>
  </si>
  <si>
    <t>Pinza de punta redonda para trabajo en bisutería.
Material: Acero endurecido. Dimensiones aproximadas: 10 – 12 cm de longitud. Punta cónica redonda. Apta para doblar alambre y formar argollas o bucles en piezas de bisutería. Mango: Recubrimiento ergonómico antideslizante.</t>
  </si>
  <si>
    <t>SANTORINI BISUTERIA</t>
  </si>
  <si>
    <t>MILHERRAJES</t>
  </si>
  <si>
    <t>EL ADORNO</t>
  </si>
  <si>
    <t xml:space="preserve"> </t>
  </si>
  <si>
    <t>Plantilla de diseño</t>
  </si>
  <si>
    <t>Plantilla o base para diseño y organización de piezas de bisutería. Material: Plástico o espuma de alta densidad. Dimensiones aproximadas: 30 – 35 cm de largo x 20 – 25 cm de ancho.Diseño: Superficie con guías o canales para organización y medición de collares, pulseras y otros accesorios.</t>
  </si>
  <si>
    <t>EBEN</t>
  </si>
  <si>
    <t>Bayetilla</t>
  </si>
  <si>
    <t xml:space="preserve">
Bayetilla en tela de algodón o material equivalente, suave, flexible y resistente, que facilita la manipulación de piezas pequeñas como mostacillas y accesorios, evitando su deslizamiento. Lavable y reutilizable.
DIMENSIONES:
Aproximadamente 30 x 50 cm
COLOR:
Unicolor, sujeto a disponibilidad</t>
  </si>
  <si>
    <t>MEGASEO</t>
  </si>
  <si>
    <t>PRODUCTOS Y SUMINISTROS</t>
  </si>
  <si>
    <t>DETAL SHOP</t>
  </si>
  <si>
    <t xml:space="preserve">Tarjeta de apoyo </t>
  </si>
  <si>
    <t>"
Tarjeta base para presentación y exhibición de piezas de bisutería. Material: Acetato rígido o plástico resistente.
Dimensiones aproximadas: 7 cm x 10 cm. Con perforaciones o ranuras para fijación de aretes, pulseras u otros accesorios. Material rígido, reutilizable y resistente a la manipulación. Color: Transparente o sujeto a disponibilidad"</t>
  </si>
  <si>
    <t xml:space="preserve">WHIM SHOFS </t>
  </si>
  <si>
    <t>Telar</t>
  </si>
  <si>
    <t>"
Telar para elaboración de bisutería con mostacillas. Material: MDF de 9 mm de espesor. Dimensiones: Longitud máxima 46 cm; ancho interno 16 cm.
Diseño: Estructura graduable para ajuste de la longitud del tejido. Resistente, estable y apto para elaboración de tejidos con mostacillas"</t>
  </si>
  <si>
    <t>CAROL</t>
  </si>
  <si>
    <t>Estacion de Café para acto de cierre</t>
  </si>
  <si>
    <t>c. Cocina saludable y huertas urbanas</t>
  </si>
  <si>
    <t xml:space="preserve">Alquiler de cocina equipada o aula gastronómica para formación. Ubicación: Localidad de Engativá.Capacidad: Mínimo 20 personas. Dotación mínima: Acceso a agua potable, gas y energía eléctrica, estufa funcional y utensilios básicos de cocina. Condiciones: Iluminación, ventilación, acceso a baños y condiciones de seguridad para actividades gastronómicas. Intensidad del servicio: Número de grupos: 3 grupos de 20 participantes. Sesiones por grupo: 5 sesiones. Total de sesiones: 15 sesiones.Duración: 2 horas por sesión.                                                                                                                                                                                                                                                                                                                                 </t>
  </si>
  <si>
    <t>Facilitador Chef - Nutricionista</t>
  </si>
  <si>
    <t>Perfil:
Profesional en gastronomía, nutrición o áreas afines.
Experiencia:
Mínimo un (1) año en formación en alimentación saludable con población vulnerable, especialmente mujeres cuidadoras, con enfoque de género.
Acreditación:
Título profesional o certificaciones en gastronomía o nutrición.</t>
  </si>
  <si>
    <t>Insumos para preparación de recetas por sesión</t>
  </si>
  <si>
    <t>Recetario Digital</t>
  </si>
  <si>
    <t>Delantal</t>
  </si>
  <si>
    <t>Delantal bordado - Delantales tipo peto en drill.
Medida 85 cms de alto x 60 cms de ancho.
Bolsillo delantero.
Bordes externos dobladillados.
Herrajes metálicos de ajuste en el cuello.
Tiras de ajuste en el cuello en cuero sintético, o en drill.
Bordado personalizado de 15 cms de ancho a proporción.
Tallas según caracterización</t>
  </si>
  <si>
    <t>Mini kit de huerta urbana</t>
  </si>
  <si>
    <t xml:space="preserve">
Kit para huerta urbana que incluye insumos básicos para siembra y cultivo, tales como plántulas y/o semillas de hortalizas, sustrato, recipientes biodegradables para siembra, elementos de dosificación, identificación y herramientas básicas para el proceso de cultivo.
Contenido mínimo por kit:
Mínimo dos (2) plántulas y/o dos (2) paquetes de semillas de hortalizas.
Mínimo un (1) sustrato para cultivo.
Mínimo cuatro (4) recipientes biodegradables para siembra.
Mínimo dos (2) elementos de identificación (etiquetas u otros).
Mínimo un (1) elemento básico de dosificación o herramienta de apoyo (cuchara, dosificador o equivalente).
Material de apoyo o instrucciones de uso.
Empaque tipo bolsa o maletín reutilizable o biodegradable.</t>
  </si>
  <si>
    <t>Refrigerio evento cierre</t>
  </si>
  <si>
    <t>d.    Tai chí para mujeres cuidadoras</t>
  </si>
  <si>
    <t>Instructor/a Tai Chi</t>
  </si>
  <si>
    <t>Profesional o instructor certificado en Tai Chi o disciplinas corporales afines.
Experiencia:
Mínimo un (1) año en formación grupal con población vulnerable, especialmente mujeres cuidadoras, con enfoque de género y bienestar.
Acreditación:
Certificación en Tai Chi o disciplinas afines.ocimiento y aplicación del enfoque de género en procesos formativos.
Preferencia: Preferiblemente mujer.</t>
  </si>
  <si>
    <t>Tapete o Mat de yoga</t>
  </si>
  <si>
    <t>Material: PVC
*Largo x Ancho: 1.73 m x 61 cm
*Espesor: 6 mm
*Antideslizante
*A prueba de agua
*Plegable</t>
  </si>
  <si>
    <t>Aceite esencial de lavanda</t>
  </si>
  <si>
    <t>"Presentación: Frasco de vidrio ámbar con gotero o tapa de seguridad.
Contenido: 10 ml.
Pureza: Aceite esencial 100% puro o grado terapéutico (mínimo 95% concentración).
Propiedades: Calmante, relajante, ideal para técnicas de aromaterapia.
Uso sugerido: Aplicación en difusor, inhalación directa o con paño.
Registro: Invima o certificación sanitaria vigente."</t>
  </si>
  <si>
    <t>Vela Aromatica</t>
  </si>
  <si>
    <t>"
Material: Cera vegetal o parafina aromatizada, con mecha de algodón. Envase de vidrio resistente al calor con tapa.
Contenido aproximado: 120 – 150 g. Fragancia suave para ambientación (ej.: lavanda o aromas relajantes).
Combustión uniforme, apta para ambientación en actividades de bienestar."</t>
  </si>
  <si>
    <t>Tula ecológica tipo mochila elaborada en lona cruda o drill 100% algodón, con dimensiones aproximadas de 42 cm de alto por 34 cm de ancho, capacidad de 8 a 10 litros y cordones de algodón o nylon reforzado para cierre doble. El diseño incluye un estampado frontal mediante serigrafía o sublimación (según el tipo de tela), en un área de impresión de aproximadamente 20 x 25 cm.or: Sujeto a disponibilidad o definido por la entidad contratante</t>
  </si>
  <si>
    <t>Componente 2 – PP 54150 DDifMujer. Estrategias pedagógicas, de sensibilización y comunicación sobre la labor de cuidado</t>
  </si>
  <si>
    <t xml:space="preserve">a. Encuentro formativo: estrategias de respiro, bienestar e intercambio de saberes para mujeres cuidadoras  </t>
  </si>
  <si>
    <t>Centro recreacional, de descanso o club social</t>
  </si>
  <si>
    <t>"Servicio de ingreso y uso de instalaciones en centro recreacional, de descanso o club social.
Ubicación: A las afueras de Bogotá, con acceso por vía terrestre. Capacidad: Mínimo 200 personas.
Duración: Jornada tipo pasadía de diez (10) horas. Infraestructura mínima:
Zonas adecuadas para caminatas ecológicas. Espacios al aire libre para meditación y ejercicios de respiración.
Acceso a zonas húmedas (piscina, jacuzzi, aguas termales o servicios similares). Salón o espacio tipo aula para actividades de diálogo e intercambio de saberes.
Restaurante con capacidad para atender simultáneamente al grupo. Incluye: Desayuno, almuerzo. Un (1) refrigerio durante la jornada por participante."</t>
  </si>
  <si>
    <t>pasadias</t>
  </si>
  <si>
    <t xml:space="preserve">Transporte </t>
  </si>
  <si>
    <t>Agenda argollada</t>
  </si>
  <si>
    <t xml:space="preserve">Pasta dura (con portadas según el evento.)
70 a 100 hojas 
Largo x Ancho: 13.5 cm – 11 cm
</t>
  </si>
  <si>
    <t>Guerrero impresoras s.a.s</t>
  </si>
  <si>
    <t>Camiseta</t>
  </si>
  <si>
    <t>CAMISETA composicion 100% polyester y/o tejido calado 51% poliéster / 49% poliéster reciclado, cuello redondo, manga corta, de diferente tallaje, que incluya impreso por la técnica de sublimación Se requieren tallas XS,S, M, L, XL Y XXL. logos impresos los cuales serán aprobados en comité técnico y por la oficina de prensa del FDLE</t>
  </si>
  <si>
    <t xml:space="preserve">Alquiler de sonido </t>
  </si>
  <si>
    <t>Alquiler de (1) Consola de 24 canales digital, (4) medios altos line array de 1700 wats c/u, (2) sub snake de 8 x 15 mts, (2) sub bajos de 2000 wats c/u, (4) monitores de piso, (2) side fill a 3 vias, (16) bases de microfonos, (1) unidad de cd y con unidad de  usb.</t>
  </si>
  <si>
    <t>b.	Transformación cultural con muralismo colectivo</t>
  </si>
  <si>
    <t>Artista</t>
  </si>
  <si>
    <t>Perfil:
Profesional, tecnólogo o maestro empírico en artes plásticas, visuales o áreas afines.
Experiencia:
Mínimo dos (2) años en muralismo o procesos artísticos comunitarios con población vulnerable, con enfoque de género y trabajo participativo.
Acreditación:
Portafolio artístico y soportes de experiencia.</t>
  </si>
  <si>
    <t>Andamios</t>
  </si>
  <si>
    <t>Andamio tubular para trabajos en altura. Estructura modular con ruedas y freno de seguridad. Tubos de acero calibre 16 mm, tablones de madera de 3.8 cm de grosor, 2.80 m de largo y 24 cm de ancho, con amarras metálicas en las puntas. Dimensiones: 1.50 m de alto x 1.00 m de ancho.
Estructura estable, segura y transportable, con ruedas y freno de seguridad para movilidad controlada. Servicios incluidos: Transporte, instalación y desinstalación del andamio. Entrega: Unidad completa lista para uso en actividades de muralismo u otros trabajos en alturas
Incluye transporte, montaje y desmontaje”</t>
  </si>
  <si>
    <t>Materiales Muralismo</t>
  </si>
  <si>
    <t>Mascarilla o tapabocas</t>
  </si>
  <si>
    <t>Gafas de seguridad</t>
  </si>
  <si>
    <t>Gafas de seguridad en material transparente resistente, con ajuste cómodo, que protegen los ojos de salpicaduras de pintura, polvo o partículas durante la actividad.</t>
  </si>
  <si>
    <t>Delantal de protección</t>
  </si>
  <si>
    <t>Delantal en material resistente (plástico, tela impermeable o equivalente), diseñado para proteger la ropa durante actividades de pintura. Ligero, reutilizable y de fácil limpieza.</t>
  </si>
  <si>
    <t>Casco de seguridad</t>
  </si>
  <si>
    <t>Casco en material resistente, diseñado para proteger la cabeza en actividades que impliquen trabajo en altura o riesgo de impacto. Uso obligatorio cuando la actividad lo requiera.</t>
  </si>
  <si>
    <t>c.	Certificado en saberes de cuidado</t>
  </si>
  <si>
    <t>Procesos formativos certificados, en modalidad virtual, tipo diplomado o curso especializado en saberes del cuidado, ofrecidos por instituciones educativas, organizaciones académicas o entidades con experiencia en procesos formativos relacionados con el cuidado, la salud, el bienestar o el acompañamiento a personas dependientes. 
Incluye matrícula, acceso a plataforma virtual, acompañamiento académico, evaluaciones y certificación</t>
  </si>
  <si>
    <t xml:space="preserve">Profesional juridico </t>
  </si>
  <si>
    <t>Perfil:
Profesional en Derecho.
Experiencia:
Mínimo un (1) año en asesoría jurídica a población vulnerable, especialmente en derechos de mujeres cuidadoras o sujetos de cuidado, con enfoque de género.
Acreditación:
Título profesional y certificaciones de experiencia.</t>
  </si>
  <si>
    <t>Tablets</t>
  </si>
  <si>
    <t>" Tablet Android para uso formativo o personal.
Sistema operativo: Android (versión según disponibilidad del proveedor).
Almacenamiento: 128 GB interno + 18 GB de memoria RAM.
Pantalla: 11 pulgadas, resolución a definir según proveedor.
Batería: 8000 mAh, recargable.
Color: Negro.
Conectividad: Wi-Fi, Bluetooth, puertos USB o tipo C según modelo"</t>
  </si>
  <si>
    <t>Alquiler de espacio</t>
  </si>
  <si>
    <t>d.	Caracterización georeferenciación y fortalecimiento saberes y espacios de cuidado comunitario local.</t>
  </si>
  <si>
    <t xml:space="preserve">e.	Estrategias de comunicación sobre temas de cuidado </t>
  </si>
  <si>
    <t>Profesional en comunicación con enfoque de género producción de contenidos</t>
  </si>
  <si>
    <t>Perfil:
Profesional en comunicación social, audiovisual o áreas afines.
Experiencia:
Mínimo dos (2) años en procesos comunitarios y producción de contenidos con enfoque de género, relacionados con economía del cuidado o transformación social.
Acreditación:
Título profesional, certificaciones de experiencia y portafolio.</t>
  </si>
  <si>
    <t>COMPRA aro de luz Led con soporte para celular</t>
  </si>
  <si>
    <t>o	Tamaño: 26 cm (10 pulgadas aprox.)
o	Luz blanca cálida y fría (ajustable)
o	Incluye trípode de mesa o pie telescópico y soporte ajustable para celular
o	Compatible con la mayoría de los smartphones</t>
  </si>
  <si>
    <t>COMPRA microfono de solapa sencillo</t>
  </si>
  <si>
    <t>o	Con conector universal de 3.5 mm
o	Ideal para grabación directa en celular</t>
  </si>
  <si>
    <t>Esfero</t>
  </si>
  <si>
    <t>Esfero marcado
Punta media de 0.7 mm 
Tinta de color negra</t>
  </si>
  <si>
    <t xml:space="preserve">	Componente 1: Prevención de violencia en el contexto familiar, violencia sexual y promoción y garantía de derechos</t>
  </si>
  <si>
    <t>Facilitador lúdico-pedagógico</t>
  </si>
  <si>
    <t>Perfil:
Técnico o profesional en psicología, trabajo social, educación, recreación o áreas afines.
Experiencia:
Mínimo un (1) año en desarrollo de actividades lúdicas o pedagógicas en prevención de violencias o promoción de derechos con población vulnerable, especialmente mujeres, niñas, niños y adolescentes, con enfoque de género.
Acreditación:
Título o certificado de estudios y certificaciones de experiencia relacionada.</t>
  </si>
  <si>
    <t>Alquiler de Espacio Cerrado</t>
  </si>
  <si>
    <t>Unidad</t>
  </si>
  <si>
    <t>Impresión de Folletos</t>
  </si>
  <si>
    <t xml:space="preserve">Impresion de Triptico folleto pedagógico “La familia es para cuidarla” folleto informativo impreso por ambas caras y plegado en tres partes, generando seis paneles (3 interiores y 3 exteriores) stucados (couché) de 135g a 170g (brillo o mate) para mayor calidad  A4 (210 x 297 mm), full color
</t>
  </si>
  <si>
    <t>Papeleria</t>
  </si>
  <si>
    <t>Impresión blanco y negro (láser)</t>
  </si>
  <si>
    <t>MONTO AGOTABLE</t>
  </si>
  <si>
    <t>Tabla de Apoyo tamaño oficio material acrílico (22.5 x 34.5)</t>
  </si>
  <si>
    <t>Papeleria la gran 12</t>
  </si>
  <si>
    <t>garabatospapeleria</t>
  </si>
  <si>
    <t>Pliegos de Papel kraft 70 X 100 cm *Gramaje: 60</t>
  </si>
  <si>
    <t>Caja de colores x 24 und</t>
  </si>
  <si>
    <t>lagranpapeleria</t>
  </si>
  <si>
    <t>Material de recreativo y deportivo</t>
  </si>
  <si>
    <t>Kit de globoflexia básico (Globos moldeables (Twister): Generalmente de tipo 260 (2 pulgadas de diámetro y 60 de largo al inflarse), que son el estándar para figuras como perritos, flores, entre otros.
Inflador manual: Una bomba de aire de doble acción), con capacidad de elaboración de figuras para 20 niños y niñas</t>
  </si>
  <si>
    <t>Kit con material deportivo recreativo (incluye aros, conos, pelotas)</t>
  </si>
  <si>
    <t>Botiquin</t>
  </si>
  <si>
    <t>Botiquín básico de primeros auxilios. (gasas estériles, vendas de distintos tamaños, esparadrapo, tiritas (curitas), antisépticos (alcohol, yodopovidona), solución salina, tijeras, pinzas, guantes de látex o nitrilo, termómetro y analgésicos básicos.)</t>
  </si>
  <si>
    <t>Componente 2: Posicionamiento y promoción del buen trato en jornadas locales</t>
  </si>
  <si>
    <t>a. Festival de talentos "En mi barrio soy feliz"</t>
  </si>
  <si>
    <t>Perfil:
Técnico, tecnólogo o profesional en comunicación, locución, artes escénicas o áreas afines.
Experiencia:
Mínimo un (1) año en conducción de eventos comunitarios, culturales o institucionales, preferiblemente en actividades con enfoque social o de género.
Acreditación:
Certificado de estudios y/o certificaciones de experiencia.</t>
  </si>
  <si>
    <t>ARTISTA INVITADO</t>
  </si>
  <si>
    <t>Técnico de sonido</t>
  </si>
  <si>
    <t>Perfil:
Técnico en sonido o áreas afines.
Experiencia:
Mínimo seis (6) meses en operación de sistemas de sonido para eventos.
Acreditación:
Certificado técnico y/o certificaciones de experiencia relacionada.ma de sonido y micrófonos durante el desarrollo de la actividad."</t>
  </si>
  <si>
    <t xml:space="preserve"> Alquiler de Carpa tipo kiosco de 4m x 4m. Debe tener tres (3) laterales, anclaje o contrapes
Incluye: Transporte, montaje, anclaje, desmontaje y retiro al finalizar el evento.
Entrega: Carpas instaladas, seguras y operativas en los puntos definidos.</t>
  </si>
  <si>
    <t>NEMESIS</t>
  </si>
  <si>
    <t xml:space="preserve">Alquiler Tarima </t>
  </si>
  <si>
    <t>Tarima de aproximadamente 4 m x 4 m x 0.7 m de altura, con estructura certificada, cubierta tipo techo a dos aguas, faldón negro perimetral y fondo en polisombra negra. Incluye transporte, montaje, desmontaje y elementos de seguridad requeridos.</t>
  </si>
  <si>
    <t>CARPAS PARISS</t>
  </si>
  <si>
    <t>Alquiler de sistema de sonido</t>
  </si>
  <si>
    <t>Alquiler de sistema de sonido profesional para evento en espacio cerrado con orquesta de 6 a 10 artistas y aforo de 100 personas, compuesto por dos bafles activos de alta potencia (aprox. 1000 W RMS cada uno) para el público, uno o dos monitores de piso para los músicos, consola mezcladora de mínimo 16 canales, ocho micrófonos (inalámbricos o con cable) para voces e instrumentos, cajas directas (DI) para teclado y bajo, cableado completo y soportes; incluye instalación, prueba de sonido y técnico operador durante el evento, garantizando una cobertura uniforme, clara y equilibrada en todo el evento que tendrá 4 horas de duración.</t>
  </si>
  <si>
    <t>Planta eléctrica</t>
  </si>
  <si>
    <t>Alquiler PLANTA ELÉCTRICA DE 120 KVA Alquiler de Planta Eléctrica de 120 KVA (transporte, parcial de corriente 10 metros, trifásica, tierra y neutro, Operario), e insonorizada. (1 Jornada)</t>
  </si>
  <si>
    <t>susequid</t>
  </si>
  <si>
    <t>simem sas</t>
  </si>
  <si>
    <t>Trofeo</t>
  </si>
  <si>
    <t>Pechera tricolor, 30x30 cm, logos personalizados y textos.</t>
  </si>
  <si>
    <t>Kit pedagogico</t>
  </si>
  <si>
    <t>Kit pedagogico integrado por (1 tablero acrílico de 80 x 120 cm con marco de madera y soporte; 2 resmas de papel bond tamaño carta; 1 caja de esferos negros (50 unidades); 10 marcadores borrables de distintos colores; 2 cajas de marcadores permanentes gruesos de colores surtidos; 2 cajas de marcadores tipo plumón de colores surtidos; 15 pliegos de cartulina; 5 paquetes de fichas bibliográficas de diferentes colores; 5 paquetes de notas adhesivas (post-it) de 7.5 x 7.5 cm)</t>
  </si>
  <si>
    <t>b.	Cine foro juvenil “Saca lo mejor de ti”</t>
  </si>
  <si>
    <t>Perfil:
Técnico, tecnólogo o profesional en comunicación, locución, artes escénicas o áreas afines.
Experiencia:
Mínimo un (1) año en conducción de eventos comunitarios, culturales o institucionales, preferiblemente en actividades con enfoque social o de género.
Acreditación:
Certificado de estudios y/o certificaciones de experiencia</t>
  </si>
  <si>
    <t xml:space="preserve">Facilitadores </t>
  </si>
  <si>
    <t>Perfil:
Profesional o estudiante de últimos semestres en ciencias sociales o áreas afines.
Experiencia:
Mínimo seis (6) meses en trabajo pedagógico o comunitario con jóvenes, en procesos de sensibilización o prevención de violencias, con enfoque de género.
Acreditación:
Certificado de estudios y certificaciones de experiencia.</t>
  </si>
  <si>
    <t>Alquiler de video Beam</t>
  </si>
  <si>
    <t>Video Beam Hd de 5000 a 8000 Lumens. Disposición por día o jornada.</t>
  </si>
  <si>
    <t>Alquiler de Pantalla</t>
  </si>
  <si>
    <t>Tipo inflable o estructura portátil, Tamaño 4x3 mtrs</t>
  </si>
  <si>
    <t>Alquiler de sonido</t>
  </si>
  <si>
    <t>PARLANTE Tipo: Amplificador o parlante activo con conexión inalámbrica o cableada. Potencia: Mínimo 80W – 120W, ideal para espacios abiertos o medianos. Conectividad: Bluetooth Entrada USB Entrada auxiliar (3.5 mm o RCA) Batería recargable o conexión directa a corriente. Incluye: Perilla de control de volumen, bajos y agudos. Uso previsto: Apoyo en jornadas lúdicas, educativas o comunitarias que requieren proyección de audio o música ambiental. Alquiler y todo incluye puesta en sitio y recogida al finalizar el evento Los elementos, de acuerdo con las cantidades solicitadas, han sido consolidados de manera unificada para evitar repeticiones. Dichos insumos y sus respectivas cantidades serán distribuidos según las necesidades específicas de cada una de las actividades programadas.</t>
  </si>
  <si>
    <t>c.	Foro Interinstitucional por el Buen Trato - “Compromiso Local por Familias Libres de Violencia”</t>
  </si>
  <si>
    <t>Presentación artistica</t>
  </si>
  <si>
    <t>Perfil:
Grupo o artista cultural.
Experiencia:
Experiencia en presentaciones culturales en eventos comunitarios o institucionales relacionados con temas sociales o de prevención de violencias.
Acreditación:
Soportes de experiencia artística.</t>
  </si>
  <si>
    <t>grupo</t>
  </si>
  <si>
    <t>Horas</t>
  </si>
  <si>
    <t>Espacio cerrado con mesa principal. Auditorio. Infraestructura mínima:Sillas para los asistentes. Pantalla o telón de proyección. Video beam o proyector. Sistema de sonido. Micrófono para moderación. Punto de energía eléctrica.Condiciones: Buena visibilidad, acústica adecuada y ventilación.</t>
  </si>
  <si>
    <t>Impresión</t>
  </si>
  <si>
    <t>Impresión de compromiso institucional por el Buen Trato, laser a full color en pliego de papel Propalcote (brillante)</t>
  </si>
  <si>
    <t>Agenda</t>
  </si>
  <si>
    <t>Agenda pasta dura con diseño, argollada, 21,4 cm x 28cm, 112 páginas, con 4 separadores en propalcote, impresos a cuatro tintas alusivos a la prevención de violencia intrafamiliar y buen trato</t>
  </si>
  <si>
    <t>Live
Servicio de transmisión en vivo</t>
  </si>
  <si>
    <t>Trasmisión virtual, Live intermedio (2 cámaras, 2 horas) Equipo computo, producción, conexión sonido, Internet, Personal de apoyo (3 personas)</t>
  </si>
  <si>
    <t xml:space="preserve">Mantenimiento  Unidades  Moviles </t>
  </si>
  <si>
    <t>Limpieza general y desinfección de las unidades.
Revisión y servicio de llantas (inflado y reparación por despinche).
Mantenimiento de estructura metálica (tratamiento de óxido o corrosión).
Cambio de vinilo exterior con diseño previamente aprobado por la Oficina de Prensa y el Alcalde Local.
Instalación de elementos reflectivos de seguridad.
Diseño del vinilo:Inclusión de logos institucionales (definidos en comité). Frase alusiva a la prevención de violencias y promoción del buen trato. Impresión e instalación completa en la estructura del tráiler.
Características de las unidades: Dimensiones aproximadas:Largo cabina: 2,32 m / Largo externo: 3,30 m. Ancho cabina: 1,72 m / Ancho externo: 2,10 m
Alto cabina: 2,00 m / Alto externo: 2,40 mPeso: 480 kg.
Estructura:Chasis en acero estructural HR50 de 2.5 mm.Tubería de hierro de 1½” con acabado anticorrosivo.
Suspensión tipo torsión de un eje con dos ruedas (capacidad 500 kg).
Llantas y rines de 14”.
Elevador de enganche con manivela en acero galvanizado.
Enganche de bola profesional 1-7/8” en acero galvanizado.
Dos gatos niveladores manuales.
Entrega: Unidades móviles con mantenimiento realizado, vinilos instalados y condiciones operativas adecuadas.</t>
  </si>
  <si>
    <t xml:space="preserve">Transporte para  entrega de unidades moviles </t>
  </si>
  <si>
    <t>"Servicio de transporte especializado mediante grúa de plataforma (cama plana o camilla). Traslado de unidades móviles tipo tráiler.
Transporte de seis (6) unidades móviles. Características del vehículo: Grúa de plataforma o cama plana apta para transporte de remolques.
Sistema de sujeción con correas para fijación de ruedas. Estabilizadores para evitar desplazamientos o vuelcos durante el traslado. Vehículo con documentación, seguros y condiciones técnicas vigentes. Entrega: Traslado seguro de las unidades móviles desde el punto de recogida hasta el lugar de destino definido por la Alcaldía Local de Engativá 6 trayectos, 2 unidades moviles por trayecto"</t>
  </si>
  <si>
    <t>assiscard</t>
  </si>
  <si>
    <t>auto gruas bulla</t>
  </si>
  <si>
    <t>Componente 3: Seguimiento y evaluación del proyecto</t>
  </si>
  <si>
    <t>Profesional de seguimiento y evaluación</t>
  </si>
  <si>
    <t>Perfil:
Profesional en áreas sociales, económicas, administrativas o afines.
Experiencia:
Mínimo dos (2) años en seguimiento, monitoreo o evaluación de proyectos sociales, preferiblemente relacionados con prevención de violencias o trabajo con población vulnerable, con enfoque de género.
Acreditación:
Título profesional y certificaciones de experiencia relacionada.</t>
  </si>
  <si>
    <t>Meta - 2026: Vincular 1000 personas en acciones para la prevención del feminicidio y la violencia contra la mujer.</t>
  </si>
  <si>
    <t>Perfil: Profesional en ciencias sociales, humanas, administrativas o afines.
Experiencia: Mínimo tres (3) años en coordinación de proyectos sociales, preferiblemente en prevención de violencias basadas en género, trabajo comunitario o procesos con mujeres.
Acreditación: Diploma o acta de grado y certificaciones de experiencia relacionadas</t>
  </si>
  <si>
    <t>Profesional en Trabajo Social</t>
  </si>
  <si>
    <t>Perfil: Profesional en Trabajo Social, Psicología, Sociología, Ciencia Política o áreas afines.
Experiencia: Mínimo dos (2) años en intervención comunitaria, acompañamiento social y procesos con población vulnerable, especialmente mujeres, con enfoque de género y derechos.
Acreditación: Diploma o acta de grado y certificaciones de experiencia relacionadas.</t>
  </si>
  <si>
    <t>Componente 1 - 55568 DDifMujer: Fechas conmemorativas 25N y 4D.</t>
  </si>
  <si>
    <t>a.	Carrera de la mujer - 5K</t>
  </si>
  <si>
    <t xml:space="preserve">Tarima </t>
  </si>
  <si>
    <t>Alquiler de Tarima cubierta con techo tipo hangar 6 x 6 metros y 2 metros de altura con faldón y escalera. (Incluye transporte, truss, instalación y desinstalación). Si falta algún elemento de cualquiera de los ítems globales o compuestos por varios elementos o actividades, se declarará no entregado, por lo cual, sería un incumplimiento y no se cancelaría el costo de dicho ítem. Las locaciones pueden variar</t>
  </si>
  <si>
    <t>Alquiler Sonido profesional para evento al aire libre</t>
  </si>
  <si>
    <t>o 2 cabinas tipo PA de mínimo 1000W RMS cada una. o Subwoofer de refuerzo para bajos. o Consola de mezcla de 6 a 12 canales. o 2 micrófonos inalámbricos de mano. o 1 micrófono de solapa o diadema para presentaciones. o 1 Truss en aluminio para colgar luces y pancarta (mínimo 6 m largo x 3 m alto). o Incluye operador de sonido y montaje completo. Si falta algún elemento de cualquiera de los ítems globales o compuestos por varios elementos o actividades, se declarará no entregado, por lo cual, sería un incumplimiento y no se cancelaría el costo de dicho ítem. Las locaciones pueden variar</t>
  </si>
  <si>
    <t>Alquiler Planta eléctrica</t>
  </si>
  <si>
    <t>PLANTA ELÉCTRICA DE 120 KVA Alquiler de Planta Eléctrica de 120 KVA (transporte, parcial de corriente 10 metros, trifásica, tierra y neutro, Operario), e insonorizada. (1 Jornada)</t>
  </si>
  <si>
    <t>Alquiler Baños portátiles</t>
  </si>
  <si>
    <t>Alquiler de baños portátiles básicos por jornada para eventos masivos. Incluye suministro de papel higiénico, disposición para uso y transporte ida y regreso de las unidades,  incluido (transporte, Montaje y desmontaje)</t>
  </si>
  <si>
    <t>Presentadora / Maestra de ceremonias</t>
  </si>
  <si>
    <t>Perfil: Profesional, técnica o tecnóloga en comunicación, locución, artes escénicas o áreas afines.
Experiencia: Mínimo un (1) año en conducción de eventos comunitarios o sociales, preferiblemente con enfoque de género.
Acreditación: Certificado o diploma de formación y soportes de experiencia.</t>
  </si>
  <si>
    <t>Instructora certificada de calentamiento y activación física</t>
  </si>
  <si>
    <t>Perfil: Técnica, tecnóloga o profesional en educación física, deporte o áreas afines.
Experiencia: Mínimo un (1) año en orientación de actividad física grupal, preferiblemente con mujeres o población comunitaria.
Acreditación: Certificado o diploma de formación y/o certificaciones relacionadas.</t>
  </si>
  <si>
    <t>Operador técnico de sonido</t>
  </si>
  <si>
    <t>Perfil: Técnico o tecnólogo en sonido o áreas afines.
Experiencia: Mínimo un (1) año en operación de equipos de sonido para eventos.
Acreditación: Certificaciones técnicas o experiencia comprobada.</t>
  </si>
  <si>
    <t xml:space="preserve">Tula </t>
  </si>
  <si>
    <t>COMPRA PROMOCIONALES</t>
  </si>
  <si>
    <t xml:space="preserve">TRAZO CREATIVO </t>
  </si>
  <si>
    <t>KREATEX</t>
  </si>
  <si>
    <t xml:space="preserve">Visera </t>
  </si>
  <si>
    <t xml:space="preserve">
Visera deportiva para mujer.
Material: tela liviana y transpirable. Ajuste posterior (velcro o broche). Diseño ergonómico para correr y actividades al aire libre. Talla única ajustable.
Personalización: Marcada con logos institucionales y diseño del evento “Carrera de la Mujer 5K”.</t>
  </si>
  <si>
    <t xml:space="preserve">DECLATHON </t>
  </si>
  <si>
    <t xml:space="preserve">Pulsera </t>
  </si>
  <si>
    <t>Accesorio de identificación. Pulsera ajustable. Material resistente (silicona o Tyvek), liviana, talla única. Personalización: Marcada con logos institucionales y nombre del evento “Carrera de la Mujer 5K”.
Entrega: Pulsera marcada y lista para entrega a participantes.</t>
  </si>
  <si>
    <t xml:space="preserve">ARTES YA </t>
  </si>
  <si>
    <t xml:space="preserve">UNIVERSITY </t>
  </si>
  <si>
    <t>MANILLAS DE CONTROL</t>
  </si>
  <si>
    <t>Abanico plegable</t>
  </si>
  <si>
    <t xml:space="preserve"> Abanico plegable manual.
 Material liviano (plástico y tela), resistente, fácil de transportar.
 Marcado con logos institucionales y nombre del evento “Carrera de la Mujer 5K”.
Abanico plegable marcado y listo para entrega a participantes.</t>
  </si>
  <si>
    <t xml:space="preserve">MARKADOS </t>
  </si>
  <si>
    <t>PROMALL</t>
  </si>
  <si>
    <t>TU PUBLICISTA</t>
  </si>
  <si>
    <t>Mangas de protección solar</t>
  </si>
  <si>
    <t xml:space="preserve"> Accesorio deportivo.
 Par de mangas para brazos.
 Tela elástica, transpirable y de secado rápido con protección UV; diseño cómodo para actividad física.
Talla: Ajuste flexible (talla única o surtidas).
Con logos institucionales y diseño del evento “Carrera de la Mujer 5K”."</t>
  </si>
  <si>
    <t>SPORT PRO</t>
  </si>
  <si>
    <t>Servicio de cronometraje electrónico de la carrera</t>
  </si>
  <si>
    <t xml:space="preserve"> Servicio de cronometraje electrónico.
Formato: Sistema Bib Tag o tecnología equivalente.
Incluye: Computador con software de cronometraje. Tapete o alfombra de lectura electrónica. Caja lectora para registro de tiempos. Reloj cronómetro LED (alquiler).</t>
  </si>
  <si>
    <t xml:space="preserve">Medallas de participación </t>
  </si>
  <si>
    <t>COMPRA de Medallas de Participación, elaboradas en aleación de cobre, zinc, magnesio y aluminio, material no tóxico, troquelada con logotipo y texto en alto relieve por las dos caras, de 6 CM de diámetro por 3 MM de espesor, baño bronceado o plateado o dorado brillante o antiguo, con cinta de 80 cm de largo.
El contratista será el responsable de adquirir las medallas y grabado de los logos institucionales y datos proporcionados por el equipo de prensa de la Alcaldía. La aplicación de los logos debe realizarse únicamente con la aprobación de prensa con su respectivo código emitido por secretaria de gobierno, asegurando el uso correcto de la identidad visual del Distrito.</t>
  </si>
  <si>
    <t xml:space="preserve">Impresión de números de competencia. </t>
  </si>
  <si>
    <t>Impresión de números de competencia. Instalación del dispositivo Bib Tag en cada número. Punto de control adicional durante el recorrido.
Resultados: Entrega de resultados oficiales.Envío de resultados por mensaje de texto a participantes.
Plataforma de seguimiento en vivo.
Reportes estadísticos del evento.
Entrega: Sistema instalado, operando durante la carrera y con resultados consolidados.</t>
  </si>
  <si>
    <t>banda deportiva o smartwatch.</t>
  </si>
  <si>
    <t>banda/smartwatch:
Caja en plástico PC y malla en elastómero termoplástico con aleación de aluminio.
Pantalla OLED a color de 1,1”.
Sensores: frecuencia cardíaca, acelerómetro y giroscopio de 3 ejes.
Resistencia al agua: 5 ATM.
Batería de 200 mAh (autonomía hasta 14 días).
Conectividad Bluetooth 5.0.
Compatibilidad con iOS y Android.</t>
  </si>
  <si>
    <t>ALKOSTO</t>
  </si>
  <si>
    <t xml:space="preserve">Personal de salud – Punto MEC </t>
  </si>
  <si>
    <t>Perfil: Técnico o profesional en áreas de salud (enfermería, atención prehospitalaria o afines).
Experiencia: Mínimo un (1) año en atención de primeros auxilios o eventos comunitarios.
Acreditación: Certificación en primeros auxilios vigente y soportes de formación.</t>
  </si>
  <si>
    <t>Punto MEC</t>
  </si>
  <si>
    <t>Punto MEC instalado en una carpa de 4x4 mínimo dieciséis (16) metros cuadrados de área, las áreas o carpas utilizadas para estos módulos deben estar señalizados e identificados con aviso de 80cm * 100cm que indique “M.E.C – MODULO DE ESTABILIZACIÓN Y CLASIFICACIÓN DE HERIDOS". (3) Recipientes plásticos y rígidos (tipo canecas) con bolsas para el desecho de residuos peligrosos, no peligrosos y residuos cortopunzantes Mínimo dos (2) auxiliares de enfermería que deben estar con Uniforme, Equipo de Actuación y Protección básico, y por otro lado deben ajustarse al Plan de Acción de Atención Médica y Primeros Auxilios. (1) Botiquín de primeros auxilios tipo B de acuerdo a lo establecido en la LEY.</t>
  </si>
  <si>
    <t>Personal médico ambulancia</t>
  </si>
  <si>
    <t>Perfil: Profesional en medicina y/o técnico en atención prehospitalaria.
Experiencia: Experiencia en atención de emergencias y eventos masivos.
Acreditación: Tarjeta profesional y certificaciones vigentes requeridas.</t>
  </si>
  <si>
    <t>Ambulancia</t>
  </si>
  <si>
    <t>Mínimo una (1) ambulancia por ocho (8) horas. Medicalizada Este servicio cuenta con una tripulación compuesta por: Conductor con curso de primeros auxilios. Médico, y al menos un Auxiliar de enfermería o paramédico. Vehículo con adecuaciones para el fácil manejo de los pacientes y fácil desplazamiento de los tripulantes, pisos en aluminio, sistema de energía con corazas auto extinguibles y protegidas contra la humedad, aire acondicionado, extractor de olores, compartimientos de carga para trauma, sillas de ruedas portátiles, aspirador eléctrico, respirador manual pediátrico y adulto, equipo cirugía, equipo de parto, equipo paramédico especializado alta mente calificado para atención de urgencias, equipo de soporte básico para primeros auxilios y monitor multiparámetros.</t>
  </si>
  <si>
    <t xml:space="preserve">Hidratación  </t>
  </si>
  <si>
    <t>TIENDAS JUMBO</t>
  </si>
  <si>
    <t>SUPERMERCADOS EURO</t>
  </si>
  <si>
    <t>ALMACENES FLAMINGO</t>
  </si>
  <si>
    <t>BOLSA A MONTO AGOTABLE PARA LOGISTICA</t>
  </si>
  <si>
    <t>Señalización y demarcación del recorrido
Kit de registro y control de participantes
Puntos de hidratación (estructura)
Gestión de residuos (puntos ecológicos)
Arco de salida/meta</t>
  </si>
  <si>
    <t>b. Acto de memoria por la vida de las mujeres.</t>
  </si>
  <si>
    <t>Profesional ambiental o apoyo en procesos ecológicos</t>
  </si>
  <si>
    <t>Facilitador/a de procesos de memoria</t>
  </si>
  <si>
    <t>Perfil: Profesional en ciencias sociales, humanas o áreas afines.
Experiencia: Mínimo un (1) año en procesos de memoria, derechos humanos o prevención de violencias contra las mujeres.
Acreditación: Certificaciones de formación y/o experiencia relacionada.</t>
  </si>
  <si>
    <t>Artista intervención teatral</t>
  </si>
  <si>
    <t>Perfil: Artista o colectivo con experiencia en artes escénicas.
Experiencia: Mínimo un (1) año en presentaciones culturales o comunitarias, preferiblemente en temas sociales o de género.
Acreditación: Portafolio o certificaciones de experiencia.</t>
  </si>
  <si>
    <t>Perfil: Artista o agrupación musical.
Experiencia: Experiencia en presentaciones en eventos comunitarios o culturales.
Acreditación: Portafolio o certificaciones.</t>
  </si>
  <si>
    <t>Alquiler Espacio</t>
  </si>
  <si>
    <t>Plántulas o especies vegetales</t>
  </si>
  <si>
    <t>Plantas ornamentales, aromáticas o medicinales aptas para siembra en espacio público o comunitario. Buen estado fitosanitario.</t>
  </si>
  <si>
    <t>Sustrato o tierra abonada</t>
  </si>
  <si>
    <t>Mezcla de tierra fértil o sustrato para siembra, adecuada para el crecimiento de especies vegetales.</t>
  </si>
  <si>
    <t>bultos</t>
  </si>
  <si>
    <t>Herramientas de jardinería</t>
  </si>
  <si>
    <t>Kit básico que puede incluir palas pequeñas, guantes, regaderas u otros elementos necesarios para actividades de siembra.</t>
  </si>
  <si>
    <t>Abono orgánico</t>
  </si>
  <si>
    <t>Material orgánico para fertilización de plantas, apto para uso en espacios comunitarios.</t>
  </si>
  <si>
    <t>Guantes para siembra</t>
  </si>
  <si>
    <t>Elementos de riego</t>
  </si>
  <si>
    <t>Placas conmemorativas</t>
  </si>
  <si>
    <t>BOTONES.COM</t>
  </si>
  <si>
    <t>MUNDO COPIAS</t>
  </si>
  <si>
    <t xml:space="preserve">Componente 2 - 55568 DDifMujer: Resignificación de espacios inseguros, prevención de acoso callejero y acoso sexual </t>
  </si>
  <si>
    <t>a.	Muralismo colectivo</t>
  </si>
  <si>
    <t>Artista líder / muralista principal</t>
  </si>
  <si>
    <t>Perfil: Profesional, técnico o empírico en artes plásticas, visuales o áreas afines.
Experiencia: Mínimo dos (2) años en muralismo o arte urbano comunitario, con enfoque en género, transformación social o trabajo con mujeres.
Acreditación: Portafolio artístico y/o certificaciones de experiencia.</t>
  </si>
  <si>
    <t>Artistas muralistas</t>
  </si>
  <si>
    <t>Perfil: Artistas, colectivos o gestores culturales en artes plásticas o urbanas.
Experiencia: Mínimo un (1) año en intervenciones artísticas o muralismo comunitario, preferiblemente con enfoque de género.
Acreditación: Portafolio o registro de obras realizadas.</t>
  </si>
  <si>
    <t>Facilitador/a social con enfoque de género</t>
  </si>
  <si>
    <t>Perfil: Profesional en Trabajo Social, Psicología, Sociología o áreas afines.
Experiencia: Mínimo dos (2) años en procesos comunitarios con mujeres, enfoque de género y prevención de violencias.
Acreditación: Diploma o acta de grado y certificaciones de experiencia.</t>
  </si>
  <si>
    <t>Artista intervención cultural (teatro/música)</t>
  </si>
  <si>
    <t>Perfil: Artista o agrupación en artes escénicas o musicales.
Experiencia: Mínimo un (1) año en presentaciones comunitarias con enfoque social o de género.
Acreditación: Portafolio o certificaciones.</t>
  </si>
  <si>
    <t>Andamio móvil con ruedas)</t>
  </si>
  <si>
    <t>Escalera</t>
  </si>
  <si>
    <t>Escalera portátil en material metálico o fibra, resistente, con sistema antideslizante y capacidad de carga adecuada para trabajo en altura, apta para uso en actividades de pintura mural.</t>
  </si>
  <si>
    <t>Pintura acrílica o vinilo</t>
  </si>
  <si>
    <t>Pintura tipo acrílica o vinilo para exteriores, presentación en galón (3.785 ml) o cuarto (946 ml), alto poder de cubrimiento (mínimo 30–40 m² por galón según superficie), resistente a intemperie, humedad y radiación UV. Colores surtidos.</t>
  </si>
  <si>
    <t>Pintura base (blanca)</t>
  </si>
  <si>
    <t>Pintura base acrílica blanca para preparación de superficie, presentación en galón (3.785 ml), rendimiento aproximado de 30 m² por capa, mejora adherencia y uniformidad.</t>
  </si>
  <si>
    <t>Pintura negra</t>
  </si>
  <si>
    <t>Pintura acrílica negra de alta pigmentación, presentación en cuarto (946 ml) o galón, ideal para delineado y detalles finos, alta resistencia al desgaste.</t>
  </si>
  <si>
    <t>Sellador acrílico</t>
  </si>
  <si>
    <t>Sellador para superficies porosas, presentación en galón (3.785 ml), rendimiento aproximado de 20–30 m², mejora adherencia y uniformidad de la pintura.</t>
  </si>
  <si>
    <t>Barniz protector</t>
  </si>
  <si>
    <t>Barniz acrílico transparente mate o satinado, presentación en galón (3.785 ml) o litro (1000 ml), resistente a rayos UV, humedad y abrasión.</t>
  </si>
  <si>
    <t>Brochas surtidas</t>
  </si>
  <si>
    <t>Brochas con cerdas sintéticas o naturales, mango ergonómico, tamaños surtidos: 1”, 2”, 3” y 4”, aptas para pintura acrílica en superficies rugosas.</t>
  </si>
  <si>
    <t>Pinceles finos</t>
  </si>
  <si>
    <t>Pinceles de precisión con cerdas suaves, tamaños #0, #1, #2, #4 y #6, ideales para detalles, contornos y acabados.</t>
  </si>
  <si>
    <t>Rodillos</t>
  </si>
  <si>
    <t>Rodillos de felpa o espuma, tamaño estándar 9 pulgadas (23 cm), con repuesto intercambiable, para cobertura de áreas amplias.</t>
  </si>
  <si>
    <t>homecenter</t>
  </si>
  <si>
    <t>falabella</t>
  </si>
  <si>
    <t>easy</t>
  </si>
  <si>
    <t>Bandejas para pintura</t>
  </si>
  <si>
    <t>Bandejas plásticas resistentes para rodillo, tamaño estándar compatible con rodillos de 9”, con área de escurrido.</t>
  </si>
  <si>
    <t>COMADERAS</t>
  </si>
  <si>
    <t>Recipientes de mezcla</t>
  </si>
  <si>
    <t>Recipientes plásticos o vasos medidores de 500 ml a 1000 ml, resistentes a solventes, para mezcla de pinturas.</t>
  </si>
  <si>
    <t>Easy</t>
  </si>
  <si>
    <t>Mundo huevo</t>
  </si>
  <si>
    <t>Lapiz mina negra</t>
  </si>
  <si>
    <t xml:space="preserve">lagrapapeleria </t>
  </si>
  <si>
    <t>libreriatroya</t>
  </si>
  <si>
    <t>Tiza o carboncillo</t>
  </si>
  <si>
    <t>Barras de tiza o carboncillo de alta visibilidad, fácil remoción, para transferencia de diseño al muro.</t>
  </si>
  <si>
    <t>PANAMERICANA</t>
  </si>
  <si>
    <t xml:space="preserve">CARTEL </t>
  </si>
  <si>
    <t>TECNO</t>
  </si>
  <si>
    <t>Cinta de enmascarar</t>
  </si>
  <si>
    <t>Cinta De Enmascarar Profesional De 50 Metros, Ancho 48 Mm</t>
  </si>
  <si>
    <t>Homecenter</t>
  </si>
  <si>
    <t>Falabela</t>
  </si>
  <si>
    <t xml:space="preserve">Guantes </t>
  </si>
  <si>
    <t>Guantes de protección elaborados en látex, nitrilo o material sintético, flexibles y resistentes, aptos para manipulación de pintura, herramientas y materiales. Talla estándar o surtida.</t>
  </si>
  <si>
    <t>Tapabocas</t>
  </si>
  <si>
    <t>Elemento de protección respiratoria, desechable o reutilizable, mínimo de 3 capas, utilizado para evitar la inhalación de partículas, polvo o vapores durante la ejecución de la actividad.</t>
  </si>
  <si>
    <t>Farmatodo</t>
  </si>
  <si>
    <t>Locatel</t>
  </si>
  <si>
    <t xml:space="preserve">b.	Intervenciones de urbanismo táctico </t>
  </si>
  <si>
    <t>Tallerista en urbanismo táctico</t>
  </si>
  <si>
    <t>Perfil:
Profesional, técnico o maestro empírico en arquitectura, diseño, artes, carpintería o áreas afines.
Experiencia:
Mínimo dos (2) años en procesos formativos o comunitarios en urbanismo táctico, intervención de espacios, muralismo o mejoramiento de entornos, con enfoque de género y trabajo con mujeres.
Acreditación:
Diploma, acta de grado y/o certificados de experiencia. Portafolio de trabajos realizados.</t>
  </si>
  <si>
    <t>Apoyo técnico en carpintería</t>
  </si>
  <si>
    <t>Perfil:
Técnico, tecnólogo o empírico en carpintería, construcción o áreas afines.
Experiencia:
Mínimo un (1) año en manejo de herramientas manuales y elaboración de estructuras en madera, preferiblemente en procesos formativos o comunitarios.
Acreditación:
Certificados de formación o constancias de experiencia</t>
  </si>
  <si>
    <t>espacio</t>
  </si>
  <si>
    <t>El suministro se realizará bajo la modalidad de monto agotable, según necesidades del proceso formativo.</t>
  </si>
  <si>
    <t>Pintura para exteriores, presentación en galón (3.785 ml) o equivalente, resistente a condiciones climáticas, colores surtidos.</t>
  </si>
  <si>
    <t>Sellador para madera</t>
  </si>
  <si>
    <t>madera
Sellador base para madera que mejora adherencia de pintura y protege la superficie. Presentación en galón.</t>
  </si>
  <si>
    <t>Barniz transparente para protección de madera, resistente a humedad y desgaste.</t>
  </si>
  <si>
    <t>Plantillas de stencil</t>
  </si>
  <si>
    <t>Plantillas reutilizables en acetato o plástico para aplicación de diseños gráficos y mensajes</t>
  </si>
  <si>
    <t>c.	Mecanismos de fortalecimiento de capacidades y liderazgo comunitario</t>
  </si>
  <si>
    <t>Profesional psicosocial</t>
  </si>
  <si>
    <t>Perfil: Profesional en Trabajo Social, Psicología o áreas afines.
Experiencia: Mínimo dos (2) años en acompañamiento psicosocial, prevención de violencias basadas en género y trabajo con mujeres.
Acreditación: Diploma o acta de grado y certificaciones de experiencia</t>
  </si>
  <si>
    <t>Profesional jurídico</t>
  </si>
  <si>
    <t>Perfil: Profesional en Derecho.
Experiencia: Mínimo dos (2) años en derechos de las mujeres, rutas de atención a violencias y orientación jurídica comunitaria.
Acreditación: Diploma, acta de grado y tarjeta profesional vigente.</t>
  </si>
  <si>
    <t>Cartillas pedagógicas</t>
  </si>
  <si>
    <t>Material impreso tipo cartilla, tamaño carta o media carta, mínimo 12 a 20 páginas, impresión a color o blanco y negro en papel bond o propalcote (mínimo 75–115 gr), con contenido pedagógico sobre prevención de violencias basadas en género, rutas de atención y herramientas comunitarias. Diseño amigable, legible y con enfoque diferencial.</t>
  </si>
  <si>
    <t>Guías plastificadas</t>
  </si>
  <si>
    <t>Fichas pedagógicas tipo guía rápida, tamaño aproximado media carta o A5, impresas a color y plastificadas (laminado mate o brillante), resistentes al uso frecuente. Contenido sintético sobre rutas de atención, señales de alerta y acciones básicas frente a situaciones de riesgo.</t>
  </si>
  <si>
    <t>Mini violentómetro</t>
  </si>
  <si>
    <t>Herramienta pedagógica portátil tipo bolsillo, elaborada en cartulina resistente o material plastificado, con escala gráfica que permite identificar niveles de violencia (psicológica, física, simbólica, etc.), diseño compacto de fácil lectura y uso en campo.</t>
  </si>
  <si>
    <t>Directorio institucional</t>
  </si>
  <si>
    <t>Documento impreso tipo plegable o ficha, tamaño bolsillo, con información actualizada de rutas de atención a violencias basadas en género, incluyendo líneas de emergencia, entidades distritales y servicios locales. Material en papel resistente o plastificado.</t>
  </si>
  <si>
    <t>Apoyo conectividad</t>
  </si>
  <si>
    <t>Suministro de recargas móviles, paquetes de datos o equivalentes, destinados a facilitar la difusión de información comunitaria, comunicación entre participantes y circulación de contenidos pedagógicos durante el proceso.
(recargas móviles o paquetes de datos mínimos de navegación)</t>
  </si>
  <si>
    <t>Apoyo transporte</t>
  </si>
  <si>
    <t>Apoyo económico o logístico destinado a cubrir el desplazamiento local de las participantes hacia los espacios de formación, garantizando su asistencia y permanencia en el proceso.</t>
  </si>
  <si>
    <t>TRANSMILENIO</t>
  </si>
  <si>
    <t>Sello punto seguro</t>
  </si>
  <si>
    <t>Elemento identificador tipo placa rígida o adhesivo de alta durabilidad, resistente a condiciones ambientales (sol, humedad), con diseño institucional visible que identifique al establecimiento como “Punto Seguro para Mujeres”.</t>
  </si>
  <si>
    <t>Afiches informativos</t>
  </si>
  <si>
    <t>Material impreso tipo afiche, tamaño mínimo media carta o carta, en papel resistente (propalcote o similar), con información clara y visible sobre rutas de atención a violencias basadas en género, diseñado para exhibición en establecimientos comerciales.</t>
  </si>
  <si>
    <t>Guía rápida atención</t>
  </si>
  <si>
    <t>Documento pedagógico tipo ficha o plegable, con orientaciones prácticas para la atención inicial de casos de violencia, principios de confidencialidad, no revictimización y activación de rutas institucionales. Formato de fácil lectura y consulta rápida.</t>
  </si>
  <si>
    <t>Material pedagógico</t>
  </si>
  <si>
    <t>Conjunto de insumos didácticos (cartillas, fichas, elementos visuales o lúdicos) utilizados durante el proceso formativo, diseñados para facilitar la comprensión de contenidos sobre prevención de violencias, enfoque de género y rutas de atención.</t>
  </si>
  <si>
    <t>Componente 3 - 55568 DDifMujer: Espacios de intercambio de saberes, fortalecimiento de capacidades y redes comunitarias</t>
  </si>
  <si>
    <t>a.	Escuela de defensa personal para mujeres</t>
  </si>
  <si>
    <t>Instructora en defensa personal</t>
  </si>
  <si>
    <r>
      <t>Perfil:</t>
    </r>
    <r>
      <rPr>
        <sz val="12"/>
        <color theme="1"/>
        <rFont val="Calibri"/>
        <family val="2"/>
        <scheme val="minor"/>
      </rPr>
      <t xml:space="preserve"> Mujer instructora en defensa personal, actividad física o disciplinas afines. </t>
    </r>
    <r>
      <rPr>
        <b/>
        <sz val="12"/>
        <color theme="1"/>
        <rFont val="Calibri"/>
        <family val="2"/>
        <scheme val="minor"/>
      </rPr>
      <t>Experiencia:</t>
    </r>
    <r>
      <rPr>
        <sz val="12"/>
        <color theme="1"/>
        <rFont val="Calibri"/>
        <family val="2"/>
        <scheme val="minor"/>
      </rPr>
      <t xml:space="preserve"> Mínimo dos (2) años en defensa personal (krav maga o similares), entrenamiento físico y trabajo con mujeres con enfoque de género. </t>
    </r>
    <r>
      <rPr>
        <b/>
        <sz val="12"/>
        <color theme="1"/>
        <rFont val="Calibri"/>
        <family val="2"/>
        <scheme val="minor"/>
      </rPr>
      <t>Acreditación:</t>
    </r>
    <r>
      <rPr>
        <sz val="12"/>
        <color theme="1"/>
        <rFont val="Calibri"/>
        <family val="2"/>
        <scheme val="minor"/>
      </rPr>
      <t xml:space="preserve"> Certificaciones de formación y/o experiencia relacionadas.</t>
    </r>
  </si>
  <si>
    <r>
      <t>Perfil:</t>
    </r>
    <r>
      <rPr>
        <sz val="12"/>
        <color theme="1"/>
        <rFont val="Calibri"/>
        <family val="2"/>
        <scheme val="minor"/>
      </rPr>
      <t xml:space="preserve"> Profesional en Psicología, Trabajo Social o áreas afines. </t>
    </r>
    <r>
      <rPr>
        <b/>
        <sz val="12"/>
        <color theme="1"/>
        <rFont val="Calibri"/>
        <family val="2"/>
        <scheme val="minor"/>
      </rPr>
      <t>Experiencia:</t>
    </r>
    <r>
      <rPr>
        <sz val="12"/>
        <color theme="1"/>
        <rFont val="Calibri"/>
        <family val="2"/>
        <scheme val="minor"/>
      </rPr>
      <t xml:space="preserve"> Mínimo dos (2) años en acompañamiento a mujeres, prevención de violencias basadas en género y procesos formativos. </t>
    </r>
    <r>
      <rPr>
        <b/>
        <sz val="12"/>
        <color theme="1"/>
        <rFont val="Calibri"/>
        <family val="2"/>
        <scheme val="minor"/>
      </rPr>
      <t>Acreditación:</t>
    </r>
    <r>
      <rPr>
        <sz val="12"/>
        <color theme="1"/>
        <rFont val="Calibri"/>
        <family val="2"/>
        <scheme val="minor"/>
      </rPr>
      <t xml:space="preserve"> Diploma o acta de grado y certificaciones de experiencia.</t>
    </r>
  </si>
  <si>
    <r>
      <t>Perfil:</t>
    </r>
    <r>
      <rPr>
        <sz val="12"/>
        <color theme="1"/>
        <rFont val="Calibri"/>
        <family val="2"/>
        <scheme val="minor"/>
      </rPr>
      <t xml:space="preserve"> Bachiller o técnico. </t>
    </r>
    <r>
      <rPr>
        <b/>
        <sz val="12"/>
        <color theme="1"/>
        <rFont val="Calibri"/>
        <family val="2"/>
        <scheme val="minor"/>
      </rPr>
      <t>Experiencia:</t>
    </r>
    <r>
      <rPr>
        <sz val="12"/>
        <color theme="1"/>
        <rFont val="Calibri"/>
        <family val="2"/>
        <scheme val="minor"/>
      </rPr>
      <t xml:space="preserve"> Mínimo seis (6) meses en apoyo logístico de actividades comunitarias. </t>
    </r>
    <r>
      <rPr>
        <b/>
        <sz val="12"/>
        <color theme="1"/>
        <rFont val="Calibri"/>
        <family val="2"/>
        <scheme val="minor"/>
      </rPr>
      <t>Acreditación:</t>
    </r>
    <r>
      <rPr>
        <sz val="12"/>
        <color theme="1"/>
        <rFont val="Calibri"/>
        <family val="2"/>
        <scheme val="minor"/>
      </rPr>
      <t xml:space="preserve"> Certificado de estudios o experiencia.</t>
    </r>
  </si>
  <si>
    <t>Pito o silbato de emergencia</t>
  </si>
  <si>
    <t>Fabricado en aluminio o metal resistente, diseño tubular, longitud entre 4.5 cm y 5.5 cm, liviano, con argolla para llavero.</t>
  </si>
  <si>
    <t>Linterna LED tipo llavero</t>
  </si>
  <si>
    <t>Linterna compacta en aluminio o material resistente, longitud entre 5 cm y 7 cm, peso entre 10 y 30 g, iluminación LED, portátil.</t>
  </si>
  <si>
    <t>COMMANDER</t>
  </si>
  <si>
    <t>Alarma personal</t>
  </si>
  <si>
    <t>Dispositivo portátil con sirena de 110 a 130 dB, activación manual, dimensiones compactas (4 a 10 cm), con batería tipo botón (AG13 o LR44).</t>
  </si>
  <si>
    <t>Espejo portátil</t>
  </si>
  <si>
    <t>Espejo pequeño (aprox. 5 cm), marco en plástico o acrílico resistente, diseño compacto tipo bolsillo.</t>
  </si>
  <si>
    <t>Sombrilla</t>
  </si>
  <si>
    <t>Paraguas en material de Poliéster 190T, interior plateado. Mango en espuma y herraje metálico con fibra de vidrio. 8 Cascos. Semiautomático.
Medidas: 27” Cobertura: 120 cm Casco: 45 cm ancho. Largo total:92 cm
Marca: Maximo:25 cm / Screen</t>
  </si>
  <si>
    <t>PUBLICITAR</t>
  </si>
  <si>
    <t>BRANDUU</t>
  </si>
  <si>
    <t>Tarjeta rutas de atención</t>
  </si>
  <si>
    <t>Tarjeta impresa en papel estucado (couché) de 300 g, acabado brillante, tamaño bolsillo, con información de rutas de atención y contactos institucionales, validada por comité técnico.</t>
  </si>
  <si>
    <t xml:space="preserve">b.	Podcast “Voces para una vida libre de violencias </t>
  </si>
  <si>
    <t>Productora de medios</t>
  </si>
  <si>
    <r>
      <t>Perfil:</t>
    </r>
    <r>
      <rPr>
        <sz val="12"/>
        <color theme="1"/>
        <rFont val="Calibri"/>
        <family val="2"/>
        <scheme val="minor"/>
      </rPr>
      <t xml:space="preserve"> Profesional en comunicación social, producción audiovisual o áreas afines. </t>
    </r>
    <r>
      <rPr>
        <b/>
        <sz val="12"/>
        <color theme="1"/>
        <rFont val="Calibri"/>
        <family val="2"/>
        <scheme val="minor"/>
      </rPr>
      <t>Experiencia:</t>
    </r>
    <r>
      <rPr>
        <sz val="12"/>
        <color theme="1"/>
        <rFont val="Calibri"/>
        <family val="2"/>
        <scheme val="minor"/>
      </rPr>
      <t xml:space="preserve"> Mínimo dos (2) años en producción de contenidos sonoros o audiovisuales, preferiblemente con enfoque social y de género. </t>
    </r>
    <r>
      <rPr>
        <b/>
        <sz val="12"/>
        <color theme="1"/>
        <rFont val="Calibri"/>
        <family val="2"/>
        <scheme val="minor"/>
      </rPr>
      <t>Acreditación:</t>
    </r>
    <r>
      <rPr>
        <sz val="12"/>
        <color theme="1"/>
        <rFont val="Calibri"/>
        <family val="2"/>
        <scheme val="minor"/>
      </rPr>
      <t xml:space="preserve"> Diploma o acta de grado y certificaciones de experiencia.</t>
    </r>
  </si>
  <si>
    <t xml:space="preserve"> Técnica o ingeniera de sonido</t>
  </si>
  <si>
    <r>
      <t>Perfil:</t>
    </r>
    <r>
      <rPr>
        <sz val="12"/>
        <color theme="1"/>
        <rFont val="Calibri"/>
        <family val="2"/>
        <scheme val="minor"/>
      </rPr>
      <t xml:space="preserve"> Técnica, tecnóloga o profesional en sonido, producción musical o áreas afines. </t>
    </r>
    <r>
      <rPr>
        <b/>
        <sz val="12"/>
        <color theme="1"/>
        <rFont val="Calibri"/>
        <family val="2"/>
        <scheme val="minor"/>
      </rPr>
      <t>Experiencia:</t>
    </r>
    <r>
      <rPr>
        <sz val="12"/>
        <color theme="1"/>
        <rFont val="Calibri"/>
        <family val="2"/>
        <scheme val="minor"/>
      </rPr>
      <t xml:space="preserve"> Mínimo un (1) año en grabación, edición y postproducción de audio. </t>
    </r>
    <r>
      <rPr>
        <b/>
        <sz val="12"/>
        <color theme="1"/>
        <rFont val="Calibri"/>
        <family val="2"/>
        <scheme val="minor"/>
      </rPr>
      <t>Acreditación:</t>
    </r>
    <r>
      <rPr>
        <sz val="12"/>
        <color theme="1"/>
        <rFont val="Calibri"/>
        <family val="2"/>
        <scheme val="minor"/>
      </rPr>
      <t xml:space="preserve"> Certificaciones de formación o experiencia.</t>
    </r>
  </si>
  <si>
    <t xml:space="preserve"> Diseñadora gráfica</t>
  </si>
  <si>
    <r>
      <t>Perfil:</t>
    </r>
    <r>
      <rPr>
        <sz val="12"/>
        <color theme="1"/>
        <rFont val="Calibri"/>
        <family val="2"/>
        <scheme val="minor"/>
      </rPr>
      <t xml:space="preserve"> Profesional o tecnóloga en diseño gráfico o áreas afines. </t>
    </r>
    <r>
      <rPr>
        <b/>
        <sz val="12"/>
        <color theme="1"/>
        <rFont val="Calibri"/>
        <family val="2"/>
        <scheme val="minor"/>
      </rPr>
      <t>Experiencia:</t>
    </r>
    <r>
      <rPr>
        <sz val="12"/>
        <color theme="1"/>
        <rFont val="Calibri"/>
        <family val="2"/>
        <scheme val="minor"/>
      </rPr>
      <t xml:space="preserve"> Mínimo un (1) año en diseño de piezas digitales y comunicación visual. </t>
    </r>
    <r>
      <rPr>
        <b/>
        <sz val="12"/>
        <color theme="1"/>
        <rFont val="Calibri"/>
        <family val="2"/>
        <scheme val="minor"/>
      </rPr>
      <t>Acreditación:</t>
    </r>
    <r>
      <rPr>
        <sz val="12"/>
        <color theme="1"/>
        <rFont val="Calibri"/>
        <family val="2"/>
        <scheme val="minor"/>
      </rPr>
      <t xml:space="preserve"> Diploma o portafolio.</t>
    </r>
  </si>
  <si>
    <t xml:space="preserve"> Profesional en comunicación digital</t>
  </si>
  <si>
    <r>
      <t>Perfil:</t>
    </r>
    <r>
      <rPr>
        <sz val="12"/>
        <color theme="1"/>
        <rFont val="Calibri"/>
        <family val="2"/>
        <scheme val="minor"/>
      </rPr>
      <t xml:space="preserve"> Profesional en comunicación social, marketing digital o áreas afines. </t>
    </r>
    <r>
      <rPr>
        <b/>
        <sz val="12"/>
        <color theme="1"/>
        <rFont val="Calibri"/>
        <family val="2"/>
        <scheme val="minor"/>
      </rPr>
      <t>Experiencia:</t>
    </r>
    <r>
      <rPr>
        <sz val="12"/>
        <color theme="1"/>
        <rFont val="Calibri"/>
        <family val="2"/>
        <scheme val="minor"/>
      </rPr>
      <t xml:space="preserve"> Mínimo un (1) año en gestión de redes sociales, difusión de contenidos y análisis de métricas. </t>
    </r>
    <r>
      <rPr>
        <b/>
        <sz val="12"/>
        <color theme="1"/>
        <rFont val="Calibri"/>
        <family val="2"/>
        <scheme val="minor"/>
      </rPr>
      <t>Acreditación:</t>
    </r>
    <r>
      <rPr>
        <sz val="12"/>
        <color theme="1"/>
        <rFont val="Calibri"/>
        <family val="2"/>
        <scheme val="minor"/>
      </rPr>
      <t xml:space="preserve"> Certificaciones de experiencia.</t>
    </r>
  </si>
  <si>
    <t>Servicio integral de producción de contenidos sonoros bajo la modalidad de monto agotable, que incluye el suministro, alquiler, operación y uso de equipos técnicos necesarios para la grabación, edición y postproducción de podcast, tales como micrófonos, interfaces de audio, audífonos de monitoreo, soportes, filtros, computadores, software especializado y demás elementos requeridos.
Incluye la configuración técnica, operación durante las jornadas de grabación, edición y postproducción de audio, así como el uso de herramientas digitales para la publicación y difusión de contenidos.
Los elementos serán suministrados conforme a las necesidades específicas del proceso, garantizando calidad técnica, funcionalidad y cumplimiento de los objetivos del proyecto.</t>
  </si>
  <si>
    <t>Trípode para celular</t>
  </si>
  <si>
    <t>Soporte tipo trípode ajustable para dispositivos móviles, fabricado en aluminio, plástico reforzado o material equivalente, con estructura liviana y resistente. Altura regulable (mínimo entre 40 cm y 120 cm), con cabezal giratorio 360° que permite orientación horizontal y vertical. Incluye soporte universal compatible con diferentes tamaños de celular (aprox. 4” a 7”), sistema de fijación seguro y patas antideslizantes para estabilidad durante la grabación. Apto para producción de contenido audiovisual, grabación de video y soporte en actividades pedagógicas y comunicativas.</t>
  </si>
  <si>
    <t>Aadaptadores</t>
  </si>
  <si>
    <t>adaptadores de audio para conexión de micrófonos externos a dispositivos móviles, compatibles con entradas TRRS (3.5 mm) y/o tipo C, según requerimiento del equipo. Permiten la correcta transmisión de señal de audio desde micrófonos lavalier o de condensador hacia celulares o dispositivos digitales, garantizando calidad de sonido y estabilidad en la conexión. Fabricados en materiales resistentes, con conectores metálicos y cable reforzado para uso frecuente en actividades de grabación, producción de contenidos sonoros y audiovisuales.</t>
  </si>
  <si>
    <t>ENCARGUELO</t>
  </si>
  <si>
    <t>c.	Espacios de escucha y acompañamiento colectivo</t>
  </si>
  <si>
    <t xml:space="preserve"> Psicóloga / Trabajadora social</t>
  </si>
  <si>
    <r>
      <t>Perfil:</t>
    </r>
    <r>
      <rPr>
        <sz val="12"/>
        <color theme="1"/>
        <rFont val="Calibri"/>
        <family val="2"/>
        <scheme val="minor"/>
      </rPr>
      <t xml:space="preserve"> Profesional en Psicología o Trabajo Social. </t>
    </r>
    <r>
      <rPr>
        <b/>
        <sz val="12"/>
        <color theme="1"/>
        <rFont val="Calibri"/>
        <family val="2"/>
        <scheme val="minor"/>
      </rPr>
      <t>Experiencia:</t>
    </r>
    <r>
      <rPr>
        <sz val="12"/>
        <color theme="1"/>
        <rFont val="Calibri"/>
        <family val="2"/>
        <scheme val="minor"/>
      </rPr>
      <t xml:space="preserve"> Mínimo dos (2) años en acompañamiento psicosocial a mujeres, procesos de escucha activa, bienestar emocional y prevención de violencias basadas en género. </t>
    </r>
    <r>
      <rPr>
        <b/>
        <sz val="12"/>
        <color theme="1"/>
        <rFont val="Calibri"/>
        <family val="2"/>
        <scheme val="minor"/>
      </rPr>
      <t>Acreditación:</t>
    </r>
    <r>
      <rPr>
        <sz val="12"/>
        <color theme="1"/>
        <rFont val="Calibri"/>
        <family val="2"/>
        <scheme val="minor"/>
      </rPr>
      <t xml:space="preserve"> Diploma o acta de grado y certificaciones de experiencia.</t>
    </r>
  </si>
  <si>
    <t xml:space="preserve"> Profesional social o artístico</t>
  </si>
  <si>
    <r>
      <t>Perfil:</t>
    </r>
    <r>
      <rPr>
        <sz val="12"/>
        <color theme="1"/>
        <rFont val="Calibri"/>
        <family val="2"/>
        <scheme val="minor"/>
      </rPr>
      <t xml:space="preserve"> Profesional en áreas sociales, artísticas o comunitarias. </t>
    </r>
    <r>
      <rPr>
        <b/>
        <sz val="12"/>
        <color theme="1"/>
        <rFont val="Calibri"/>
        <family val="2"/>
        <scheme val="minor"/>
      </rPr>
      <t>Experiencia:</t>
    </r>
    <r>
      <rPr>
        <sz val="12"/>
        <color theme="1"/>
        <rFont val="Calibri"/>
        <family val="2"/>
        <scheme val="minor"/>
      </rPr>
      <t xml:space="preserve"> Mínimo un (1) año en procesos comunitarios con mujeres, metodologías participativas y enfoque de género. </t>
    </r>
    <r>
      <rPr>
        <b/>
        <sz val="12"/>
        <color theme="1"/>
        <rFont val="Calibri"/>
        <family val="2"/>
        <scheme val="minor"/>
      </rPr>
      <t>Acreditación:</t>
    </r>
    <r>
      <rPr>
        <sz val="12"/>
        <color theme="1"/>
        <rFont val="Calibri"/>
        <family val="2"/>
        <scheme val="minor"/>
      </rPr>
      <t xml:space="preserve"> Diploma o certificaciones de experiencia.</t>
    </r>
  </si>
  <si>
    <t>Talleristas en Kintsugi</t>
  </si>
  <si>
    <r>
      <t>Perfil:</t>
    </r>
    <r>
      <rPr>
        <sz val="12"/>
        <color theme="1"/>
        <rFont val="Calibri"/>
        <family val="2"/>
        <scheme val="minor"/>
      </rPr>
      <t xml:space="preserve"> Profesional, técnico o empírico en artes plásticas o técnicas artesanales. </t>
    </r>
    <r>
      <rPr>
        <b/>
        <sz val="12"/>
        <color theme="1"/>
        <rFont val="Calibri"/>
        <family val="2"/>
        <scheme val="minor"/>
      </rPr>
      <t>Experiencia:</t>
    </r>
    <r>
      <rPr>
        <sz val="12"/>
        <color theme="1"/>
        <rFont val="Calibri"/>
        <family val="2"/>
        <scheme val="minor"/>
      </rPr>
      <t xml:space="preserve"> Mínimo un (1) año en formación artística y trabajo con mujeres o procesos comunitarios. </t>
    </r>
    <r>
      <rPr>
        <b/>
        <sz val="12"/>
        <color theme="1"/>
        <rFont val="Calibri"/>
        <family val="2"/>
        <scheme val="minor"/>
      </rPr>
      <t>Acreditación:</t>
    </r>
    <r>
      <rPr>
        <sz val="12"/>
        <color theme="1"/>
        <rFont val="Calibri"/>
        <family val="2"/>
        <scheme val="minor"/>
      </rPr>
      <t xml:space="preserve"> Certificados o portafolio.</t>
    </r>
  </si>
  <si>
    <t>Pieza de cerámica</t>
  </si>
  <si>
    <t>Pieza en cerámica (plato, taza o cuenco), tamaño aproximado hasta 30 cm, apta para intervención artística.</t>
  </si>
  <si>
    <t>Pinturas para cerámica</t>
  </si>
  <si>
    <t>Pintura acrílica para cerámica en color blanco presentación aprox. 100 ml.</t>
  </si>
  <si>
    <t xml:space="preserve">LA GAVIOTA </t>
  </si>
  <si>
    <t xml:space="preserve">TODO EN ARTES </t>
  </si>
  <si>
    <t>Pintura acrílica para cerámica en color amarillo presentación aprox. 100 ml.</t>
  </si>
  <si>
    <t>Pintura acrílica para cerámica en color azul presentación aprox. 100 ml.</t>
  </si>
  <si>
    <t>Pintura acrílica para cerámica en color rojo presentación aprox. 100 ml.</t>
  </si>
  <si>
    <t>Pintura acrílica para cerámica en color negro presentación aprox. 100 ml.</t>
  </si>
  <si>
    <t>Pintura dorada</t>
  </si>
  <si>
    <t>Pintura acrílica color dorado, presentación aprox. 100 ml.</t>
  </si>
  <si>
    <t>Adhesivo epóxico</t>
  </si>
  <si>
    <t>Resina epóxica o pegante para cerámica, presentación aprox. 250 ml.</t>
  </si>
  <si>
    <t>Barniz o sellador transparente para acabado, presentación aprox. 250 ml.</t>
  </si>
  <si>
    <t>Pinceles de precisión Nº 2 ara detalles.</t>
  </si>
  <si>
    <t>Pinceles de precisión Nº 4 para detalles.</t>
  </si>
  <si>
    <t>Pinceles medianos</t>
  </si>
  <si>
    <t>Pinceles Nº 8 para cobertura media.</t>
  </si>
  <si>
    <t>Espátulas / palillos</t>
  </si>
  <si>
    <t>Herramientas en madera para manipulación de materiales.</t>
  </si>
  <si>
    <t>Guantes en látex o nitrilo para manipulación de materiales.</t>
  </si>
  <si>
    <t>PYP VIDA</t>
  </si>
  <si>
    <t>OLIMPICA</t>
  </si>
  <si>
    <t>Plástico protector</t>
  </si>
  <si>
    <t>Rollo plástico para protección de superficies (mín. 10 m).</t>
  </si>
  <si>
    <t>Recipientes plásticos o acrílicos para mezcla de materiales.</t>
  </si>
  <si>
    <t>d.	Formación de productos con textiles reutilizables</t>
  </si>
  <si>
    <t xml:space="preserve"> Formadora técnica en confección y upcycling</t>
  </si>
  <si>
    <r>
      <t>Perfil:</t>
    </r>
    <r>
      <rPr>
        <sz val="12"/>
        <color theme="1"/>
        <rFont val="Calibri"/>
        <family val="2"/>
        <scheme val="minor"/>
      </rPr>
      <t xml:space="preserve"> Profesional, técnica o tecnóloga en diseño de modas, confección o diseño textil. 
</t>
    </r>
    <r>
      <rPr>
        <b/>
        <sz val="12"/>
        <color theme="1"/>
        <rFont val="Calibri"/>
        <family val="2"/>
        <scheme val="minor"/>
      </rPr>
      <t>Experiencia:</t>
    </r>
    <r>
      <rPr>
        <sz val="12"/>
        <color theme="1"/>
        <rFont val="Calibri"/>
        <family val="2"/>
        <scheme val="minor"/>
      </rPr>
      <t xml:space="preserve"> Mínimo dos (2) años en reutilización de prendas (upcycling), moda sostenible y formación con mujeres. 
</t>
    </r>
    <r>
      <rPr>
        <b/>
        <sz val="12"/>
        <color theme="1"/>
        <rFont val="Calibri"/>
        <family val="2"/>
        <scheme val="minor"/>
      </rPr>
      <t>Acreditación:</t>
    </r>
    <r>
      <rPr>
        <sz val="12"/>
        <color theme="1"/>
        <rFont val="Calibri"/>
        <family val="2"/>
        <scheme val="minor"/>
      </rPr>
      <t xml:space="preserve"> Certificado, diploma o portafolio de experiencia.</t>
    </r>
  </si>
  <si>
    <t>Profesional con enfoque de género</t>
  </si>
  <si>
    <r>
      <t>Perfil:</t>
    </r>
    <r>
      <rPr>
        <sz val="12"/>
        <color theme="1"/>
        <rFont val="Calibri"/>
        <family val="2"/>
        <scheme val="minor"/>
      </rPr>
      <t xml:space="preserve"> Profesional en ciencias sociales, trabajo social, psicología o estudios de género. 
</t>
    </r>
    <r>
      <rPr>
        <b/>
        <sz val="12"/>
        <color theme="1"/>
        <rFont val="Calibri"/>
        <family val="2"/>
        <scheme val="minor"/>
      </rPr>
      <t>Experiencia:</t>
    </r>
    <r>
      <rPr>
        <sz val="12"/>
        <color theme="1"/>
        <rFont val="Calibri"/>
        <family val="2"/>
        <scheme val="minor"/>
      </rPr>
      <t xml:space="preserve"> Mínimo dos (2) años en procesos pedagógicos sobre violencias basadas en género y trabajo comunitario con mujeres. 
</t>
    </r>
    <r>
      <rPr>
        <b/>
        <sz val="12"/>
        <color theme="1"/>
        <rFont val="Calibri"/>
        <family val="2"/>
        <scheme val="minor"/>
      </rPr>
      <t>Acreditación:</t>
    </r>
    <r>
      <rPr>
        <sz val="12"/>
        <color theme="1"/>
        <rFont val="Calibri"/>
        <family val="2"/>
        <scheme val="minor"/>
      </rPr>
      <t xml:space="preserve"> Diploma o certificaciones de experiencia.</t>
    </r>
  </si>
  <si>
    <t>Suministro de materiales para confección y reutilización textil bajo modalidad de monto agotable, incluyendo cremalleras, botones, broches, reatas, velcro, aros metálicos, hilos, agujas, alfileres, dedales y demás insumos necesarios para la elaboración de productos textiles mediante técnicas de upcycling. Los materiales deberán ser resistentes, funcionales, aptos para confección y adecuados para uso en procesos formativos con mujeres. La entrega se realizará conforme a las necesidades de cada sesión, garantizando calidad, durabilidad y suficiencia.</t>
  </si>
  <si>
    <t>Servicio logístico integral bajo modalidad de monto agotable para la realización del evento de cierre tipo muestra o pasarela comunitaria. Incluye alquiler y operación de elementos como sonido, iluminación, tarima, mobiliario, ambientación y apoyo logístico para montaje y desmontaje. Los servicios se prestarán conforme a las necesidades del evento, garantizando calidad, seguridad y adecuado desarrollo de la actividad.</t>
  </si>
  <si>
    <t>Plan de Medios</t>
  </si>
  <si>
    <t>FINAL</t>
  </si>
  <si>
    <t>Alquiler de espacio comunitario y social con aforo para minimo (100 - 200 personas), con todo el equipamiento tecnologico (sonido, proyector, microfonos), silleteria, espacio para alimentacion minimo dos (2) baño para el desarrollo del fortalecimiento</t>
  </si>
  <si>
    <t>Alquiler de espacio comunitario y social con aforo para minimo (25 - 50 personas), con todo el equipamiento tecnologico (sonido, proyector, microfonos), silleteria, espacio para alimentacion minimo uno (1) baño para el desarrollo del fortalecimiento</t>
  </si>
  <si>
    <t>Alquiler de espacio 	Alquiler de espacio comunitario y social con aforo para minimo (100 - 200 personas), con todo el equipamiento tecnologico (sonido, proyector, microfonos), silleteria, espacio para alimentacion minimo dos (2) baño para el desarrollo del fortalecimiento</t>
  </si>
  <si>
    <t>Alquiler de espacio comunitario y social con aforo para minimo (50 - 100 personas), con todo el equipamiento tecnologico (sonido, proyector, microfonos), silleteria, espacio para alimentacion minimo uno (1) baño para el desarrollo del fortalecimiento</t>
  </si>
  <si>
    <t>La Vittoria</t>
  </si>
  <si>
    <t>GARMIN + MY LAPS</t>
  </si>
  <si>
    <t>HELP AND LIFE</t>
  </si>
  <si>
    <t>360 PUBLICIDAD</t>
  </si>
  <si>
    <t>MACRODEPORTES</t>
  </si>
  <si>
    <t>LAEJ COMPANY</t>
  </si>
  <si>
    <t>CARMEN EDELMIRA NIÑO</t>
  </si>
  <si>
    <t>ZOOM CREATIVO</t>
  </si>
  <si>
    <t>D.O. NEITH</t>
  </si>
  <si>
    <t>TECNICREAR</t>
  </si>
  <si>
    <t>CORPORACIÓN RECREATIVA Y CULTURAL</t>
  </si>
  <si>
    <t>B2 ESTRATEGIAS Y SOLUCIONES INTEGRALES</t>
  </si>
  <si>
    <t>COLDECROM</t>
  </si>
  <si>
    <t>ONEIDA</t>
  </si>
  <si>
    <t>PROMOPOP</t>
  </si>
  <si>
    <t>Estructura metálica modular certificada para trabajo en altura, con sistema de ruedas con freno de seguridad, plataformas de trabajo y barandas. Incluye transporte, instalación, montaje y desmontaje, cumpliendo condiciones de seguridad para intervención artística en exteriores.</t>
  </si>
  <si>
    <t>PIEDRAS Y HERRAJES</t>
  </si>
  <si>
    <t>TECNOPLAZA</t>
  </si>
  <si>
    <t>LENOVO</t>
  </si>
  <si>
    <t>comercialpapelerala24</t>
  </si>
  <si>
    <t xml:space="preserve">papeleria la coraza </t>
  </si>
  <si>
    <t>lagarza</t>
  </si>
  <si>
    <t>JUMBO</t>
  </si>
  <si>
    <t>Esefro Punta media de 0.7 mm 
Tinta de color negra caja de n12</t>
  </si>
  <si>
    <t>papeleriasuescun</t>
  </si>
  <si>
    <t xml:space="preserve">ferricentro </t>
  </si>
  <si>
    <t xml:space="preserve">
Especificación: Mina HB o N°2, con borrador integrado POR CAJA DE 12
</t>
  </si>
  <si>
    <t>ASESOL</t>
  </si>
  <si>
    <t>FUNDACIÓN GESTIÓN SOCIAL CON PROPOSITO</t>
  </si>
  <si>
    <t>CRESCERE</t>
  </si>
  <si>
    <t>ÉXITO</t>
  </si>
  <si>
    <t>TECNO IMPORTACIONES</t>
  </si>
  <si>
    <t>LEXA TECNOLOGIA</t>
  </si>
  <si>
    <t>JUGANDO APRENDEMOS</t>
  </si>
  <si>
    <t>FUNDACION GESTION SOCIAL CON PROPOSITO</t>
  </si>
  <si>
    <t>PHILAAC</t>
  </si>
  <si>
    <t>EASY</t>
  </si>
  <si>
    <t>GRUPO IDEASA</t>
  </si>
  <si>
    <t>CORONA</t>
  </si>
  <si>
    <t>SOUL CREAM</t>
  </si>
  <si>
    <t>DISPAPELES</t>
  </si>
  <si>
    <t>SOEFEC</t>
  </si>
  <si>
    <t>LOCATEL</t>
  </si>
  <si>
    <t>P &amp; P VIDA</t>
  </si>
  <si>
    <t>CRUZ VERDE</t>
  </si>
  <si>
    <t>ATRIAL</t>
  </si>
  <si>
    <t>AGROCOLOMBIA</t>
  </si>
  <si>
    <t>BETTY CAMPOS MORALES</t>
  </si>
  <si>
    <t>MANUFACTURAS ALIMENTICIAS</t>
  </si>
  <si>
    <t>YARA ALIMENTOS</t>
  </si>
  <si>
    <t>LA CALI</t>
  </si>
  <si>
    <t>MORITA</t>
  </si>
  <si>
    <t xml:space="preserve">PEPELERIA EDITORIAL ZAPATA </t>
  </si>
  <si>
    <t>PINTURAS TITO PABON</t>
  </si>
  <si>
    <t>INFINITA</t>
  </si>
  <si>
    <t>MACHETICCO</t>
  </si>
  <si>
    <t>PAPYSER</t>
  </si>
  <si>
    <t>MEGA DISTRIBUCIONES</t>
  </si>
  <si>
    <t>LA GARZA</t>
  </si>
  <si>
    <t>BETTY CAMOS MORALES</t>
  </si>
  <si>
    <t>AUDIOVISUAL COLOMBIA SAS</t>
  </si>
  <si>
    <t>BAMOCOL</t>
  </si>
  <si>
    <t>CONTI CONSTRUCCION &amp; INGENIERIA S A</t>
  </si>
  <si>
    <t>SEMBRAMOS</t>
  </si>
  <si>
    <t>CUBI EQUIPOS</t>
  </si>
  <si>
    <t>ANDAMIOS J Y P</t>
  </si>
  <si>
    <t>GCM</t>
  </si>
  <si>
    <t>INKONS</t>
  </si>
  <si>
    <t>INVENSA SA</t>
  </si>
  <si>
    <t>PUNTO BLER</t>
  </si>
  <si>
    <t>EAN</t>
  </si>
  <si>
    <t>JAVERIANA</t>
  </si>
  <si>
    <t>CESA</t>
  </si>
  <si>
    <t>DANZA Y SABOR</t>
  </si>
  <si>
    <t>BOSQUES DEL FOLCLORE</t>
  </si>
  <si>
    <t>AGRUPACION PIES DESCALZOS</t>
  </si>
  <si>
    <t>Paca de agua en botella plástica de 300 ml x  24 unidades botella plástica desechable biodegradable</t>
  </si>
  <si>
    <t>pacas</t>
  </si>
  <si>
    <t>LIMERENCIA PRODUCCIONES</t>
  </si>
  <si>
    <t>LORENA SIMBAQUEBA</t>
  </si>
  <si>
    <t>SEÑALIZAR TROFEOS</t>
  </si>
  <si>
    <t>COMERCIAL PAPELERA</t>
  </si>
  <si>
    <t>EL PUNTO DE LAS DOTACIONES</t>
  </si>
  <si>
    <t>COLOGRAFF</t>
  </si>
  <si>
    <t>COLORGRAFF</t>
  </si>
  <si>
    <t>CAJA</t>
  </si>
  <si>
    <t>Mascarilla o tapabocas en material filtrante, diseñada para proteger contra polvo, partículas y vapores leves generados en actividades de pintura. Ajuste cómodo y de uso individual.
Caja x 50</t>
  </si>
  <si>
    <t>ORIELARTPRODUCTION</t>
  </si>
  <si>
    <t>ASESORIAS DE EMPRESAS SOLIDARIAS</t>
  </si>
  <si>
    <t>CLARO</t>
  </si>
  <si>
    <t>TIGO</t>
  </si>
  <si>
    <t>WOM</t>
  </si>
  <si>
    <t>Mes</t>
  </si>
  <si>
    <t>TRASMILENIO</t>
  </si>
  <si>
    <t xml:space="preserve"> TABLA DE HONORARIOS DE LA SECRETARIA DISTRITAL DE GOBIERNO </t>
  </si>
  <si>
    <t>TEMPO TRIATHLON</t>
  </si>
  <si>
    <t>TROFEOS A. RODRIGUEZ B LTDA</t>
  </si>
  <si>
    <t>HOMECENTER-VIVE ROSA-CONFETTI</t>
  </si>
  <si>
    <t>Unidades</t>
  </si>
  <si>
    <t>CONPANY JBM</t>
  </si>
  <si>
    <t>EVER MAURICIO GOMEZ GIRALDO</t>
  </si>
  <si>
    <t>Temperas de varios colores por  250ml  temperas caja de x6</t>
  </si>
  <si>
    <t>Cajas</t>
  </si>
  <si>
    <t>Hojas blancas bond 70gr, tamaño carta RESMA</t>
  </si>
  <si>
    <t>KOSTAMAR</t>
  </si>
  <si>
    <t>LOSTFAGEL</t>
  </si>
  <si>
    <t>INGEANDAMIOS</t>
  </si>
  <si>
    <t>INFLABLES DE COLOMBIA</t>
  </si>
  <si>
    <t>TEMPORACE</t>
  </si>
  <si>
    <r>
      <t xml:space="preserve">Suministro de insumos textiles </t>
    </r>
    <r>
      <rPr>
        <b/>
        <sz val="12"/>
        <color rgb="FF000000"/>
        <rFont val="Calibri"/>
        <family val="2"/>
        <scheme val="minor"/>
      </rPr>
      <t>(bolsa a monto agotable)</t>
    </r>
  </si>
  <si>
    <r>
      <t>Servicio logístico para evento de cierre</t>
    </r>
    <r>
      <rPr>
        <b/>
        <sz val="12"/>
        <color rgb="FF000000"/>
        <rFont val="Calibri"/>
        <family val="2"/>
        <scheme val="minor"/>
      </rPr>
      <t xml:space="preserve"> (bolsa a monto agotable)</t>
    </r>
  </si>
  <si>
    <t>TOTAL PROMEDIO</t>
  </si>
  <si>
    <t>SubTotal</t>
  </si>
  <si>
    <t>Iva</t>
  </si>
  <si>
    <t>Total</t>
  </si>
  <si>
    <t>TOTAL MEDIANA</t>
  </si>
  <si>
    <t>NOTA: Se informa a los proponentes que todos los elementos e insumos cotizados deben cumplir estrictamente con el 100% de las especificaciones técnicas detalladas en el presente requerimiento. El incumplimiento de cualquier parámetro técnico será tenido en cuenta como item no entregado.
* El valor cotizado de los elementos e insumos debe incluir obligatoriamente el servicio de transporte, cargue y descargue hasta el lugar de entrega final designado por la Alcaldía Local de Engativá, garantizando la entrega en sitio.
* Todas las cotizaciones presentadas deben contemplar el flete y traslado de los insumos. El proveedor será responsable de la entrega física de los elementos en el punto de destino solicitado sin costos adicionales.
* Todo elemento o insumo que presente imperfectos, averías o no cumpla con las especificaciones técnicas, deberá ser repuesto por el operador en un plazo no mayor a tres (3) días hábiles, sin costo adicional para la Alcaldia Local de Engativá.</t>
  </si>
  <si>
    <t>COT</t>
  </si>
  <si>
    <t>HOMECENTER-ÉXITO-PG</t>
  </si>
  <si>
    <t>RAFAEL POVEDA TELEVISION</t>
  </si>
  <si>
    <t>PARAISO TERRENAL LA MESA</t>
  </si>
  <si>
    <t>conteo</t>
  </si>
  <si>
    <t>Curso Formativo (Certificado)</t>
  </si>
  <si>
    <t>PRODUCTO SÓLIDO PRINCIPAL: Un (1) sándwich tipo baguette de jamón, queso, lechuga y salsas de 250 gr; y/o un (1) sándwich tipo baguette de pollo, lechuga y salsas de 250 gr; y/o un (1) perro caliente de mínimo 14 cm.
COMPLEMENTO: Un (1) brownie de mínimo 80 gr.
BEBIDA: Un (1) jugo natural de fruta, mínimo 200 ml, sin adición de azúcar, conservantes, colorantes ni saborizantes artificiales, entregado en envase individual apto para consumo.
FRUTA DE TEMPORADA: Una (1) porción de fruta de mínimo 120 gr, como manzana, pera, banano, mango, pitaya, granadilla u otra fruta de temporada.
Nota: No se permiten bebidas azucaradas, gaseosas ni productos ultraprocesados. El refrigerio deberá entregarse en empaque individual, en bandeja elaborada en cartón 100% reciclable y biodegradable, ser balanceado y cumplir con la normatividad vigente en cuanto a condiciones organolépticas, conservación, transporte y entrega en el sitio de las reuniones.</t>
  </si>
  <si>
    <t>Presentación artística a cargo de un(a) artista invitado(a) con reconocimiento a nivel nacional o regional (ej. participante de programas de talento), incluyendo presentación en vivo acorde con las condiciones técnicas del evento.</t>
  </si>
  <si>
    <t xml:space="preserve">Termo </t>
  </si>
  <si>
    <t>Termo</t>
  </si>
  <si>
    <t>Incentivo económico-Bono redimible en almacén o empresa de grandes superficies.
Valor: Quinientos mil pesos ($300.000) por beneficiario.
Entrega: Bono físico o digital, válido para redención según condiciones del proveedor.</t>
  </si>
  <si>
    <t xml:space="preserve">	Componente 3 – PP 54149 DDifMujer. Posicionamiento del liderazgo de las mujeres desde el enfoque de género, derechos y memoria histórica</t>
  </si>
  <si>
    <t>A.Conversatorio de memoria histórica de las mujeres de Engativá</t>
  </si>
  <si>
    <t xml:space="preserve">B.Conmemoración de fechas emblemáticas  </t>
  </si>
  <si>
    <t>Bolsa a monto agotable para la jornada conmemorativa del 8 de marzo, destinada a cubrir los bienes, servicios e insumos requeridos para la organización, montaje y desarrollo de actividades artísticas, pedagógicas, culturales, galería fotográfica, foro o conversatorio, ambientación, apoyo logístico y demás elementos necesarios, conforme a las necesidades aprobadas en el Comité Técnico de Seguimiento.</t>
  </si>
  <si>
    <t xml:space="preserve">Evento </t>
  </si>
  <si>
    <t>evento</t>
  </si>
  <si>
    <t>Curso en derechos de las mujeres y fortalecimiento comunitario</t>
  </si>
  <si>
    <t>Servicio de formación. Modalidad: Virtual. Duración: Minimo  (80) horas.
Contenidos:
Enfoque de derechos humanos de las mujeres y enfoque de género; marco normativo y políticas públicas; liderazgo y participación comunitaria; autonomía económica; economía del cuidado; procesos organizativos; herramientas de incidencia; comunicación y visibilización; memoria histórica de la participación de las mujeres en la localidad.
Requisitos del proveedor:
Institución de educación superior aprobada por el Ministerio de Educación Nacional, con experiencia en el desarrollo de diplomados y procesos formativos en temáticas de género y derechos de las mujeres.
Entrega: Certificación tipo diplomado para las participantes que cumplan con los requisitos académicos establecidos.
Incluye diseño académico, plataforma virtual, docentes, seguimiento, evaluación y certificación</t>
  </si>
  <si>
    <t xml:space="preserve">TH GENERAL </t>
  </si>
  <si>
    <t>Meta 4 - 2026: Vincular 200 personas en procesos para la prevención de violencias en el contexto familiar y/o violencia sexual</t>
  </si>
  <si>
    <t xml:space="preserve">TH  </t>
  </si>
  <si>
    <t xml:space="preserve">TH </t>
  </si>
  <si>
    <t>META 2 AUTO_ECO</t>
  </si>
  <si>
    <t>META 3 CUIDADORAS</t>
  </si>
  <si>
    <t>META 4 INT SOCIAL</t>
  </si>
  <si>
    <t>META VIOLENCIAS</t>
  </si>
  <si>
    <t>PLAN DE MEDIOS</t>
  </si>
  <si>
    <t>DISPONIBLE</t>
  </si>
  <si>
    <t>PROYECTO</t>
  </si>
  <si>
    <t>TOTAL</t>
  </si>
  <si>
    <t>IVA</t>
  </si>
  <si>
    <t xml:space="preserve">DIFERENCIA
TOTAL PROMEDIO </t>
  </si>
  <si>
    <t xml:space="preserve">DIFERENCIA
TOTAL MEDIANA </t>
  </si>
  <si>
    <t>Bolsa a monto agotable,para la compra de laimentos e insumos</t>
  </si>
  <si>
    <t>Bolsa a monto agotables para que las muralistas vayan definiendo las necesidades de los materiales a utilizar </t>
  </si>
  <si>
    <r>
      <t>Servicio de producción de contenidos sonoros (</t>
    </r>
    <r>
      <rPr>
        <sz val="12"/>
        <color theme="1"/>
        <rFont val="Calibri"/>
        <family val="2"/>
        <scheme val="minor"/>
      </rPr>
      <t>bolsa a monto agotable)</t>
    </r>
  </si>
  <si>
    <t xml:space="preserve">
Alquiler de vehículo de transporte para actividades fuera de Bogotá. Capacidad: Mínimo 40 personas sentadas.
Vehículo: Modelo igual o superior al año 2018. Con conductor titulado y con licencia vigente para conducción de este tipo de vehículos.
Cumplimiento de las condiciones técnicas y operativas exigidas por el Decreto 478 de 2021.
Servicios incluidos:Conductor con licencia habilitante y experiencia.Combustible para la totalidad del recorrido.Pago de peajes.
Viáticos para el conductor según normativa vigente. Póliza de seguro vigente para viajeros y responsabilidad civil. Costos operacionales asociados al servicio.
Uso del servicio: Servicio de transporte para la llevada, recorrido y recogida fuera de Bogotá.
Cantidad: Vehículo para al menos 40 pasajeros."</t>
  </si>
  <si>
    <r>
      <t xml:space="preserve">Kit de herramientas de carpintería e insumos  </t>
    </r>
    <r>
      <rPr>
        <sz val="12"/>
        <color theme="1"/>
        <rFont val="Calibri"/>
        <family val="2"/>
        <scheme val="minor"/>
      </rPr>
      <t>(ítem a monto agotable)</t>
    </r>
  </si>
  <si>
    <t>Se precisa que los siguientes ítems no serán ofertables ni podrán ser objeto de disminución, modificación o ajuste por parte de los oferentes, toda vez que corresponden a valores previamente definidos por la entidad, incentivos dirigidos a beneficiarias o bolsas a monto agotable necesarias para garantizar la correcta ejecución técnica, presupuestal y operativa del contrato:
•	BONO TIPO 1
•	BONO TIPO 2
•	Incentivo – Bono redimible.
•	Evento.
•	Insumos para preparación de recetas por sesión.
•	Materiales Muralismo.
•	BOLSA A MONTO AGOTABLE PARA LOGÍSTICA.
•	Kit de herramientas de carpintería e insumos (ítem a monto agotable).
•	Servicio de producción de contenidos sonoros (bolsa a monto agotable).
•	Suministro de insumos textiles (bolsa a monto agotable).
•	Servicio logístico para evento de cierre (bolsa a monto agotable).
•	Plan de Medios.
En consecuencia, estos ítems deberán mantenerse en las cantidades, valores y condiciones establecidas en el estudio de mercado, anexo técnico y propuesta económica oficial, sin que proceda su modificación en la oferta económica presentada.</t>
  </si>
  <si>
    <t>COMERECIAL PAPELERA</t>
  </si>
  <si>
    <t>APOYO GRAFICO</t>
  </si>
  <si>
    <t>AUROS COPIAS</t>
  </si>
  <si>
    <t>EL PINGÜINO</t>
  </si>
  <si>
    <t>PAPELERIA MODELO</t>
  </si>
  <si>
    <t>ITEM</t>
  </si>
  <si>
    <t>Termo 
Material: aluminio o acero inoxidable, resistente, reutilizable, apto para el consumo de bebidas frías o calientes, libre de componentes tóxicos y con condiciones adecuadas para contacto con alimentos.
Capacidad: 500 ml.
Dimensiones aproximadas: altura 23 – 25 cm; diámetro 7 – 8 cm.
Tapa: rosca o sistema de cierre hermético antiderrame.
Área de impresión aproximada:
Tampografía: 5 cm de alto x 4 cm de ancho.
Serigrafía: 9 cm de alto x 8 cm de ancho.
Personalización: impresión con logos de la Alcaldía Local de Engativá y una frase institucional definida por el Comité Técnico.
Color: sujeto a disponibilidad.</t>
  </si>
  <si>
    <t>CES</t>
  </si>
  <si>
    <t>c. Alimentación saludable y consciente</t>
  </si>
  <si>
    <t xml:space="preserve">a.Foro de intercambio de saberes sobre el cuidado </t>
  </si>
  <si>
    <t xml:space="preserve">MIL HERRAJES COLOMBIA </t>
  </si>
  <si>
    <t>SOBRANTE</t>
  </si>
  <si>
    <t>servicio</t>
  </si>
  <si>
    <t>Impresión y entrega de certificaciones de participación Tamaño Carta en papel Opalina, policromía 4x0. El diseño estará a cargo de la oficina de prensa del FDLE.  Para los participantes inscritos en evento.</t>
  </si>
  <si>
    <t xml:space="preserve">•	Espacio delimitado y señalizado para el desarrollo de actividades paralelas cada uno con capacidad aproximada de 40 y 20 personas respectivamente 
•	60 sillas. 
•	Mesas auxiliares. 
•	Punto de energía, extensiones
•	Cabina de sonido portátil con micrófono. 
•	Video beam y computador portátil. 
•	Telón de proyección. </t>
  </si>
  <si>
    <t>fallabela</t>
  </si>
  <si>
    <t>SDILEC</t>
  </si>
  <si>
    <t>CARTEL</t>
  </si>
  <si>
    <t>PUNTOS COLOMBIA</t>
  </si>
  <si>
    <t>% SOBRE TOTAL</t>
  </si>
  <si>
    <t>Act</t>
  </si>
  <si>
    <t>Material pedagógico digital. Formato: PDF. Contenido: Mínimo 20 recetas saludables con ingredientes de bajo costo, listado de ingredientes, preparación y orientaciones básicas de valor nutricional. Recomendaciones de alimentación saludable para el hogar. Elaboración: Desarrollado con acompañamiento de profesional en Nutrición y Dietética."</t>
  </si>
  <si>
    <t>SUVERSIVO TEATRO</t>
  </si>
  <si>
    <t>VIUDA NEGRA</t>
  </si>
  <si>
    <t>EQUIPOS VET</t>
  </si>
  <si>
    <t>TU MERCH</t>
  </si>
  <si>
    <t>COMPRANET</t>
  </si>
  <si>
    <t>EMESIS</t>
  </si>
  <si>
    <t>Dotaciones industriales</t>
  </si>
  <si>
    <t>CUERDO MARCO DE TRANPORTE - COLOMBBIA COMPRA EFICIENTE</t>
  </si>
  <si>
    <t>COPAE</t>
  </si>
  <si>
    <t>CORPAE</t>
  </si>
  <si>
    <t>TENFIT EXPRESS</t>
  </si>
  <si>
    <t>MICHELA PERLECHE</t>
  </si>
  <si>
    <t>TALLER</t>
  </si>
  <si>
    <t>AMORA</t>
  </si>
  <si>
    <t>SANTORINE</t>
  </si>
  <si>
    <t>MINA</t>
  </si>
  <si>
    <t>SURTIENSAMBLES</t>
  </si>
  <si>
    <t>GOTILLAS</t>
  </si>
  <si>
    <t>Don Bodegón Mayoristas</t>
  </si>
  <si>
    <t>TIENDA DE BELLEZA BELLA</t>
  </si>
  <si>
    <t>STOCK BEAUTY</t>
  </si>
  <si>
    <t>LIMAGINE</t>
  </si>
  <si>
    <t>PUNLICITAR</t>
  </si>
  <si>
    <t>IENDASMG</t>
  </si>
  <si>
    <t>TU ESCALERA.COM</t>
  </si>
  <si>
    <t>VIUDA NEGRA PREMIUM</t>
  </si>
  <si>
    <t>SUPERSINGS</t>
  </si>
  <si>
    <t>AUDIOPROYECTOS</t>
  </si>
  <si>
    <t>FOMDETPACIFICO</t>
  </si>
  <si>
    <t>UNIEMPRESARIAL</t>
  </si>
  <si>
    <t>gruas express</t>
  </si>
  <si>
    <t>CARPETA</t>
  </si>
  <si>
    <t>TOTAL PROMEDIO METAS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</si>
</sst>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164" formatCode="_-&quot;$&quot;\ * #,##0_-;\-&quot;$&quot;\ * #,##0_-;_-&quot;$&quot;\ * &quot;-&quot;??_-;_-@_-"/>
    <numFmt numFmtId="165" formatCode="_-[$$-240A]\ * #,##0_-;\-[$$-240A]\ * #,##0_-;_-[$$-240A]\ * &quot;-&quot;??_-;_-@_-"/>
    <numFmt numFmtId="166" formatCode="_-&quot;$&quot;\ * #,##0_-;\-&quot;$&quot;\ * #,##0_-;_-&quot;$&quot;\ * &quot;-&quot;_-;_-@"/>
    <numFmt numFmtId="167" formatCode="_(* &quot;$&quot;#,##0_);_(* \(&quot;$&quot;#,##0\);_(* &quot;-&quot;??_);_(@_)"/>
    <numFmt numFmtId="168" formatCode="0.000000"/>
  </numFmts>
  <fonts count="43" x14ac:knownFonts="1">
    <font>
      <sz val="12"/>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10"/>
      <name val="Arial"/>
      <family val="2"/>
    </font>
    <font>
      <b/>
      <sz val="14"/>
      <color theme="0"/>
      <name val="Arial"/>
      <family val="2"/>
    </font>
    <font>
      <sz val="14"/>
      <color rgb="FF000000"/>
      <name val="Arial"/>
      <family val="2"/>
    </font>
    <font>
      <sz val="11"/>
      <color rgb="FF000000"/>
      <name val="Arial"/>
      <family val="2"/>
    </font>
    <font>
      <sz val="11"/>
      <color theme="1"/>
      <name val="Arial"/>
      <family val="2"/>
    </font>
    <font>
      <b/>
      <sz val="11"/>
      <color theme="1"/>
      <name val="Arial"/>
      <family val="2"/>
    </font>
    <font>
      <sz val="11"/>
      <color rgb="FF1F1F1F"/>
      <name val="Arial"/>
      <family val="2"/>
    </font>
    <font>
      <sz val="14"/>
      <color theme="0"/>
      <name val="Arial"/>
      <family val="2"/>
    </font>
    <font>
      <b/>
      <sz val="16"/>
      <color theme="0"/>
      <name val="Arial"/>
      <family val="2"/>
    </font>
    <font>
      <b/>
      <sz val="12"/>
      <color theme="1"/>
      <name val="AriaL"/>
      <family val="2"/>
    </font>
    <font>
      <sz val="12"/>
      <color theme="1"/>
      <name val="AriaL"/>
      <family val="2"/>
    </font>
    <font>
      <sz val="11"/>
      <color theme="0"/>
      <name val="Arial"/>
      <family val="2"/>
    </font>
    <font>
      <b/>
      <sz val="16"/>
      <color theme="1"/>
      <name val="Arial"/>
      <family val="2"/>
    </font>
    <font>
      <sz val="12"/>
      <color rgb="FF000000"/>
      <name val="Arial"/>
      <family val="2"/>
    </font>
    <font>
      <b/>
      <u/>
      <sz val="16"/>
      <color theme="0"/>
      <name val="Arial"/>
      <family val="2"/>
    </font>
    <font>
      <sz val="12"/>
      <color rgb="FFFFFFFF"/>
      <name val="Arial"/>
      <family val="2"/>
    </font>
    <font>
      <b/>
      <sz val="12"/>
      <color theme="0"/>
      <name val="Arial"/>
      <family val="2"/>
    </font>
    <font>
      <sz val="12"/>
      <color theme="0"/>
      <name val="Arial"/>
      <family val="2"/>
    </font>
    <font>
      <sz val="12"/>
      <color rgb="FF000000"/>
      <name val="Calibri"/>
      <family val="2"/>
      <scheme val="minor"/>
    </font>
    <font>
      <sz val="11"/>
      <color rgb="FF000000"/>
      <name val="Calibri"/>
      <family val="2"/>
      <scheme val="minor"/>
    </font>
    <font>
      <sz val="12"/>
      <color theme="1"/>
      <name val="Arial Narrow"/>
      <family val="2"/>
    </font>
    <font>
      <sz val="11"/>
      <color rgb="FF242424"/>
      <name val="Aptos Narrow"/>
    </font>
    <font>
      <u/>
      <sz val="12"/>
      <color theme="10"/>
      <name val="Calibri"/>
      <family val="2"/>
      <scheme val="minor"/>
    </font>
    <font>
      <b/>
      <sz val="13"/>
      <color theme="1"/>
      <name val="Arial"/>
      <family val="2"/>
    </font>
    <font>
      <b/>
      <sz val="12"/>
      <color theme="1"/>
      <name val="Arial Narrow"/>
      <family val="2"/>
    </font>
    <font>
      <b/>
      <sz val="12"/>
      <color rgb="FF000000"/>
      <name val="Calibri"/>
      <family val="2"/>
      <scheme val="minor"/>
    </font>
    <font>
      <b/>
      <sz val="18"/>
      <color rgb="FFFFFF00"/>
      <name val="Arial Narrow"/>
      <family val="2"/>
    </font>
    <font>
      <b/>
      <sz val="18"/>
      <color theme="1"/>
      <name val="Arial Narrow"/>
      <family val="2"/>
    </font>
    <font>
      <b/>
      <sz val="12"/>
      <color rgb="FF00B050"/>
      <name val="Calibri"/>
      <family val="2"/>
    </font>
    <font>
      <b/>
      <sz val="12"/>
      <color theme="1"/>
      <name val="Calibri"/>
      <family val="2"/>
    </font>
    <font>
      <b/>
      <sz val="14"/>
      <color rgb="FFFFFFFF"/>
      <name val="Arial"/>
      <family val="2"/>
    </font>
    <font>
      <sz val="11"/>
      <color theme="1"/>
      <name val="Calibri"/>
      <family val="2"/>
    </font>
    <font>
      <b/>
      <sz val="9"/>
      <color rgb="FF000000"/>
      <name val="Tahoma"/>
      <family val="2"/>
    </font>
    <font>
      <sz val="9"/>
      <color rgb="FF000000"/>
      <name val="Tahoma"/>
      <family val="2"/>
    </font>
    <font>
      <sz val="10"/>
      <color rgb="FF000000"/>
      <name val="Tahoma"/>
      <family val="2"/>
    </font>
    <font>
      <b/>
      <sz val="10"/>
      <color rgb="FF000000"/>
      <name val="Tahoma"/>
      <family val="2"/>
    </font>
    <font>
      <sz val="12"/>
      <color theme="1"/>
      <name val="Calibri"/>
      <family val="2"/>
    </font>
    <font>
      <u/>
      <sz val="12"/>
      <color theme="1"/>
      <name val="Calibri"/>
      <family val="2"/>
      <scheme val="minor"/>
    </font>
    <font>
      <sz val="12"/>
      <color theme="1"/>
      <name val="Aptos Narrow"/>
    </font>
  </fonts>
  <fills count="40">
    <fill>
      <patternFill patternType="none"/>
    </fill>
    <fill>
      <patternFill patternType="gray125"/>
    </fill>
    <fill>
      <patternFill patternType="solid">
        <fgColor theme="4" tint="-0.249977111117893"/>
        <bgColor indexed="64"/>
      </patternFill>
    </fill>
    <fill>
      <patternFill patternType="solid">
        <fgColor theme="4" tint="0.39997558519241921"/>
        <bgColor indexed="64"/>
      </patternFill>
    </fill>
    <fill>
      <patternFill patternType="solid">
        <fgColor theme="0"/>
        <bgColor indexed="64"/>
      </patternFill>
    </fill>
    <fill>
      <patternFill patternType="solid">
        <fgColor rgb="FF7A81FF"/>
        <bgColor indexed="64"/>
      </patternFill>
    </fill>
    <fill>
      <patternFill patternType="solid">
        <fgColor rgb="FFFF7E79"/>
        <bgColor indexed="64"/>
      </patternFill>
    </fill>
    <fill>
      <patternFill patternType="solid">
        <fgColor rgb="FFC4B5FA"/>
        <bgColor indexed="64"/>
      </patternFill>
    </fill>
    <fill>
      <patternFill patternType="solid">
        <fgColor theme="0"/>
        <bgColor rgb="FF000000"/>
      </patternFill>
    </fill>
    <fill>
      <patternFill patternType="solid">
        <fgColor rgb="FF4ED967"/>
        <bgColor rgb="FF000000"/>
      </patternFill>
    </fill>
    <fill>
      <patternFill patternType="solid">
        <fgColor rgb="FFFFFFFF"/>
        <bgColor rgb="FF000000"/>
      </patternFill>
    </fill>
    <fill>
      <patternFill patternType="solid">
        <fgColor rgb="FFEBBAE1"/>
        <bgColor indexed="64"/>
      </patternFill>
    </fill>
    <fill>
      <patternFill patternType="solid">
        <fgColor rgb="FFEBBAE1"/>
        <bgColor rgb="FF000000"/>
      </patternFill>
    </fill>
    <fill>
      <patternFill patternType="solid">
        <fgColor rgb="FFD6F9C6"/>
        <bgColor indexed="64"/>
      </patternFill>
    </fill>
    <fill>
      <patternFill patternType="solid">
        <fgColor rgb="FFB9E1FF"/>
        <bgColor indexed="64"/>
      </patternFill>
    </fill>
    <fill>
      <patternFill patternType="solid">
        <fgColor rgb="FF9653F0"/>
        <bgColor rgb="FF000000"/>
      </patternFill>
    </fill>
    <fill>
      <patternFill patternType="solid">
        <fgColor rgb="FFC8CDFF"/>
        <bgColor indexed="64"/>
      </patternFill>
    </fill>
    <fill>
      <patternFill patternType="solid">
        <fgColor rgb="FF81D4DD"/>
        <bgColor indexed="64"/>
      </patternFill>
    </fill>
    <fill>
      <patternFill patternType="solid">
        <fgColor rgb="FFDA6DCB"/>
        <bgColor indexed="64"/>
      </patternFill>
    </fill>
    <fill>
      <patternFill patternType="solid">
        <fgColor rgb="FF4ED967"/>
        <bgColor indexed="64"/>
      </patternFill>
    </fill>
    <fill>
      <patternFill patternType="solid">
        <fgColor rgb="FF11B0F1"/>
        <bgColor indexed="64"/>
      </patternFill>
    </fill>
    <fill>
      <patternFill patternType="solid">
        <fgColor rgb="FF9653F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tint="4.9989318521683403E-2"/>
        <bgColor indexed="64"/>
      </patternFill>
    </fill>
    <fill>
      <patternFill patternType="solid">
        <fgColor theme="1"/>
        <bgColor indexed="64"/>
      </patternFill>
    </fill>
    <fill>
      <patternFill patternType="solid">
        <fgColor theme="8" tint="0.59999389629810485"/>
        <bgColor indexed="64"/>
      </patternFill>
    </fill>
    <fill>
      <patternFill patternType="solid">
        <fgColor rgb="FFDA6DCB"/>
        <bgColor rgb="FF000000"/>
      </patternFill>
    </fill>
    <fill>
      <patternFill patternType="solid">
        <fgColor rgb="FF11B0F1"/>
        <bgColor rgb="FF000000"/>
      </patternFill>
    </fill>
    <fill>
      <patternFill patternType="solid">
        <fgColor theme="9" tint="0.59999389629810485"/>
        <bgColor indexed="64"/>
      </patternFill>
    </fill>
    <fill>
      <patternFill patternType="solid">
        <fgColor theme="1" tint="0.499984740745262"/>
        <bgColor rgb="FF000000"/>
      </patternFill>
    </fill>
    <fill>
      <patternFill patternType="solid">
        <fgColor rgb="FFCDBAFF"/>
        <bgColor indexed="64"/>
      </patternFill>
    </fill>
    <fill>
      <patternFill patternType="solid">
        <fgColor rgb="FFCDBAFF"/>
        <bgColor rgb="FF000000"/>
      </patternFill>
    </fill>
    <fill>
      <patternFill patternType="solid">
        <fgColor theme="7" tint="0.39997558519241921"/>
        <bgColor indexed="64"/>
      </patternFill>
    </fill>
    <fill>
      <patternFill patternType="solid">
        <fgColor theme="9" tint="0.39997558519241921"/>
        <bgColor indexed="64"/>
      </patternFill>
    </fill>
    <fill>
      <patternFill patternType="solid">
        <fgColor rgb="FF00B050"/>
        <bgColor indexed="64"/>
      </patternFill>
    </fill>
    <fill>
      <patternFill patternType="solid">
        <fgColor rgb="FFD7FAC6"/>
        <bgColor indexed="64"/>
      </patternFill>
    </fill>
    <fill>
      <patternFill patternType="solid">
        <fgColor theme="2"/>
        <bgColor indexed="64"/>
      </patternFill>
    </fill>
    <fill>
      <patternFill patternType="solid">
        <fgColor rgb="FFFFD4C8"/>
        <bgColor indexed="64"/>
      </patternFill>
    </fill>
    <fill>
      <patternFill patternType="solid">
        <fgColor theme="5" tint="0.39997558519241921"/>
        <bgColor indexed="64"/>
      </patternFill>
    </fill>
  </fills>
  <borders count="63">
    <border>
      <left/>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right style="thin">
        <color indexed="64"/>
      </right>
      <top/>
      <bottom style="thin">
        <color indexed="64"/>
      </bottom>
      <diagonal/>
    </border>
    <border>
      <left/>
      <right style="thin">
        <color rgb="FF000000"/>
      </right>
      <top style="thin">
        <color rgb="FF000000"/>
      </top>
      <bottom style="thin">
        <color rgb="FF000000"/>
      </bottom>
      <diagonal/>
    </border>
    <border>
      <left/>
      <right style="medium">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right style="thin">
        <color rgb="FF000000"/>
      </right>
      <top/>
      <bottom style="thin">
        <color rgb="FF000000"/>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rgb="FF000000"/>
      </left>
      <right style="thin">
        <color rgb="FF000000"/>
      </right>
      <top/>
      <bottom style="thin">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indexed="64"/>
      </left>
      <right style="thin">
        <color indexed="64"/>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s>
  <cellStyleXfs count="7">
    <xf numFmtId="0" fontId="0" fillId="0" borderId="0"/>
    <xf numFmtId="42" fontId="2" fillId="0" borderId="0" applyFont="0" applyFill="0" applyBorder="0" applyAlignment="0" applyProtection="0"/>
    <xf numFmtId="0" fontId="4" fillId="0" borderId="0"/>
    <xf numFmtId="44" fontId="2" fillId="0" borderId="0" applyFont="0" applyFill="0" applyBorder="0" applyAlignment="0" applyProtection="0"/>
    <xf numFmtId="9" fontId="2" fillId="0" borderId="0" applyFont="0" applyFill="0" applyBorder="0" applyAlignment="0" applyProtection="0"/>
    <xf numFmtId="0" fontId="26" fillId="0" borderId="0" applyNumberFormat="0" applyFill="0" applyBorder="0" applyAlignment="0" applyProtection="0"/>
    <xf numFmtId="0" fontId="1" fillId="0" borderId="0"/>
  </cellStyleXfs>
  <cellXfs count="613">
    <xf numFmtId="0" fontId="0" fillId="0" borderId="0" xfId="0"/>
    <xf numFmtId="0" fontId="8" fillId="0" borderId="14" xfId="0" applyFont="1" applyBorder="1" applyAlignment="1">
      <alignment horizontal="center" vertical="center"/>
    </xf>
    <xf numFmtId="0" fontId="8" fillId="0" borderId="14" xfId="0" applyFont="1" applyBorder="1" applyAlignment="1">
      <alignment horizontal="center" vertical="center" wrapText="1"/>
    </xf>
    <xf numFmtId="0" fontId="8" fillId="0" borderId="16" xfId="0" applyFont="1" applyBorder="1" applyAlignment="1">
      <alignment horizontal="center" vertical="center"/>
    </xf>
    <xf numFmtId="0" fontId="8" fillId="0" borderId="16"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11" xfId="0" applyFont="1" applyBorder="1" applyAlignment="1">
      <alignment horizontal="center" vertical="center" wrapText="1"/>
    </xf>
    <xf numFmtId="0" fontId="7" fillId="4" borderId="14" xfId="0" applyFont="1" applyFill="1" applyBorder="1" applyAlignment="1">
      <alignment vertical="center" wrapText="1"/>
    </xf>
    <xf numFmtId="0" fontId="7" fillId="4" borderId="14" xfId="0" applyFont="1" applyFill="1" applyBorder="1" applyAlignment="1">
      <alignment horizontal="center" vertical="center"/>
    </xf>
    <xf numFmtId="0" fontId="7" fillId="4" borderId="11" xfId="0" applyFont="1" applyFill="1" applyBorder="1" applyAlignment="1">
      <alignment horizontal="center" vertical="center"/>
    </xf>
    <xf numFmtId="0" fontId="8" fillId="4" borderId="14" xfId="0" applyFont="1" applyFill="1" applyBorder="1" applyAlignment="1">
      <alignment horizontal="center" vertical="center"/>
    </xf>
    <xf numFmtId="0" fontId="8" fillId="4" borderId="11" xfId="0" applyFont="1" applyFill="1" applyBorder="1" applyAlignment="1">
      <alignment horizontal="center" vertical="center"/>
    </xf>
    <xf numFmtId="0" fontId="7" fillId="8" borderId="14"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8" borderId="14" xfId="0" applyFont="1" applyFill="1" applyBorder="1" applyAlignment="1">
      <alignment horizontal="center" vertical="center"/>
    </xf>
    <xf numFmtId="0" fontId="7" fillId="4" borderId="14" xfId="0" applyFont="1" applyFill="1" applyBorder="1" applyAlignment="1">
      <alignment horizontal="center" vertical="center" wrapText="1"/>
    </xf>
    <xf numFmtId="0" fontId="7" fillId="8" borderId="11"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13" fillId="0" borderId="19" xfId="0" applyFont="1" applyBorder="1" applyAlignment="1">
      <alignment horizontal="center" vertical="center"/>
    </xf>
    <xf numFmtId="0" fontId="13" fillId="0" borderId="0" xfId="0" applyFont="1" applyAlignment="1">
      <alignment horizontal="center" vertical="center"/>
    </xf>
    <xf numFmtId="0" fontId="9" fillId="4" borderId="17" xfId="0" applyFont="1" applyFill="1" applyBorder="1" applyAlignment="1">
      <alignment horizontal="center" vertical="center"/>
    </xf>
    <xf numFmtId="0" fontId="9" fillId="4" borderId="9" xfId="0" applyFont="1" applyFill="1" applyBorder="1" applyAlignment="1">
      <alignment horizontal="center" vertical="center"/>
    </xf>
    <xf numFmtId="0" fontId="8" fillId="4" borderId="14"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14" fillId="0" borderId="0" xfId="0" applyFont="1" applyAlignment="1">
      <alignment horizontal="center" vertical="center"/>
    </xf>
    <xf numFmtId="0" fontId="9" fillId="0" borderId="19" xfId="0" applyFont="1" applyBorder="1" applyAlignment="1">
      <alignment horizontal="center" vertical="center"/>
    </xf>
    <xf numFmtId="0" fontId="9" fillId="0" borderId="0" xfId="0" applyFont="1" applyAlignment="1">
      <alignment horizontal="center" vertical="center"/>
    </xf>
    <xf numFmtId="0" fontId="8" fillId="4" borderId="14" xfId="2" applyFont="1" applyFill="1" applyBorder="1" applyAlignment="1">
      <alignment horizontal="center" vertical="center" wrapText="1"/>
    </xf>
    <xf numFmtId="0" fontId="8" fillId="4" borderId="15" xfId="2" applyFont="1" applyFill="1" applyBorder="1" applyAlignment="1">
      <alignment horizontal="center" vertical="center" wrapText="1"/>
    </xf>
    <xf numFmtId="0" fontId="7" fillId="9" borderId="5" xfId="0" applyFont="1" applyFill="1" applyBorder="1" applyAlignment="1">
      <alignment horizontal="center" vertical="center" wrapText="1"/>
    </xf>
    <xf numFmtId="0" fontId="8" fillId="0" borderId="0" xfId="0" applyFont="1" applyAlignment="1">
      <alignment horizontal="center" vertical="center"/>
    </xf>
    <xf numFmtId="0" fontId="16" fillId="0" borderId="0" xfId="0" applyFont="1" applyAlignment="1">
      <alignment horizontal="center" vertical="center" wrapText="1"/>
    </xf>
    <xf numFmtId="0" fontId="14" fillId="4" borderId="10" xfId="0" applyFont="1" applyFill="1" applyBorder="1" applyAlignment="1">
      <alignment horizontal="center" vertical="center"/>
    </xf>
    <xf numFmtId="0" fontId="14" fillId="4" borderId="22" xfId="0" applyFont="1" applyFill="1" applyBorder="1" applyAlignment="1">
      <alignment horizontal="center" vertical="center"/>
    </xf>
    <xf numFmtId="0" fontId="14" fillId="11" borderId="20" xfId="0" applyFont="1" applyFill="1" applyBorder="1" applyAlignment="1">
      <alignment horizontal="center" vertical="center"/>
    </xf>
    <xf numFmtId="0" fontId="14" fillId="11" borderId="10" xfId="0" applyFont="1" applyFill="1" applyBorder="1" applyAlignment="1">
      <alignment horizontal="center" vertical="center"/>
    </xf>
    <xf numFmtId="42" fontId="14" fillId="4" borderId="0" xfId="1" applyFont="1" applyFill="1" applyBorder="1" applyAlignment="1">
      <alignment horizontal="center"/>
    </xf>
    <xf numFmtId="0" fontId="14" fillId="13" borderId="10" xfId="0" applyFont="1" applyFill="1" applyBorder="1" applyAlignment="1">
      <alignment horizontal="center" vertical="center"/>
    </xf>
    <xf numFmtId="0" fontId="14" fillId="14" borderId="10" xfId="0" applyFont="1" applyFill="1" applyBorder="1" applyAlignment="1">
      <alignment horizontal="center" vertical="center"/>
    </xf>
    <xf numFmtId="0" fontId="14" fillId="0" borderId="0" xfId="0" applyFont="1" applyAlignment="1">
      <alignment horizontal="left" wrapText="1"/>
    </xf>
    <xf numFmtId="0" fontId="13" fillId="4" borderId="17" xfId="0" applyFont="1" applyFill="1" applyBorder="1" applyAlignment="1">
      <alignment horizontal="left" wrapText="1"/>
    </xf>
    <xf numFmtId="0" fontId="13" fillId="4" borderId="14" xfId="0" applyFont="1" applyFill="1" applyBorder="1" applyAlignment="1">
      <alignment horizontal="left" vertical="center" wrapText="1"/>
    </xf>
    <xf numFmtId="0" fontId="17" fillId="4" borderId="14" xfId="0" applyFont="1" applyFill="1" applyBorder="1" applyAlignment="1">
      <alignment horizontal="left" vertical="center" wrapText="1"/>
    </xf>
    <xf numFmtId="0" fontId="17" fillId="4" borderId="15" xfId="0" applyFont="1" applyFill="1" applyBorder="1" applyAlignment="1">
      <alignment horizontal="left" vertical="center" wrapText="1"/>
    </xf>
    <xf numFmtId="0" fontId="14" fillId="11" borderId="16" xfId="0" applyFont="1" applyFill="1" applyBorder="1" applyAlignment="1">
      <alignment horizontal="left" vertical="center" wrapText="1"/>
    </xf>
    <xf numFmtId="0" fontId="14" fillId="11" borderId="14" xfId="0" applyFont="1" applyFill="1" applyBorder="1" applyAlignment="1">
      <alignment horizontal="left" vertical="center" wrapText="1"/>
    </xf>
    <xf numFmtId="0" fontId="17" fillId="11" borderId="14" xfId="0" applyFont="1" applyFill="1" applyBorder="1" applyAlignment="1">
      <alignment horizontal="left" vertical="center" wrapText="1"/>
    </xf>
    <xf numFmtId="0" fontId="17" fillId="12" borderId="14" xfId="0" applyFont="1" applyFill="1" applyBorder="1" applyAlignment="1">
      <alignment horizontal="left" vertical="center" wrapText="1"/>
    </xf>
    <xf numFmtId="0" fontId="17" fillId="9" borderId="7" xfId="0" applyFont="1" applyFill="1" applyBorder="1" applyAlignment="1">
      <alignment horizontal="center" vertical="center" wrapText="1"/>
    </xf>
    <xf numFmtId="0" fontId="20" fillId="9" borderId="5" xfId="0" applyFont="1" applyFill="1" applyBorder="1" applyAlignment="1">
      <alignment horizontal="left" vertical="center" wrapText="1"/>
    </xf>
    <xf numFmtId="0" fontId="17" fillId="13" borderId="14" xfId="0" applyFont="1" applyFill="1" applyBorder="1" applyAlignment="1">
      <alignment horizontal="left" vertical="center" wrapText="1"/>
    </xf>
    <xf numFmtId="0" fontId="17" fillId="14" borderId="14" xfId="0" applyFont="1" applyFill="1" applyBorder="1" applyAlignment="1">
      <alignment horizontal="left" vertical="center" wrapText="1"/>
    </xf>
    <xf numFmtId="0" fontId="17" fillId="14" borderId="15" xfId="0" applyFont="1" applyFill="1" applyBorder="1" applyAlignment="1">
      <alignment vertical="center" wrapText="1"/>
    </xf>
    <xf numFmtId="0" fontId="13" fillId="4" borderId="14" xfId="0" applyFont="1" applyFill="1" applyBorder="1" applyAlignment="1">
      <alignment horizontal="center" vertical="center" wrapText="1"/>
    </xf>
    <xf numFmtId="0" fontId="13" fillId="4" borderId="14" xfId="0" applyFont="1" applyFill="1" applyBorder="1" applyAlignment="1">
      <alignment horizontal="center" vertical="center"/>
    </xf>
    <xf numFmtId="0" fontId="13" fillId="4" borderId="11" xfId="0" applyFont="1" applyFill="1" applyBorder="1" applyAlignment="1">
      <alignment horizontal="center" vertical="center" wrapText="1"/>
    </xf>
    <xf numFmtId="0" fontId="7" fillId="10" borderId="11" xfId="0" applyFont="1" applyFill="1" applyBorder="1" applyAlignment="1">
      <alignment horizontal="center" vertical="center" wrapText="1"/>
    </xf>
    <xf numFmtId="0" fontId="21" fillId="15" borderId="7" xfId="0" applyFont="1" applyFill="1" applyBorder="1" applyAlignment="1">
      <alignment horizontal="center" vertical="center" wrapText="1"/>
    </xf>
    <xf numFmtId="0" fontId="21" fillId="15" borderId="5" xfId="0" applyFont="1" applyFill="1" applyBorder="1" applyAlignment="1">
      <alignment horizontal="left" vertical="center" wrapText="1"/>
    </xf>
    <xf numFmtId="0" fontId="15" fillId="15" borderId="5" xfId="0" applyFont="1" applyFill="1" applyBorder="1" applyAlignment="1">
      <alignment horizontal="center" vertical="center" wrapText="1"/>
    </xf>
    <xf numFmtId="0" fontId="17" fillId="16" borderId="14" xfId="0" applyFont="1" applyFill="1" applyBorder="1" applyAlignment="1">
      <alignment horizontal="left" vertical="center" wrapText="1"/>
    </xf>
    <xf numFmtId="0" fontId="22" fillId="16" borderId="25" xfId="0" applyFont="1" applyFill="1" applyBorder="1" applyAlignment="1">
      <alignment horizontal="left" vertical="center" wrapText="1"/>
    </xf>
    <xf numFmtId="0" fontId="14" fillId="16" borderId="10" xfId="0" applyFont="1" applyFill="1" applyBorder="1" applyAlignment="1">
      <alignment horizontal="center" vertical="center"/>
    </xf>
    <xf numFmtId="0" fontId="7" fillId="10" borderId="4" xfId="0" applyFont="1" applyFill="1" applyBorder="1" applyAlignment="1">
      <alignment horizontal="center" vertical="center"/>
    </xf>
    <xf numFmtId="0" fontId="7" fillId="10" borderId="14" xfId="0" applyFont="1" applyFill="1" applyBorder="1" applyAlignment="1">
      <alignment horizontal="center" vertical="center"/>
    </xf>
    <xf numFmtId="0" fontId="14" fillId="4" borderId="18" xfId="0" applyFont="1" applyFill="1" applyBorder="1" applyAlignment="1">
      <alignment horizontal="center" vertical="center"/>
    </xf>
    <xf numFmtId="0" fontId="14" fillId="11" borderId="26" xfId="0" applyFont="1" applyFill="1" applyBorder="1" applyAlignment="1">
      <alignment horizontal="center" vertical="center"/>
    </xf>
    <xf numFmtId="0" fontId="14" fillId="11" borderId="18" xfId="0" applyFont="1" applyFill="1" applyBorder="1" applyAlignment="1">
      <alignment horizontal="center" vertical="center"/>
    </xf>
    <xf numFmtId="0" fontId="17" fillId="9" borderId="5" xfId="0" applyFont="1" applyFill="1" applyBorder="1" applyAlignment="1">
      <alignment horizontal="center" vertical="center" wrapText="1"/>
    </xf>
    <xf numFmtId="0" fontId="14" fillId="13" borderId="18" xfId="0" applyFont="1" applyFill="1" applyBorder="1" applyAlignment="1">
      <alignment horizontal="center" vertical="center"/>
    </xf>
    <xf numFmtId="0" fontId="14" fillId="14" borderId="18" xfId="0" applyFont="1" applyFill="1" applyBorder="1" applyAlignment="1">
      <alignment horizontal="center" vertical="center"/>
    </xf>
    <xf numFmtId="0" fontId="21" fillId="15" borderId="5" xfId="0" applyFont="1" applyFill="1" applyBorder="1" applyAlignment="1">
      <alignment horizontal="center" vertical="center" wrapText="1"/>
    </xf>
    <xf numFmtId="0" fontId="14" fillId="16" borderId="18" xfId="0" applyFont="1" applyFill="1" applyBorder="1" applyAlignment="1">
      <alignment horizontal="center" vertical="center"/>
    </xf>
    <xf numFmtId="0" fontId="22" fillId="16" borderId="27" xfId="0" applyFont="1" applyFill="1" applyBorder="1" applyAlignment="1">
      <alignment horizontal="left" vertical="center" wrapText="1"/>
    </xf>
    <xf numFmtId="0" fontId="14" fillId="16" borderId="14" xfId="0" applyFont="1" applyFill="1" applyBorder="1" applyAlignment="1">
      <alignment horizontal="center" vertical="center"/>
    </xf>
    <xf numFmtId="164" fontId="13" fillId="3" borderId="14" xfId="3" applyNumberFormat="1" applyFont="1" applyFill="1" applyBorder="1" applyAlignment="1">
      <alignment horizontal="center" vertical="center" wrapText="1"/>
    </xf>
    <xf numFmtId="164" fontId="13" fillId="3" borderId="18" xfId="3" applyNumberFormat="1" applyFont="1" applyFill="1" applyBorder="1" applyAlignment="1">
      <alignment horizontal="center" vertical="center" wrapText="1"/>
    </xf>
    <xf numFmtId="164" fontId="13" fillId="5" borderId="10" xfId="3" applyNumberFormat="1" applyFont="1" applyFill="1" applyBorder="1" applyAlignment="1">
      <alignment horizontal="center" vertical="center" wrapText="1"/>
    </xf>
    <xf numFmtId="0" fontId="13" fillId="5" borderId="11" xfId="2" applyFont="1" applyFill="1" applyBorder="1" applyAlignment="1">
      <alignment horizontal="center" vertical="center" wrapText="1"/>
    </xf>
    <xf numFmtId="164" fontId="13" fillId="17" borderId="10" xfId="3" applyNumberFormat="1" applyFont="1" applyFill="1" applyBorder="1" applyAlignment="1">
      <alignment horizontal="center" vertical="center" wrapText="1"/>
    </xf>
    <xf numFmtId="0" fontId="13" fillId="17" borderId="11" xfId="2" applyFont="1" applyFill="1" applyBorder="1" applyAlignment="1">
      <alignment horizontal="center" vertical="center" wrapText="1"/>
    </xf>
    <xf numFmtId="0" fontId="14" fillId="4" borderId="24" xfId="0" applyFont="1" applyFill="1" applyBorder="1" applyAlignment="1">
      <alignment horizontal="center" vertical="center"/>
    </xf>
    <xf numFmtId="0" fontId="8" fillId="4" borderId="16" xfId="2" applyFont="1" applyFill="1" applyBorder="1" applyAlignment="1">
      <alignment horizontal="center" vertical="center" wrapText="1"/>
    </xf>
    <xf numFmtId="0" fontId="14" fillId="11" borderId="22" xfId="0" applyFont="1" applyFill="1" applyBorder="1" applyAlignment="1">
      <alignment horizontal="center" vertical="center"/>
    </xf>
    <xf numFmtId="0" fontId="14" fillId="11" borderId="24" xfId="0" applyFont="1" applyFill="1" applyBorder="1" applyAlignment="1">
      <alignment horizontal="center" vertical="center"/>
    </xf>
    <xf numFmtId="0" fontId="17" fillId="11" borderId="15" xfId="0" applyFont="1" applyFill="1" applyBorder="1" applyAlignment="1">
      <alignment horizontal="left" vertical="center" wrapText="1"/>
    </xf>
    <xf numFmtId="0" fontId="7" fillId="4" borderId="15" xfId="0" applyFont="1" applyFill="1" applyBorder="1" applyAlignment="1">
      <alignment vertical="center" wrapText="1"/>
    </xf>
    <xf numFmtId="0" fontId="7" fillId="8" borderId="15" xfId="0" applyFont="1" applyFill="1" applyBorder="1" applyAlignment="1">
      <alignment horizontal="center" vertical="center" wrapText="1"/>
    </xf>
    <xf numFmtId="0" fontId="8" fillId="4" borderId="15" xfId="0" applyFont="1" applyFill="1" applyBorder="1" applyAlignment="1">
      <alignment horizontal="center" vertical="center"/>
    </xf>
    <xf numFmtId="0" fontId="8" fillId="4" borderId="23" xfId="0" applyFont="1" applyFill="1" applyBorder="1" applyAlignment="1">
      <alignment horizontal="center" vertical="center"/>
    </xf>
    <xf numFmtId="0" fontId="14" fillId="13" borderId="22" xfId="0" applyFont="1" applyFill="1" applyBorder="1" applyAlignment="1">
      <alignment horizontal="center" vertical="center"/>
    </xf>
    <xf numFmtId="0" fontId="14" fillId="13" borderId="24" xfId="0" applyFont="1" applyFill="1" applyBorder="1" applyAlignment="1">
      <alignment horizontal="center" vertical="center"/>
    </xf>
    <xf numFmtId="0" fontId="17" fillId="13" borderId="15" xfId="0" applyFont="1" applyFill="1" applyBorder="1" applyAlignment="1">
      <alignment horizontal="left" vertical="center" wrapText="1"/>
    </xf>
    <xf numFmtId="0" fontId="7" fillId="8" borderId="15" xfId="0" applyFont="1" applyFill="1" applyBorder="1" applyAlignment="1">
      <alignment horizontal="center" vertical="center"/>
    </xf>
    <xf numFmtId="0" fontId="7" fillId="4" borderId="16" xfId="0" applyFont="1" applyFill="1" applyBorder="1" applyAlignment="1">
      <alignment vertical="center" wrapText="1"/>
    </xf>
    <xf numFmtId="0" fontId="7" fillId="8" borderId="16" xfId="0" applyFont="1" applyFill="1" applyBorder="1" applyAlignment="1">
      <alignment horizontal="center" vertical="center" wrapText="1"/>
    </xf>
    <xf numFmtId="0" fontId="8" fillId="4" borderId="16" xfId="0" applyFont="1" applyFill="1" applyBorder="1" applyAlignment="1">
      <alignment horizontal="center" vertical="center"/>
    </xf>
    <xf numFmtId="0" fontId="8" fillId="4" borderId="21" xfId="0" applyFont="1" applyFill="1" applyBorder="1" applyAlignment="1">
      <alignment horizontal="center" vertical="center"/>
    </xf>
    <xf numFmtId="0" fontId="14" fillId="14" borderId="22" xfId="0" applyFont="1" applyFill="1" applyBorder="1" applyAlignment="1">
      <alignment horizontal="center" vertical="center"/>
    </xf>
    <xf numFmtId="0" fontId="14" fillId="14" borderId="24" xfId="0" applyFont="1" applyFill="1" applyBorder="1" applyAlignment="1">
      <alignment horizontal="center" vertical="center"/>
    </xf>
    <xf numFmtId="0" fontId="17" fillId="14" borderId="15" xfId="0" applyFont="1" applyFill="1" applyBorder="1" applyAlignment="1">
      <alignment horizontal="left" vertical="center" wrapText="1"/>
    </xf>
    <xf numFmtId="0" fontId="14" fillId="16" borderId="20" xfId="0" applyFont="1" applyFill="1" applyBorder="1" applyAlignment="1">
      <alignment horizontal="center" vertical="center"/>
    </xf>
    <xf numFmtId="0" fontId="14" fillId="16" borderId="26" xfId="0" applyFont="1" applyFill="1" applyBorder="1" applyAlignment="1">
      <alignment horizontal="center" vertical="center"/>
    </xf>
    <xf numFmtId="0" fontId="17" fillId="16" borderId="16" xfId="0" applyFont="1" applyFill="1" applyBorder="1" applyAlignment="1">
      <alignment horizontal="left" vertical="center" wrapText="1"/>
    </xf>
    <xf numFmtId="42" fontId="8" fillId="4" borderId="10" xfId="1" applyFont="1" applyFill="1" applyBorder="1" applyAlignment="1" applyProtection="1">
      <alignment horizontal="center" vertical="center" wrapText="1"/>
      <protection locked="0"/>
    </xf>
    <xf numFmtId="42" fontId="8" fillId="4" borderId="11" xfId="1" applyFont="1" applyFill="1" applyBorder="1" applyAlignment="1" applyProtection="1">
      <alignment horizontal="center" vertical="center" wrapText="1"/>
      <protection locked="0"/>
    </xf>
    <xf numFmtId="42" fontId="8" fillId="4" borderId="22" xfId="1" applyFont="1" applyFill="1" applyBorder="1" applyAlignment="1" applyProtection="1">
      <alignment horizontal="center" vertical="center" wrapText="1"/>
      <protection locked="0"/>
    </xf>
    <xf numFmtId="42" fontId="8" fillId="4" borderId="20" xfId="1" applyFont="1" applyFill="1" applyBorder="1" applyAlignment="1" applyProtection="1">
      <alignment horizontal="center" vertical="center" wrapText="1"/>
      <protection locked="0"/>
    </xf>
    <xf numFmtId="42" fontId="8" fillId="19" borderId="5" xfId="1" applyFont="1" applyFill="1" applyBorder="1" applyAlignment="1" applyProtection="1">
      <alignment horizontal="center" vertical="center" wrapText="1"/>
      <protection locked="0"/>
    </xf>
    <xf numFmtId="0" fontId="6" fillId="9" borderId="5" xfId="0" applyFont="1" applyFill="1" applyBorder="1" applyAlignment="1" applyProtection="1">
      <alignment horizontal="center" vertical="center" wrapText="1"/>
      <protection locked="0"/>
    </xf>
    <xf numFmtId="42" fontId="8" fillId="20" borderId="5" xfId="1" applyFont="1" applyFill="1" applyBorder="1" applyAlignment="1" applyProtection="1">
      <alignment horizontal="center" vertical="center" wrapText="1"/>
      <protection locked="0"/>
    </xf>
    <xf numFmtId="42" fontId="8" fillId="21" borderId="5" xfId="1" applyFont="1" applyFill="1" applyBorder="1" applyAlignment="1" applyProtection="1">
      <alignment horizontal="center" vertical="center" wrapText="1"/>
      <protection locked="0"/>
    </xf>
    <xf numFmtId="0" fontId="11" fillId="15" borderId="5" xfId="0" applyFont="1" applyFill="1" applyBorder="1" applyAlignment="1" applyProtection="1">
      <alignment horizontal="center" vertical="center" wrapText="1"/>
      <protection locked="0"/>
    </xf>
    <xf numFmtId="0" fontId="14" fillId="0" borderId="14" xfId="0" applyFont="1" applyBorder="1" applyAlignment="1" applyProtection="1">
      <alignment horizontal="center" vertical="center" wrapText="1"/>
      <protection locked="0"/>
    </xf>
    <xf numFmtId="0" fontId="14" fillId="0" borderId="11" xfId="0" applyFont="1" applyBorder="1" applyAlignment="1" applyProtection="1">
      <alignment horizontal="center" vertical="center" wrapText="1"/>
      <protection locked="0"/>
    </xf>
    <xf numFmtId="0" fontId="14" fillId="0" borderId="15" xfId="0" applyFont="1" applyBorder="1" applyAlignment="1" applyProtection="1">
      <alignment horizontal="center" vertical="center" wrapText="1"/>
      <protection locked="0"/>
    </xf>
    <xf numFmtId="0" fontId="14" fillId="0" borderId="23" xfId="0" applyFont="1" applyBorder="1" applyAlignment="1" applyProtection="1">
      <alignment horizontal="center" vertical="center" wrapText="1"/>
      <protection locked="0"/>
    </xf>
    <xf numFmtId="0" fontId="14" fillId="0" borderId="16" xfId="0" applyFont="1" applyBorder="1" applyAlignment="1" applyProtection="1">
      <alignment horizontal="center" vertical="center" wrapText="1"/>
      <protection locked="0"/>
    </xf>
    <xf numFmtId="0" fontId="14" fillId="0" borderId="21" xfId="0" applyFont="1" applyBorder="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164" fontId="14" fillId="4" borderId="11" xfId="3" applyNumberFormat="1" applyFont="1" applyFill="1" applyBorder="1" applyAlignment="1" applyProtection="1">
      <alignment horizontal="center" vertical="center"/>
      <protection locked="0"/>
    </xf>
    <xf numFmtId="0" fontId="14" fillId="4" borderId="10" xfId="0" applyFont="1" applyFill="1" applyBorder="1" applyAlignment="1" applyProtection="1">
      <alignment horizontal="center" vertical="center"/>
      <protection locked="0"/>
    </xf>
    <xf numFmtId="0" fontId="14" fillId="4" borderId="11" xfId="0" applyFont="1" applyFill="1" applyBorder="1" applyAlignment="1" applyProtection="1">
      <alignment horizontal="center" vertical="center"/>
      <protection locked="0"/>
    </xf>
    <xf numFmtId="0" fontId="14" fillId="4" borderId="22" xfId="0" applyFont="1" applyFill="1" applyBorder="1" applyAlignment="1" applyProtection="1">
      <alignment horizontal="center" vertical="center"/>
      <protection locked="0"/>
    </xf>
    <xf numFmtId="0" fontId="14" fillId="4" borderId="23" xfId="0" applyFont="1" applyFill="1" applyBorder="1" applyAlignment="1" applyProtection="1">
      <alignment horizontal="center" vertical="center"/>
      <protection locked="0"/>
    </xf>
    <xf numFmtId="0" fontId="14" fillId="4" borderId="20" xfId="0" applyFont="1" applyFill="1" applyBorder="1" applyAlignment="1" applyProtection="1">
      <alignment horizontal="center" vertical="center"/>
      <protection locked="0"/>
    </xf>
    <xf numFmtId="0" fontId="14" fillId="4" borderId="21" xfId="0" applyFont="1" applyFill="1" applyBorder="1" applyAlignment="1" applyProtection="1">
      <alignment horizontal="center" vertical="center"/>
      <protection locked="0"/>
    </xf>
    <xf numFmtId="164" fontId="24" fillId="0" borderId="16" xfId="3" applyNumberFormat="1" applyFont="1" applyFill="1" applyBorder="1" applyAlignment="1" applyProtection="1">
      <alignment horizontal="center" vertical="center" wrapText="1"/>
    </xf>
    <xf numFmtId="42" fontId="14" fillId="0" borderId="10" xfId="0" applyNumberFormat="1" applyFont="1" applyBorder="1" applyAlignment="1">
      <alignment horizontal="center" vertical="center"/>
    </xf>
    <xf numFmtId="42" fontId="14" fillId="0" borderId="18" xfId="0" applyNumberFormat="1" applyFont="1" applyBorder="1" applyAlignment="1">
      <alignment horizontal="center" vertical="center"/>
    </xf>
    <xf numFmtId="9" fontId="14" fillId="0" borderId="14" xfId="4" applyFont="1" applyBorder="1" applyAlignment="1" applyProtection="1">
      <alignment horizontal="center" vertical="center"/>
    </xf>
    <xf numFmtId="42" fontId="14" fillId="0" borderId="14" xfId="0" applyNumberFormat="1" applyFont="1" applyBorder="1" applyAlignment="1">
      <alignment horizontal="center" vertical="center"/>
    </xf>
    <xf numFmtId="164" fontId="14" fillId="0" borderId="14" xfId="3" applyNumberFormat="1" applyFont="1" applyBorder="1" applyAlignment="1" applyProtection="1">
      <alignment horizontal="center" vertical="center"/>
    </xf>
    <xf numFmtId="9" fontId="14" fillId="0" borderId="11" xfId="4" applyFont="1" applyBorder="1" applyAlignment="1" applyProtection="1">
      <alignment horizontal="center" vertical="center"/>
    </xf>
    <xf numFmtId="0" fontId="14" fillId="4" borderId="0" xfId="0" applyFont="1" applyFill="1" applyAlignment="1" applyProtection="1">
      <alignment horizontal="center" vertical="center"/>
      <protection locked="0"/>
    </xf>
    <xf numFmtId="42" fontId="14" fillId="0" borderId="0" xfId="0" applyNumberFormat="1" applyFont="1" applyAlignment="1">
      <alignment horizontal="center" vertical="center"/>
    </xf>
    <xf numFmtId="0" fontId="14" fillId="4" borderId="14" xfId="0" applyFont="1" applyFill="1" applyBorder="1" applyAlignment="1" applyProtection="1">
      <alignment horizontal="center" vertical="center" wrapText="1"/>
      <protection locked="0"/>
    </xf>
    <xf numFmtId="0" fontId="14" fillId="4" borderId="11" xfId="0" applyFont="1" applyFill="1" applyBorder="1" applyAlignment="1" applyProtection="1">
      <alignment horizontal="center" vertical="center" wrapText="1"/>
      <protection locked="0"/>
    </xf>
    <xf numFmtId="0" fontId="14" fillId="4" borderId="10" xfId="0" applyFont="1" applyFill="1" applyBorder="1" applyAlignment="1" applyProtection="1">
      <alignment horizontal="center" vertical="center" wrapText="1"/>
      <protection locked="0"/>
    </xf>
    <xf numFmtId="164" fontId="14" fillId="4" borderId="11" xfId="3" applyNumberFormat="1" applyFont="1" applyFill="1" applyBorder="1" applyAlignment="1" applyProtection="1">
      <alignment horizontal="center" vertical="center" wrapText="1"/>
      <protection locked="0"/>
    </xf>
    <xf numFmtId="0" fontId="14" fillId="4" borderId="22" xfId="0" applyFont="1" applyFill="1" applyBorder="1" applyAlignment="1" applyProtection="1">
      <alignment horizontal="center" vertical="center" wrapText="1"/>
      <protection locked="0"/>
    </xf>
    <xf numFmtId="0" fontId="28" fillId="0" borderId="14" xfId="0" applyFont="1" applyBorder="1" applyAlignment="1">
      <alignment horizontal="center" vertical="center" wrapText="1"/>
    </xf>
    <xf numFmtId="0" fontId="13" fillId="23" borderId="10" xfId="0" applyFont="1" applyFill="1" applyBorder="1" applyAlignment="1" applyProtection="1">
      <alignment horizontal="center" vertical="center" wrapText="1"/>
      <protection locked="0"/>
    </xf>
    <xf numFmtId="0" fontId="13" fillId="23" borderId="14" xfId="0" applyFont="1" applyFill="1" applyBorder="1" applyAlignment="1" applyProtection="1">
      <alignment horizontal="center" vertical="center" wrapText="1"/>
      <protection locked="0"/>
    </xf>
    <xf numFmtId="0" fontId="8" fillId="4" borderId="33" xfId="0" applyFont="1" applyFill="1" applyBorder="1" applyAlignment="1">
      <alignment horizontal="center" vertical="center" wrapText="1"/>
    </xf>
    <xf numFmtId="42" fontId="8" fillId="4" borderId="23" xfId="1" applyFont="1" applyFill="1" applyBorder="1" applyAlignment="1" applyProtection="1">
      <alignment horizontal="center" vertical="center" wrapText="1"/>
      <protection locked="0"/>
    </xf>
    <xf numFmtId="42" fontId="8" fillId="4" borderId="14" xfId="1" applyFont="1" applyFill="1" applyBorder="1" applyAlignment="1" applyProtection="1">
      <alignment horizontal="center" vertical="center" wrapText="1"/>
      <protection locked="0"/>
    </xf>
    <xf numFmtId="164" fontId="14" fillId="4" borderId="14" xfId="3" applyNumberFormat="1" applyFont="1" applyFill="1" applyBorder="1" applyAlignment="1" applyProtection="1">
      <alignment horizontal="center" vertical="center"/>
      <protection locked="0"/>
    </xf>
    <xf numFmtId="9" fontId="14" fillId="4" borderId="11" xfId="4" applyFont="1" applyFill="1" applyBorder="1" applyAlignment="1" applyProtection="1">
      <alignment horizontal="center" vertical="center"/>
    </xf>
    <xf numFmtId="164" fontId="14" fillId="4" borderId="23" xfId="3" applyNumberFormat="1" applyFont="1" applyFill="1" applyBorder="1" applyAlignment="1" applyProtection="1">
      <alignment horizontal="center" vertical="center"/>
      <protection locked="0"/>
    </xf>
    <xf numFmtId="42" fontId="8" fillId="4" borderId="21" xfId="1" applyFont="1" applyFill="1" applyBorder="1" applyAlignment="1" applyProtection="1">
      <alignment horizontal="center" vertical="center" wrapText="1"/>
      <protection locked="0"/>
    </xf>
    <xf numFmtId="0" fontId="28" fillId="0" borderId="16" xfId="0" applyFont="1" applyBorder="1" applyAlignment="1">
      <alignment horizontal="center" vertical="center" wrapText="1"/>
    </xf>
    <xf numFmtId="0" fontId="14" fillId="4" borderId="15" xfId="0" applyFont="1" applyFill="1" applyBorder="1" applyAlignment="1" applyProtection="1">
      <alignment horizontal="center" vertical="center" wrapText="1"/>
      <protection locked="0"/>
    </xf>
    <xf numFmtId="0" fontId="14" fillId="4" borderId="23" xfId="0" applyFont="1" applyFill="1" applyBorder="1" applyAlignment="1" applyProtection="1">
      <alignment horizontal="center" vertical="center" wrapText="1"/>
      <protection locked="0"/>
    </xf>
    <xf numFmtId="164" fontId="31" fillId="0" borderId="9" xfId="3" applyNumberFormat="1" applyFont="1" applyBorder="1" applyAlignment="1">
      <alignment horizontal="center" vertical="center"/>
    </xf>
    <xf numFmtId="164" fontId="31" fillId="0" borderId="11" xfId="3" applyNumberFormat="1" applyFont="1" applyBorder="1" applyAlignment="1">
      <alignment horizontal="center" vertical="center"/>
    </xf>
    <xf numFmtId="164" fontId="31" fillId="0" borderId="13" xfId="3" applyNumberFormat="1" applyFont="1" applyBorder="1" applyAlignment="1">
      <alignment horizontal="center" vertical="center"/>
    </xf>
    <xf numFmtId="0" fontId="32" fillId="25" borderId="14" xfId="6" applyFont="1" applyFill="1" applyBorder="1" applyAlignment="1">
      <alignment horizontal="center" vertical="center"/>
    </xf>
    <xf numFmtId="0" fontId="32" fillId="25" borderId="16" xfId="6" applyFont="1" applyFill="1" applyBorder="1" applyAlignment="1">
      <alignment horizontal="center" vertical="center"/>
    </xf>
    <xf numFmtId="0" fontId="33" fillId="0" borderId="14" xfId="6" applyFont="1" applyBorder="1" applyAlignment="1">
      <alignment horizontal="center" vertical="center"/>
    </xf>
    <xf numFmtId="164" fontId="13" fillId="23" borderId="10" xfId="3" applyNumberFormat="1" applyFont="1" applyFill="1" applyBorder="1" applyAlignment="1">
      <alignment horizontal="center" vertical="center" wrapText="1"/>
    </xf>
    <xf numFmtId="164" fontId="13" fillId="23" borderId="14" xfId="3" applyNumberFormat="1" applyFont="1" applyFill="1" applyBorder="1" applyAlignment="1">
      <alignment horizontal="center" vertical="center" wrapText="1"/>
    </xf>
    <xf numFmtId="9" fontId="13" fillId="23" borderId="14" xfId="4" applyFont="1" applyFill="1" applyBorder="1" applyAlignment="1">
      <alignment horizontal="center" vertical="center" wrapText="1"/>
    </xf>
    <xf numFmtId="9" fontId="13" fillId="23" borderId="11" xfId="4" applyFont="1" applyFill="1" applyBorder="1" applyAlignment="1">
      <alignment horizontal="center" vertical="center" wrapText="1"/>
    </xf>
    <xf numFmtId="42" fontId="14" fillId="4" borderId="10" xfId="0" applyNumberFormat="1" applyFont="1" applyFill="1" applyBorder="1" applyAlignment="1">
      <alignment horizontal="center" vertical="center"/>
    </xf>
    <xf numFmtId="42" fontId="14" fillId="4" borderId="18" xfId="0" applyNumberFormat="1" applyFont="1" applyFill="1" applyBorder="1" applyAlignment="1">
      <alignment horizontal="center" vertical="center"/>
    </xf>
    <xf numFmtId="0" fontId="14" fillId="4" borderId="0" xfId="0" applyFont="1" applyFill="1" applyAlignment="1">
      <alignment horizontal="center" vertical="center"/>
    </xf>
    <xf numFmtId="42" fontId="14" fillId="0" borderId="22" xfId="0" applyNumberFormat="1" applyFont="1" applyBorder="1" applyAlignment="1">
      <alignment horizontal="center" vertical="center"/>
    </xf>
    <xf numFmtId="42" fontId="14" fillId="0" borderId="24" xfId="0" applyNumberFormat="1" applyFont="1" applyBorder="1" applyAlignment="1">
      <alignment horizontal="center" vertical="center"/>
    </xf>
    <xf numFmtId="164" fontId="24" fillId="0" borderId="30" xfId="3" applyNumberFormat="1" applyFont="1" applyFill="1" applyBorder="1" applyAlignment="1" applyProtection="1">
      <alignment horizontal="center" vertical="center" wrapText="1"/>
    </xf>
    <xf numFmtId="9" fontId="14" fillId="0" borderId="15" xfId="4" applyFont="1" applyBorder="1" applyAlignment="1" applyProtection="1">
      <alignment horizontal="center" vertical="center"/>
    </xf>
    <xf numFmtId="42" fontId="14" fillId="0" borderId="15" xfId="0" applyNumberFormat="1" applyFont="1" applyBorder="1" applyAlignment="1">
      <alignment horizontal="center" vertical="center"/>
    </xf>
    <xf numFmtId="164" fontId="14" fillId="0" borderId="15" xfId="3" applyNumberFormat="1" applyFont="1" applyBorder="1" applyAlignment="1" applyProtection="1">
      <alignment horizontal="center" vertical="center"/>
    </xf>
    <xf numFmtId="9" fontId="14" fillId="0" borderId="23" xfId="4" applyFont="1" applyBorder="1" applyAlignment="1" applyProtection="1">
      <alignment horizontal="center" vertical="center"/>
    </xf>
    <xf numFmtId="42" fontId="14" fillId="0" borderId="20" xfId="0" applyNumberFormat="1" applyFont="1" applyBorder="1" applyAlignment="1">
      <alignment horizontal="center" vertical="center"/>
    </xf>
    <xf numFmtId="42" fontId="14" fillId="0" borderId="26" xfId="0" applyNumberFormat="1" applyFont="1" applyBorder="1" applyAlignment="1">
      <alignment horizontal="center" vertical="center"/>
    </xf>
    <xf numFmtId="9" fontId="14" fillId="0" borderId="16" xfId="4" applyFont="1" applyBorder="1" applyAlignment="1" applyProtection="1">
      <alignment horizontal="center" vertical="center"/>
    </xf>
    <xf numFmtId="42" fontId="14" fillId="0" borderId="16" xfId="0" applyNumberFormat="1" applyFont="1" applyBorder="1" applyAlignment="1">
      <alignment horizontal="center" vertical="center"/>
    </xf>
    <xf numFmtId="164" fontId="14" fillId="0" borderId="16" xfId="3" applyNumberFormat="1" applyFont="1" applyBorder="1" applyAlignment="1" applyProtection="1">
      <alignment horizontal="center" vertical="center"/>
    </xf>
    <xf numFmtId="9" fontId="14" fillId="0" borderId="21" xfId="4" applyFont="1" applyBorder="1" applyAlignment="1" applyProtection="1">
      <alignment horizontal="center" vertical="center"/>
    </xf>
    <xf numFmtId="164" fontId="24" fillId="18" borderId="0" xfId="3" applyNumberFormat="1" applyFont="1" applyFill="1" applyBorder="1" applyAlignment="1" applyProtection="1">
      <alignment horizontal="center" vertical="center" wrapText="1"/>
    </xf>
    <xf numFmtId="9" fontId="14" fillId="18" borderId="0" xfId="4" applyFont="1" applyFill="1" applyBorder="1" applyAlignment="1" applyProtection="1">
      <alignment horizontal="center" vertical="center"/>
    </xf>
    <xf numFmtId="164" fontId="14" fillId="18" borderId="0" xfId="3" applyNumberFormat="1" applyFont="1" applyFill="1" applyBorder="1" applyAlignment="1" applyProtection="1">
      <alignment horizontal="center" vertical="center"/>
    </xf>
    <xf numFmtId="42" fontId="14" fillId="18" borderId="5" xfId="0" applyNumberFormat="1" applyFont="1" applyFill="1" applyBorder="1" applyAlignment="1">
      <alignment horizontal="center" vertical="center"/>
    </xf>
    <xf numFmtId="164" fontId="24" fillId="18" borderId="5" xfId="3" applyNumberFormat="1" applyFont="1" applyFill="1" applyBorder="1" applyAlignment="1" applyProtection="1">
      <alignment horizontal="center" vertical="center" wrapText="1"/>
    </xf>
    <xf numFmtId="9" fontId="14" fillId="18" borderId="5" xfId="4" applyFont="1" applyFill="1" applyBorder="1" applyAlignment="1" applyProtection="1">
      <alignment horizontal="center" vertical="center"/>
    </xf>
    <xf numFmtId="164" fontId="14" fillId="18" borderId="5" xfId="3" applyNumberFormat="1" applyFont="1" applyFill="1" applyBorder="1" applyAlignment="1" applyProtection="1">
      <alignment horizontal="center" vertical="center"/>
    </xf>
    <xf numFmtId="0" fontId="7" fillId="27" borderId="5" xfId="0" applyFont="1" applyFill="1" applyBorder="1" applyAlignment="1">
      <alignment horizontal="center" vertical="center" wrapText="1"/>
    </xf>
    <xf numFmtId="42" fontId="8" fillId="4" borderId="15" xfId="1" applyFont="1" applyFill="1" applyBorder="1" applyAlignment="1" applyProtection="1">
      <alignment horizontal="center" vertical="center" wrapText="1"/>
      <protection locked="0"/>
    </xf>
    <xf numFmtId="164" fontId="14" fillId="4" borderId="15" xfId="3" applyNumberFormat="1" applyFont="1" applyFill="1" applyBorder="1" applyAlignment="1" applyProtection="1">
      <alignment horizontal="center" vertical="center"/>
      <protection locked="0"/>
    </xf>
    <xf numFmtId="0" fontId="19" fillId="27" borderId="7" xfId="0" applyFont="1" applyFill="1" applyBorder="1" applyAlignment="1">
      <alignment horizontal="left" vertical="center" wrapText="1"/>
    </xf>
    <xf numFmtId="0" fontId="14" fillId="4" borderId="26" xfId="0" applyFont="1" applyFill="1" applyBorder="1" applyAlignment="1">
      <alignment horizontal="center" vertical="center"/>
    </xf>
    <xf numFmtId="0" fontId="14" fillId="19" borderId="5" xfId="0" applyFont="1" applyFill="1" applyBorder="1" applyAlignment="1">
      <alignment horizontal="center" vertical="center"/>
    </xf>
    <xf numFmtId="42" fontId="14" fillId="19" borderId="5" xfId="0" applyNumberFormat="1" applyFont="1" applyFill="1" applyBorder="1" applyAlignment="1">
      <alignment horizontal="center" vertical="center"/>
    </xf>
    <xf numFmtId="164" fontId="24" fillId="19" borderId="5" xfId="3" applyNumberFormat="1" applyFont="1" applyFill="1" applyBorder="1" applyAlignment="1" applyProtection="1">
      <alignment horizontal="center" vertical="center" wrapText="1"/>
    </xf>
    <xf numFmtId="9" fontId="14" fillId="19" borderId="5" xfId="4" applyFont="1" applyFill="1" applyBorder="1" applyAlignment="1" applyProtection="1">
      <alignment horizontal="center" vertical="center"/>
    </xf>
    <xf numFmtId="164" fontId="14" fillId="19" borderId="5" xfId="3" applyNumberFormat="1" applyFont="1" applyFill="1" applyBorder="1" applyAlignment="1" applyProtection="1">
      <alignment horizontal="center" vertical="center"/>
    </xf>
    <xf numFmtId="0" fontId="14" fillId="4" borderId="0" xfId="0" applyFont="1" applyFill="1" applyAlignment="1">
      <alignment horizontal="center"/>
    </xf>
    <xf numFmtId="0" fontId="17" fillId="8" borderId="0" xfId="0" applyFont="1" applyFill="1" applyAlignment="1">
      <alignment horizontal="center" vertical="center" wrapText="1"/>
    </xf>
    <xf numFmtId="0" fontId="20" fillId="8" borderId="0" xfId="0" applyFont="1" applyFill="1" applyAlignment="1">
      <alignment horizontal="left" vertical="center" wrapText="1"/>
    </xf>
    <xf numFmtId="0" fontId="5" fillId="8" borderId="0" xfId="0" applyFont="1" applyFill="1" applyAlignment="1">
      <alignment horizontal="left" vertical="center" wrapText="1"/>
    </xf>
    <xf numFmtId="0" fontId="7" fillId="8" borderId="0" xfId="0" applyFont="1" applyFill="1" applyAlignment="1">
      <alignment horizontal="center" vertical="center" wrapText="1"/>
    </xf>
    <xf numFmtId="42" fontId="8" fillId="4" borderId="0" xfId="1" applyFont="1" applyFill="1" applyBorder="1" applyAlignment="1" applyProtection="1">
      <alignment horizontal="center" vertical="center" wrapText="1"/>
      <protection locked="0"/>
    </xf>
    <xf numFmtId="0" fontId="6" fillId="8" borderId="0" xfId="0" applyFont="1" applyFill="1" applyAlignment="1" applyProtection="1">
      <alignment horizontal="center" vertical="center" wrapText="1"/>
      <protection locked="0"/>
    </xf>
    <xf numFmtId="42" fontId="8" fillId="4" borderId="0" xfId="1" applyFont="1" applyFill="1" applyBorder="1" applyAlignment="1" applyProtection="1">
      <alignment vertical="center" wrapText="1"/>
      <protection locked="0"/>
    </xf>
    <xf numFmtId="0" fontId="6" fillId="8" borderId="0" xfId="0" applyFont="1" applyFill="1" applyAlignment="1" applyProtection="1">
      <alignment vertical="center" wrapText="1"/>
      <protection locked="0"/>
    </xf>
    <xf numFmtId="42" fontId="14" fillId="4" borderId="0" xfId="0" applyNumberFormat="1" applyFont="1" applyFill="1" applyAlignment="1">
      <alignment horizontal="center" vertical="center"/>
    </xf>
    <xf numFmtId="164" fontId="24" fillId="4" borderId="0" xfId="3" applyNumberFormat="1" applyFont="1" applyFill="1" applyBorder="1" applyAlignment="1" applyProtection="1">
      <alignment horizontal="center" vertical="center" wrapText="1"/>
    </xf>
    <xf numFmtId="9" fontId="14" fillId="4" borderId="0" xfId="4" applyFont="1" applyFill="1" applyBorder="1" applyAlignment="1" applyProtection="1">
      <alignment horizontal="center" vertical="center"/>
    </xf>
    <xf numFmtId="164" fontId="14" fillId="4" borderId="0" xfId="3" applyNumberFormat="1" applyFont="1" applyFill="1" applyBorder="1" applyAlignment="1" applyProtection="1">
      <alignment horizontal="center" vertical="center"/>
    </xf>
    <xf numFmtId="0" fontId="11" fillId="4" borderId="0" xfId="0" applyFont="1" applyFill="1" applyAlignment="1">
      <alignment horizontal="center"/>
    </xf>
    <xf numFmtId="0" fontId="21" fillId="28" borderId="5" xfId="0" applyFont="1" applyFill="1" applyBorder="1" applyAlignment="1">
      <alignment horizontal="left" vertical="center" wrapText="1"/>
    </xf>
    <xf numFmtId="0" fontId="15" fillId="28" borderId="5" xfId="0" applyFont="1" applyFill="1" applyBorder="1" applyAlignment="1">
      <alignment horizontal="center" vertical="center" wrapText="1"/>
    </xf>
    <xf numFmtId="0" fontId="11" fillId="28" borderId="5" xfId="0" applyFont="1" applyFill="1" applyBorder="1" applyAlignment="1" applyProtection="1">
      <alignment horizontal="center" vertical="center" wrapText="1"/>
      <protection locked="0"/>
    </xf>
    <xf numFmtId="0" fontId="17" fillId="14" borderId="16" xfId="0" applyFont="1" applyFill="1" applyBorder="1" applyAlignment="1">
      <alignment horizontal="left" vertical="center" wrapText="1"/>
    </xf>
    <xf numFmtId="42" fontId="14" fillId="20" borderId="5" xfId="0" applyNumberFormat="1" applyFont="1" applyFill="1" applyBorder="1" applyAlignment="1">
      <alignment horizontal="center" vertical="center"/>
    </xf>
    <xf numFmtId="164" fontId="24" fillId="20" borderId="5" xfId="3" applyNumberFormat="1" applyFont="1" applyFill="1" applyBorder="1" applyAlignment="1" applyProtection="1">
      <alignment horizontal="center" vertical="center" wrapText="1"/>
    </xf>
    <xf numFmtId="9" fontId="14" fillId="20" borderId="5" xfId="4" applyFont="1" applyFill="1" applyBorder="1" applyAlignment="1" applyProtection="1">
      <alignment horizontal="center" vertical="center"/>
    </xf>
    <xf numFmtId="164" fontId="14" fillId="20" borderId="5" xfId="3" applyNumberFormat="1" applyFont="1" applyFill="1" applyBorder="1" applyAlignment="1" applyProtection="1">
      <alignment horizontal="center" vertical="center"/>
    </xf>
    <xf numFmtId="0" fontId="21" fillId="28" borderId="7" xfId="0" applyFont="1" applyFill="1" applyBorder="1" applyAlignment="1">
      <alignment horizontal="center" vertical="center" wrapText="1"/>
    </xf>
    <xf numFmtId="0" fontId="21" fillId="28" borderId="5" xfId="0" applyFont="1" applyFill="1" applyBorder="1" applyAlignment="1">
      <alignment horizontal="center" vertical="center" wrapText="1"/>
    </xf>
    <xf numFmtId="164" fontId="24" fillId="4" borderId="16" xfId="3" applyNumberFormat="1" applyFont="1" applyFill="1" applyBorder="1" applyAlignment="1" applyProtection="1">
      <alignment horizontal="center" vertical="center" wrapText="1"/>
    </xf>
    <xf numFmtId="9" fontId="14" fillId="4" borderId="14" xfId="4" applyFont="1" applyFill="1" applyBorder="1" applyAlignment="1" applyProtection="1">
      <alignment horizontal="center" vertical="center"/>
    </xf>
    <xf numFmtId="42" fontId="14" fillId="4" borderId="14" xfId="0" applyNumberFormat="1" applyFont="1" applyFill="1" applyBorder="1" applyAlignment="1">
      <alignment horizontal="center" vertical="center"/>
    </xf>
    <xf numFmtId="164" fontId="14" fillId="4" borderId="14" xfId="3" applyNumberFormat="1" applyFont="1" applyFill="1" applyBorder="1" applyAlignment="1" applyProtection="1">
      <alignment horizontal="center" vertical="center"/>
    </xf>
    <xf numFmtId="0" fontId="14" fillId="14" borderId="20" xfId="0" applyFont="1" applyFill="1" applyBorder="1" applyAlignment="1">
      <alignment horizontal="center" vertical="center"/>
    </xf>
    <xf numFmtId="0" fontId="14" fillId="14" borderId="26" xfId="0" applyFont="1" applyFill="1" applyBorder="1" applyAlignment="1">
      <alignment horizontal="center" vertical="center"/>
    </xf>
    <xf numFmtId="164" fontId="14" fillId="4" borderId="21" xfId="3" applyNumberFormat="1" applyFont="1" applyFill="1" applyBorder="1" applyAlignment="1" applyProtection="1">
      <alignment horizontal="center" vertical="center"/>
      <protection locked="0"/>
    </xf>
    <xf numFmtId="164" fontId="14" fillId="4" borderId="16" xfId="3" applyNumberFormat="1" applyFont="1" applyFill="1" applyBorder="1" applyAlignment="1" applyProtection="1">
      <alignment horizontal="center" vertical="center"/>
      <protection locked="0"/>
    </xf>
    <xf numFmtId="0" fontId="14" fillId="4" borderId="20" xfId="0" applyFont="1" applyFill="1" applyBorder="1" applyAlignment="1" applyProtection="1">
      <alignment horizontal="center" vertical="center" wrapText="1"/>
      <protection locked="0"/>
    </xf>
    <xf numFmtId="0" fontId="14" fillId="4" borderId="16" xfId="0" applyFont="1" applyFill="1" applyBorder="1" applyAlignment="1" applyProtection="1">
      <alignment horizontal="center" vertical="center" wrapText="1"/>
      <protection locked="0"/>
    </xf>
    <xf numFmtId="0" fontId="14" fillId="14" borderId="40" xfId="0" applyFont="1" applyFill="1" applyBorder="1" applyAlignment="1">
      <alignment horizontal="center" vertical="center"/>
    </xf>
    <xf numFmtId="0" fontId="14" fillId="14" borderId="29" xfId="0" applyFont="1" applyFill="1" applyBorder="1" applyAlignment="1">
      <alignment horizontal="center" vertical="center"/>
    </xf>
    <xf numFmtId="0" fontId="17" fillId="14" borderId="30" xfId="0" applyFont="1" applyFill="1" applyBorder="1" applyAlignment="1">
      <alignment horizontal="left" vertical="center" wrapText="1"/>
    </xf>
    <xf numFmtId="0" fontId="7" fillId="4" borderId="30" xfId="0" applyFont="1" applyFill="1" applyBorder="1" applyAlignment="1">
      <alignment vertical="center" wrapText="1"/>
    </xf>
    <xf numFmtId="0" fontId="8" fillId="4" borderId="30" xfId="2" applyFont="1" applyFill="1" applyBorder="1" applyAlignment="1">
      <alignment horizontal="center" vertical="center" wrapText="1"/>
    </xf>
    <xf numFmtId="0" fontId="8" fillId="4" borderId="30" xfId="0" applyFont="1" applyFill="1" applyBorder="1" applyAlignment="1">
      <alignment horizontal="center" vertical="center"/>
    </xf>
    <xf numFmtId="0" fontId="8" fillId="4" borderId="41" xfId="0" applyFont="1" applyFill="1" applyBorder="1" applyAlignment="1">
      <alignment horizontal="center" vertical="center"/>
    </xf>
    <xf numFmtId="42" fontId="8" fillId="4" borderId="40" xfId="1" applyFont="1" applyFill="1" applyBorder="1" applyAlignment="1" applyProtection="1">
      <alignment horizontal="center" vertical="center" wrapText="1"/>
      <protection locked="0"/>
    </xf>
    <xf numFmtId="0" fontId="14" fillId="4" borderId="40" xfId="0" applyFont="1" applyFill="1" applyBorder="1" applyAlignment="1" applyProtection="1">
      <alignment horizontal="center" vertical="center"/>
      <protection locked="0"/>
    </xf>
    <xf numFmtId="0" fontId="14" fillId="4" borderId="41" xfId="0" applyFont="1" applyFill="1" applyBorder="1" applyAlignment="1" applyProtection="1">
      <alignment horizontal="center" vertical="center"/>
      <protection locked="0"/>
    </xf>
    <xf numFmtId="0" fontId="14" fillId="0" borderId="30" xfId="0" applyFont="1" applyBorder="1" applyAlignment="1" applyProtection="1">
      <alignment horizontal="center" vertical="center" wrapText="1"/>
      <protection locked="0"/>
    </xf>
    <xf numFmtId="0" fontId="14" fillId="0" borderId="41" xfId="0" applyFont="1" applyBorder="1" applyAlignment="1" applyProtection="1">
      <alignment horizontal="center" vertical="center" wrapText="1"/>
      <protection locked="0"/>
    </xf>
    <xf numFmtId="0" fontId="21" fillId="28" borderId="42" xfId="0" applyFont="1" applyFill="1" applyBorder="1" applyAlignment="1">
      <alignment horizontal="center" vertical="center" wrapText="1"/>
    </xf>
    <xf numFmtId="0" fontId="14" fillId="20" borderId="43" xfId="0" applyFont="1" applyFill="1" applyBorder="1" applyAlignment="1">
      <alignment horizontal="center" vertical="center"/>
    </xf>
    <xf numFmtId="0" fontId="21" fillId="28" borderId="43" xfId="0" applyFont="1" applyFill="1" applyBorder="1" applyAlignment="1">
      <alignment horizontal="center" vertical="center" wrapText="1"/>
    </xf>
    <xf numFmtId="0" fontId="21" fillId="28" borderId="43" xfId="0" applyFont="1" applyFill="1" applyBorder="1" applyAlignment="1">
      <alignment horizontal="left" vertical="center" wrapText="1"/>
    </xf>
    <xf numFmtId="0" fontId="15" fillId="28" borderId="43" xfId="0" applyFont="1" applyFill="1" applyBorder="1" applyAlignment="1">
      <alignment horizontal="center" vertical="center" wrapText="1"/>
    </xf>
    <xf numFmtId="42" fontId="8" fillId="20" borderId="43" xfId="1" applyFont="1" applyFill="1" applyBorder="1" applyAlignment="1" applyProtection="1">
      <alignment horizontal="center" vertical="center" wrapText="1"/>
      <protection locked="0"/>
    </xf>
    <xf numFmtId="0" fontId="11" fillId="28" borderId="43" xfId="0" applyFont="1" applyFill="1" applyBorder="1" applyAlignment="1" applyProtection="1">
      <alignment horizontal="center" vertical="center" wrapText="1"/>
      <protection locked="0"/>
    </xf>
    <xf numFmtId="42" fontId="14" fillId="20" borderId="43" xfId="0" applyNumberFormat="1" applyFont="1" applyFill="1" applyBorder="1" applyAlignment="1">
      <alignment horizontal="center" vertical="center"/>
    </xf>
    <xf numFmtId="164" fontId="24" fillId="20" borderId="43" xfId="3" applyNumberFormat="1" applyFont="1" applyFill="1" applyBorder="1" applyAlignment="1" applyProtection="1">
      <alignment horizontal="center" vertical="center" wrapText="1"/>
    </xf>
    <xf numFmtId="9" fontId="14" fillId="20" borderId="43" xfId="4" applyFont="1" applyFill="1" applyBorder="1" applyAlignment="1" applyProtection="1">
      <alignment horizontal="center" vertical="center"/>
    </xf>
    <xf numFmtId="164" fontId="14" fillId="20" borderId="43" xfId="3" applyNumberFormat="1" applyFont="1" applyFill="1" applyBorder="1" applyAlignment="1" applyProtection="1">
      <alignment horizontal="center" vertical="center"/>
    </xf>
    <xf numFmtId="0" fontId="21" fillId="28" borderId="34" xfId="0" applyFont="1" applyFill="1" applyBorder="1" applyAlignment="1">
      <alignment horizontal="center" vertical="center" wrapText="1"/>
    </xf>
    <xf numFmtId="0" fontId="14" fillId="20" borderId="39" xfId="0" applyFont="1" applyFill="1" applyBorder="1" applyAlignment="1">
      <alignment horizontal="center" vertical="center"/>
    </xf>
    <xf numFmtId="0" fontId="21" fillId="28" borderId="39" xfId="0" applyFont="1" applyFill="1" applyBorder="1" applyAlignment="1">
      <alignment horizontal="center" vertical="center" wrapText="1"/>
    </xf>
    <xf numFmtId="0" fontId="21" fillId="28" borderId="39" xfId="0" applyFont="1" applyFill="1" applyBorder="1" applyAlignment="1">
      <alignment horizontal="left" vertical="center" wrapText="1"/>
    </xf>
    <xf numFmtId="0" fontId="15" fillId="28" borderId="39" xfId="0" applyFont="1" applyFill="1" applyBorder="1" applyAlignment="1">
      <alignment horizontal="center" vertical="center" wrapText="1"/>
    </xf>
    <xf numFmtId="42" fontId="8" fillId="20" borderId="39" xfId="1" applyFont="1" applyFill="1" applyBorder="1" applyAlignment="1" applyProtection="1">
      <alignment horizontal="center" vertical="center" wrapText="1"/>
      <protection locked="0"/>
    </xf>
    <xf numFmtId="0" fontId="11" fillId="28" borderId="39" xfId="0" applyFont="1" applyFill="1" applyBorder="1" applyAlignment="1" applyProtection="1">
      <alignment horizontal="center" vertical="center" wrapText="1"/>
      <protection locked="0"/>
    </xf>
    <xf numFmtId="42" fontId="14" fillId="20" borderId="39" xfId="0" applyNumberFormat="1" applyFont="1" applyFill="1" applyBorder="1" applyAlignment="1">
      <alignment horizontal="center" vertical="center"/>
    </xf>
    <xf numFmtId="164" fontId="24" fillId="20" borderId="39" xfId="3" applyNumberFormat="1" applyFont="1" applyFill="1" applyBorder="1" applyAlignment="1" applyProtection="1">
      <alignment horizontal="center" vertical="center" wrapText="1"/>
    </xf>
    <xf numFmtId="9" fontId="14" fillId="20" borderId="39" xfId="4" applyFont="1" applyFill="1" applyBorder="1" applyAlignment="1" applyProtection="1">
      <alignment horizontal="center" vertical="center"/>
    </xf>
    <xf numFmtId="164" fontId="14" fillId="20" borderId="39" xfId="3" applyNumberFormat="1" applyFont="1" applyFill="1" applyBorder="1" applyAlignment="1" applyProtection="1">
      <alignment horizontal="center" vertical="center"/>
    </xf>
    <xf numFmtId="0" fontId="14" fillId="20" borderId="5" xfId="0" applyFont="1" applyFill="1" applyBorder="1" applyAlignment="1">
      <alignment horizontal="center" vertical="center"/>
    </xf>
    <xf numFmtId="0" fontId="14" fillId="4" borderId="29" xfId="0" applyFont="1" applyFill="1" applyBorder="1" applyAlignment="1">
      <alignment horizontal="center" vertical="center"/>
    </xf>
    <xf numFmtId="42" fontId="8" fillId="4" borderId="41" xfId="1" applyFont="1" applyFill="1" applyBorder="1" applyAlignment="1" applyProtection="1">
      <alignment horizontal="center" vertical="center" wrapText="1"/>
      <protection locked="0"/>
    </xf>
    <xf numFmtId="42" fontId="14" fillId="0" borderId="40" xfId="0" applyNumberFormat="1" applyFont="1" applyBorder="1" applyAlignment="1">
      <alignment horizontal="center" vertical="center"/>
    </xf>
    <xf numFmtId="42" fontId="14" fillId="0" borderId="29" xfId="0" applyNumberFormat="1" applyFont="1" applyBorder="1" applyAlignment="1">
      <alignment horizontal="center" vertical="center"/>
    </xf>
    <xf numFmtId="9" fontId="14" fillId="0" borderId="30" xfId="4" applyFont="1" applyBorder="1" applyAlignment="1" applyProtection="1">
      <alignment horizontal="center" vertical="center"/>
    </xf>
    <xf numFmtId="42" fontId="14" fillId="0" borderId="30" xfId="0" applyNumberFormat="1" applyFont="1" applyBorder="1" applyAlignment="1">
      <alignment horizontal="center" vertical="center"/>
    </xf>
    <xf numFmtId="164" fontId="14" fillId="0" borderId="30" xfId="3" applyNumberFormat="1" applyFont="1" applyBorder="1" applyAlignment="1" applyProtection="1">
      <alignment horizontal="center" vertical="center"/>
    </xf>
    <xf numFmtId="9" fontId="14" fillId="0" borderId="41" xfId="4" applyFont="1" applyBorder="1" applyAlignment="1" applyProtection="1">
      <alignment horizontal="center" vertical="center"/>
    </xf>
    <xf numFmtId="0" fontId="28" fillId="0" borderId="30" xfId="0" applyFont="1" applyBorder="1" applyAlignment="1">
      <alignment horizontal="center" vertical="center" wrapText="1"/>
    </xf>
    <xf numFmtId="0" fontId="14" fillId="16" borderId="22" xfId="0" applyFont="1" applyFill="1" applyBorder="1" applyAlignment="1">
      <alignment horizontal="center" vertical="center"/>
    </xf>
    <xf numFmtId="0" fontId="14" fillId="16" borderId="15" xfId="0" applyFont="1" applyFill="1" applyBorder="1" applyAlignment="1">
      <alignment horizontal="center" vertical="center"/>
    </xf>
    <xf numFmtId="0" fontId="22" fillId="16" borderId="45" xfId="0" applyFont="1" applyFill="1" applyBorder="1" applyAlignment="1">
      <alignment horizontal="left" vertical="center" wrapText="1"/>
    </xf>
    <xf numFmtId="0" fontId="28" fillId="0" borderId="15" xfId="0" applyFont="1" applyBorder="1" applyAlignment="1">
      <alignment horizontal="center" vertical="center" wrapText="1"/>
    </xf>
    <xf numFmtId="0" fontId="22" fillId="16" borderId="46" xfId="0" applyFont="1" applyFill="1" applyBorder="1" applyAlignment="1">
      <alignment horizontal="left" vertical="center" wrapText="1"/>
    </xf>
    <xf numFmtId="0" fontId="22" fillId="0" borderId="47" xfId="0" applyFont="1" applyBorder="1" applyAlignment="1">
      <alignment horizontal="center" vertical="center"/>
    </xf>
    <xf numFmtId="0" fontId="14" fillId="16" borderId="16" xfId="0" applyFont="1" applyFill="1" applyBorder="1" applyAlignment="1">
      <alignment horizontal="center" vertical="center"/>
    </xf>
    <xf numFmtId="0" fontId="22" fillId="16" borderId="31" xfId="0" applyFont="1" applyFill="1" applyBorder="1" applyAlignment="1">
      <alignment horizontal="left" vertical="center" wrapText="1"/>
    </xf>
    <xf numFmtId="0" fontId="14" fillId="21" borderId="5" xfId="0" applyFont="1" applyFill="1" applyBorder="1" applyAlignment="1">
      <alignment horizontal="center" vertical="center"/>
    </xf>
    <xf numFmtId="42" fontId="14" fillId="21" borderId="5" xfId="0" applyNumberFormat="1" applyFont="1" applyFill="1" applyBorder="1" applyAlignment="1">
      <alignment horizontal="center" vertical="center"/>
    </xf>
    <xf numFmtId="164" fontId="24" fillId="21" borderId="5" xfId="3" applyNumberFormat="1" applyFont="1" applyFill="1" applyBorder="1" applyAlignment="1" applyProtection="1">
      <alignment horizontal="center" vertical="center" wrapText="1"/>
    </xf>
    <xf numFmtId="9" fontId="14" fillId="21" borderId="5" xfId="4" applyFont="1" applyFill="1" applyBorder="1" applyAlignment="1" applyProtection="1">
      <alignment horizontal="center" vertical="center"/>
    </xf>
    <xf numFmtId="164" fontId="14" fillId="21" borderId="5" xfId="3" applyNumberFormat="1" applyFont="1" applyFill="1" applyBorder="1" applyAlignment="1" applyProtection="1">
      <alignment horizontal="center" vertical="center"/>
    </xf>
    <xf numFmtId="0" fontId="21" fillId="15" borderId="42" xfId="0" applyFont="1" applyFill="1" applyBorder="1" applyAlignment="1">
      <alignment horizontal="center" vertical="center" wrapText="1"/>
    </xf>
    <xf numFmtId="0" fontId="14" fillId="21" borderId="43" xfId="0" applyFont="1" applyFill="1" applyBorder="1" applyAlignment="1">
      <alignment horizontal="center" vertical="center"/>
    </xf>
    <xf numFmtId="0" fontId="21" fillId="15" borderId="43" xfId="0" applyFont="1" applyFill="1" applyBorder="1" applyAlignment="1">
      <alignment horizontal="center" vertical="center" wrapText="1"/>
    </xf>
    <xf numFmtId="0" fontId="21" fillId="15" borderId="43" xfId="0" applyFont="1" applyFill="1" applyBorder="1" applyAlignment="1">
      <alignment horizontal="left" vertical="center" wrapText="1"/>
    </xf>
    <xf numFmtId="0" fontId="15" fillId="15" borderId="43" xfId="0" applyFont="1" applyFill="1" applyBorder="1" applyAlignment="1">
      <alignment horizontal="center" vertical="center" wrapText="1"/>
    </xf>
    <xf numFmtId="42" fontId="14" fillId="21" borderId="43" xfId="0" applyNumberFormat="1" applyFont="1" applyFill="1" applyBorder="1" applyAlignment="1">
      <alignment horizontal="center" vertical="center"/>
    </xf>
    <xf numFmtId="164" fontId="24" fillId="21" borderId="43" xfId="3" applyNumberFormat="1" applyFont="1" applyFill="1" applyBorder="1" applyAlignment="1" applyProtection="1">
      <alignment horizontal="center" vertical="center" wrapText="1"/>
    </xf>
    <xf numFmtId="9" fontId="14" fillId="21" borderId="43" xfId="4" applyFont="1" applyFill="1" applyBorder="1" applyAlignment="1" applyProtection="1">
      <alignment horizontal="center" vertical="center"/>
    </xf>
    <xf numFmtId="164" fontId="14" fillId="21" borderId="43" xfId="3" applyNumberFormat="1" applyFont="1" applyFill="1" applyBorder="1" applyAlignment="1" applyProtection="1">
      <alignment horizontal="center" vertical="center"/>
    </xf>
    <xf numFmtId="0" fontId="21" fillId="15" borderId="34" xfId="0" applyFont="1" applyFill="1" applyBorder="1" applyAlignment="1">
      <alignment horizontal="center" vertical="center" wrapText="1"/>
    </xf>
    <xf numFmtId="0" fontId="14" fillId="21" borderId="39" xfId="0" applyFont="1" applyFill="1" applyBorder="1" applyAlignment="1">
      <alignment horizontal="center" vertical="center"/>
    </xf>
    <xf numFmtId="0" fontId="21" fillId="15" borderId="39" xfId="0" applyFont="1" applyFill="1" applyBorder="1" applyAlignment="1">
      <alignment horizontal="center" vertical="center" wrapText="1"/>
    </xf>
    <xf numFmtId="0" fontId="21" fillId="15" borderId="39" xfId="0" applyFont="1" applyFill="1" applyBorder="1" applyAlignment="1">
      <alignment horizontal="left" vertical="center" wrapText="1"/>
    </xf>
    <xf numFmtId="0" fontId="15" fillId="15" borderId="39" xfId="0" applyFont="1" applyFill="1" applyBorder="1" applyAlignment="1">
      <alignment horizontal="center" vertical="center" wrapText="1"/>
    </xf>
    <xf numFmtId="42" fontId="14" fillId="21" borderId="39" xfId="0" applyNumberFormat="1" applyFont="1" applyFill="1" applyBorder="1" applyAlignment="1">
      <alignment horizontal="center" vertical="center"/>
    </xf>
    <xf numFmtId="164" fontId="24" fillId="21" borderId="39" xfId="3" applyNumberFormat="1" applyFont="1" applyFill="1" applyBorder="1" applyAlignment="1" applyProtection="1">
      <alignment horizontal="center" vertical="center" wrapText="1"/>
    </xf>
    <xf numFmtId="9" fontId="14" fillId="21" borderId="39" xfId="4" applyFont="1" applyFill="1" applyBorder="1" applyAlignment="1" applyProtection="1">
      <alignment horizontal="center" vertical="center"/>
    </xf>
    <xf numFmtId="164" fontId="14" fillId="21" borderId="39" xfId="3" applyNumberFormat="1" applyFont="1" applyFill="1" applyBorder="1" applyAlignment="1" applyProtection="1">
      <alignment horizontal="center" vertical="center"/>
    </xf>
    <xf numFmtId="0" fontId="14" fillId="4" borderId="0" xfId="0" applyFont="1" applyFill="1" applyAlignment="1" applyProtection="1">
      <alignment horizontal="center"/>
      <protection locked="0"/>
    </xf>
    <xf numFmtId="165" fontId="14" fillId="4" borderId="14" xfId="0" applyNumberFormat="1" applyFont="1" applyFill="1" applyBorder="1" applyAlignment="1" applyProtection="1">
      <alignment horizontal="center" vertical="center"/>
      <protection locked="0"/>
    </xf>
    <xf numFmtId="165" fontId="14" fillId="4" borderId="15" xfId="0" applyNumberFormat="1" applyFont="1" applyFill="1" applyBorder="1" applyAlignment="1" applyProtection="1">
      <alignment horizontal="center" vertical="center"/>
      <protection locked="0"/>
    </xf>
    <xf numFmtId="42" fontId="14" fillId="4" borderId="24" xfId="0" applyNumberFormat="1" applyFont="1" applyFill="1" applyBorder="1" applyAlignment="1">
      <alignment horizontal="center" vertical="center"/>
    </xf>
    <xf numFmtId="164" fontId="24" fillId="4" borderId="30" xfId="3" applyNumberFormat="1" applyFont="1" applyFill="1" applyBorder="1" applyAlignment="1" applyProtection="1">
      <alignment horizontal="center" vertical="center" wrapText="1"/>
    </xf>
    <xf numFmtId="9" fontId="14" fillId="4" borderId="15" xfId="4" applyFont="1" applyFill="1" applyBorder="1" applyAlignment="1" applyProtection="1">
      <alignment horizontal="center" vertical="center"/>
    </xf>
    <xf numFmtId="42" fontId="14" fillId="4" borderId="15" xfId="0" applyNumberFormat="1" applyFont="1" applyFill="1" applyBorder="1" applyAlignment="1">
      <alignment horizontal="center" vertical="center"/>
    </xf>
    <xf numFmtId="164" fontId="14" fillId="4" borderId="15" xfId="3" applyNumberFormat="1" applyFont="1" applyFill="1" applyBorder="1" applyAlignment="1" applyProtection="1">
      <alignment horizontal="center" vertical="center"/>
    </xf>
    <xf numFmtId="9" fontId="14" fillId="4" borderId="23" xfId="4" applyFont="1" applyFill="1" applyBorder="1" applyAlignment="1" applyProtection="1">
      <alignment horizontal="center" vertical="center"/>
    </xf>
    <xf numFmtId="0" fontId="28" fillId="4" borderId="14" xfId="0" applyFont="1" applyFill="1" applyBorder="1" applyAlignment="1">
      <alignment horizontal="center" vertical="center" wrapText="1"/>
    </xf>
    <xf numFmtId="42" fontId="7" fillId="4" borderId="10" xfId="1" applyFont="1" applyFill="1" applyBorder="1" applyAlignment="1" applyProtection="1">
      <alignment horizontal="center" vertical="center" wrapText="1"/>
      <protection locked="0"/>
    </xf>
    <xf numFmtId="42" fontId="14" fillId="4" borderId="22" xfId="0" applyNumberFormat="1" applyFont="1" applyFill="1" applyBorder="1" applyAlignment="1">
      <alignment horizontal="center" vertical="center"/>
    </xf>
    <xf numFmtId="42" fontId="14" fillId="4" borderId="20" xfId="0" applyNumberFormat="1" applyFont="1" applyFill="1" applyBorder="1" applyAlignment="1">
      <alignment horizontal="center" vertical="center"/>
    </xf>
    <xf numFmtId="42" fontId="14" fillId="4" borderId="26" xfId="0" applyNumberFormat="1" applyFont="1" applyFill="1" applyBorder="1" applyAlignment="1">
      <alignment horizontal="center" vertical="center"/>
    </xf>
    <xf numFmtId="9" fontId="14" fillId="4" borderId="16" xfId="4" applyFont="1" applyFill="1" applyBorder="1" applyAlignment="1" applyProtection="1">
      <alignment horizontal="center" vertical="center"/>
    </xf>
    <xf numFmtId="42" fontId="14" fillId="4" borderId="16" xfId="0" applyNumberFormat="1" applyFont="1" applyFill="1" applyBorder="1" applyAlignment="1">
      <alignment horizontal="center" vertical="center"/>
    </xf>
    <xf numFmtId="164" fontId="14" fillId="4" borderId="16" xfId="3" applyNumberFormat="1" applyFont="1" applyFill="1" applyBorder="1" applyAlignment="1" applyProtection="1">
      <alignment horizontal="center" vertical="center"/>
    </xf>
    <xf numFmtId="9" fontId="14" fillId="4" borderId="21" xfId="4" applyFont="1" applyFill="1" applyBorder="1" applyAlignment="1" applyProtection="1">
      <alignment horizontal="center" vertical="center"/>
    </xf>
    <xf numFmtId="42" fontId="7" fillId="8" borderId="10" xfId="0" applyNumberFormat="1" applyFont="1" applyFill="1" applyBorder="1" applyAlignment="1" applyProtection="1">
      <alignment horizontal="center" vertical="center" wrapText="1"/>
      <protection locked="0"/>
    </xf>
    <xf numFmtId="0" fontId="28" fillId="4" borderId="16" xfId="0" applyFont="1" applyFill="1" applyBorder="1" applyAlignment="1">
      <alignment horizontal="center" vertical="center" wrapText="1"/>
    </xf>
    <xf numFmtId="0" fontId="14" fillId="4" borderId="21" xfId="0" applyFont="1" applyFill="1" applyBorder="1" applyAlignment="1" applyProtection="1">
      <alignment horizontal="center" vertical="center" wrapText="1"/>
      <protection locked="0"/>
    </xf>
    <xf numFmtId="9" fontId="14" fillId="4" borderId="32" xfId="4" applyFont="1" applyFill="1" applyBorder="1" applyAlignment="1" applyProtection="1">
      <alignment horizontal="center" vertical="center"/>
    </xf>
    <xf numFmtId="42" fontId="22" fillId="4" borderId="10" xfId="5" applyNumberFormat="1" applyFont="1" applyFill="1" applyBorder="1" applyAlignment="1" applyProtection="1">
      <alignment horizontal="center" vertical="center" wrapText="1"/>
      <protection locked="0"/>
    </xf>
    <xf numFmtId="42" fontId="8" fillId="8" borderId="10" xfId="0" applyNumberFormat="1" applyFont="1" applyFill="1" applyBorder="1" applyAlignment="1" applyProtection="1">
      <alignment horizontal="center" vertical="center" wrapText="1"/>
      <protection locked="0"/>
    </xf>
    <xf numFmtId="42" fontId="8" fillId="8" borderId="20" xfId="0" applyNumberFormat="1" applyFont="1" applyFill="1" applyBorder="1" applyAlignment="1" applyProtection="1">
      <alignment horizontal="center" vertical="center" wrapText="1"/>
      <protection locked="0"/>
    </xf>
    <xf numFmtId="42" fontId="7" fillId="8" borderId="11" xfId="0" applyNumberFormat="1" applyFont="1" applyFill="1" applyBorder="1" applyAlignment="1" applyProtection="1">
      <alignment horizontal="center" vertical="center" wrapText="1"/>
      <protection locked="0"/>
    </xf>
    <xf numFmtId="42" fontId="8" fillId="4" borderId="12" xfId="1" applyFont="1" applyFill="1" applyBorder="1" applyAlignment="1" applyProtection="1">
      <alignment horizontal="center" vertical="center" wrapText="1"/>
      <protection locked="0"/>
    </xf>
    <xf numFmtId="0" fontId="14" fillId="11" borderId="15" xfId="0" applyFont="1" applyFill="1" applyBorder="1" applyAlignment="1">
      <alignment horizontal="center" vertical="center"/>
    </xf>
    <xf numFmtId="0" fontId="22" fillId="11" borderId="45" xfId="0" applyFont="1" applyFill="1" applyBorder="1" applyAlignment="1">
      <alignment horizontal="left" vertical="center" wrapText="1"/>
    </xf>
    <xf numFmtId="0" fontId="5" fillId="27" borderId="14" xfId="0" applyFont="1" applyFill="1" applyBorder="1" applyAlignment="1">
      <alignment horizontal="left" vertical="center" wrapText="1"/>
    </xf>
    <xf numFmtId="0" fontId="5" fillId="9" borderId="14" xfId="0" applyFont="1" applyFill="1" applyBorder="1" applyAlignment="1">
      <alignment horizontal="left" vertical="center" wrapText="1"/>
    </xf>
    <xf numFmtId="0" fontId="34" fillId="28" borderId="14" xfId="0" applyFont="1" applyFill="1" applyBorder="1" applyAlignment="1">
      <alignment horizontal="left" vertical="center" wrapText="1"/>
    </xf>
    <xf numFmtId="0" fontId="5" fillId="28" borderId="14" xfId="0" applyFont="1" applyFill="1" applyBorder="1" applyAlignment="1">
      <alignment horizontal="left" vertical="center" wrapText="1"/>
    </xf>
    <xf numFmtId="0" fontId="5" fillId="15" borderId="14" xfId="0" applyFont="1" applyFill="1" applyBorder="1" applyAlignment="1">
      <alignment horizontal="left" vertical="center" wrapText="1"/>
    </xf>
    <xf numFmtId="42" fontId="0" fillId="0" borderId="0" xfId="1" applyFont="1"/>
    <xf numFmtId="42" fontId="13" fillId="3" borderId="14" xfId="1" applyFont="1" applyFill="1" applyBorder="1" applyAlignment="1">
      <alignment horizontal="center" vertical="center" wrapText="1"/>
    </xf>
    <xf numFmtId="164" fontId="13" fillId="3" borderId="24" xfId="3" applyNumberFormat="1" applyFont="1" applyFill="1" applyBorder="1" applyAlignment="1">
      <alignment horizontal="center" vertical="center" wrapText="1"/>
    </xf>
    <xf numFmtId="0" fontId="5" fillId="30" borderId="14" xfId="0" applyFont="1" applyFill="1" applyBorder="1" applyAlignment="1">
      <alignment horizontal="left" vertical="center" wrapText="1"/>
    </xf>
    <xf numFmtId="42" fontId="0" fillId="0" borderId="14" xfId="0" applyNumberFormat="1" applyBorder="1"/>
    <xf numFmtId="42" fontId="0" fillId="18" borderId="14" xfId="0" applyNumberFormat="1" applyFill="1" applyBorder="1"/>
    <xf numFmtId="42" fontId="0" fillId="11" borderId="14" xfId="0" applyNumberFormat="1" applyFill="1" applyBorder="1"/>
    <xf numFmtId="42" fontId="0" fillId="29" borderId="14" xfId="0" applyNumberFormat="1" applyFill="1" applyBorder="1"/>
    <xf numFmtId="42" fontId="0" fillId="19" borderId="14" xfId="0" applyNumberFormat="1" applyFill="1" applyBorder="1"/>
    <xf numFmtId="42" fontId="0" fillId="17" borderId="14" xfId="0" applyNumberFormat="1" applyFill="1" applyBorder="1"/>
    <xf numFmtId="42" fontId="0" fillId="17" borderId="0" xfId="0" applyNumberFormat="1" applyFill="1"/>
    <xf numFmtId="42" fontId="0" fillId="20" borderId="14" xfId="0" applyNumberFormat="1" applyFill="1" applyBorder="1"/>
    <xf numFmtId="42" fontId="0" fillId="31" borderId="14" xfId="0" applyNumberFormat="1" applyFill="1" applyBorder="1"/>
    <xf numFmtId="42" fontId="0" fillId="21" borderId="14" xfId="0" applyNumberFormat="1" applyFill="1" applyBorder="1"/>
    <xf numFmtId="42" fontId="13" fillId="6" borderId="14" xfId="1" applyFont="1" applyFill="1" applyBorder="1" applyAlignment="1">
      <alignment horizontal="center" vertical="center" wrapText="1"/>
    </xf>
    <xf numFmtId="0" fontId="5" fillId="30" borderId="14" xfId="0" applyFont="1" applyFill="1" applyBorder="1" applyAlignment="1">
      <alignment horizontal="center" vertical="center" wrapText="1"/>
    </xf>
    <xf numFmtId="167" fontId="35" fillId="18" borderId="14" xfId="6" applyNumberFormat="1" applyFont="1" applyFill="1" applyBorder="1" applyAlignment="1">
      <alignment horizontal="center" vertical="center"/>
    </xf>
    <xf numFmtId="167" fontId="35" fillId="19" borderId="14" xfId="6" applyNumberFormat="1" applyFont="1" applyFill="1" applyBorder="1" applyAlignment="1">
      <alignment horizontal="center" vertical="center"/>
    </xf>
    <xf numFmtId="167" fontId="35" fillId="20" borderId="14" xfId="6" applyNumberFormat="1" applyFont="1" applyFill="1" applyBorder="1" applyAlignment="1">
      <alignment horizontal="center" vertical="center"/>
    </xf>
    <xf numFmtId="167" fontId="23" fillId="32" borderId="14" xfId="0" applyNumberFormat="1" applyFont="1" applyFill="1" applyBorder="1" applyAlignment="1">
      <alignment horizontal="center" vertical="center"/>
    </xf>
    <xf numFmtId="0" fontId="0" fillId="0" borderId="14" xfId="0" applyBorder="1" applyAlignment="1">
      <alignment horizontal="center" vertical="center"/>
    </xf>
    <xf numFmtId="42" fontId="0" fillId="0" borderId="14" xfId="0" applyNumberFormat="1" applyBorder="1" applyAlignment="1">
      <alignment horizontal="center" vertical="center"/>
    </xf>
    <xf numFmtId="42" fontId="0" fillId="0" borderId="0" xfId="0" applyNumberFormat="1" applyAlignment="1">
      <alignment horizontal="center" vertical="center"/>
    </xf>
    <xf numFmtId="0" fontId="0" fillId="18" borderId="14" xfId="0" applyFill="1" applyBorder="1" applyAlignment="1">
      <alignment horizontal="center" vertical="center"/>
    </xf>
    <xf numFmtId="167" fontId="0" fillId="0" borderId="14" xfId="0" applyNumberFormat="1" applyBorder="1" applyAlignment="1">
      <alignment horizontal="center" vertical="center"/>
    </xf>
    <xf numFmtId="0" fontId="0" fillId="19" borderId="14" xfId="0" applyFill="1" applyBorder="1" applyAlignment="1">
      <alignment horizontal="center" vertical="center"/>
    </xf>
    <xf numFmtId="0" fontId="0" fillId="20" borderId="14" xfId="0" applyFill="1" applyBorder="1" applyAlignment="1">
      <alignment horizontal="center" vertical="center"/>
    </xf>
    <xf numFmtId="0" fontId="0" fillId="21" borderId="14" xfId="0" applyFill="1" applyBorder="1" applyAlignment="1">
      <alignment horizontal="center" vertical="center"/>
    </xf>
    <xf numFmtId="0" fontId="0" fillId="33" borderId="14" xfId="0" applyFill="1" applyBorder="1" applyAlignment="1">
      <alignment horizontal="center" vertical="center"/>
    </xf>
    <xf numFmtId="42" fontId="0" fillId="33" borderId="14" xfId="0" applyNumberFormat="1" applyFill="1" applyBorder="1" applyAlignment="1">
      <alignment horizontal="center" vertical="center"/>
    </xf>
    <xf numFmtId="0" fontId="0" fillId="0" borderId="0" xfId="0" applyAlignment="1">
      <alignment horizontal="center" vertical="center"/>
    </xf>
    <xf numFmtId="42" fontId="13" fillId="4" borderId="0" xfId="1" applyFont="1" applyFill="1" applyBorder="1" applyAlignment="1">
      <alignment horizontal="center" vertical="center" wrapText="1"/>
    </xf>
    <xf numFmtId="42" fontId="0" fillId="4" borderId="0" xfId="0" applyNumberFormat="1" applyFill="1" applyAlignment="1">
      <alignment horizontal="center" vertical="center"/>
    </xf>
    <xf numFmtId="0" fontId="0" fillId="4" borderId="0" xfId="0" applyFill="1" applyAlignment="1">
      <alignment horizontal="center" vertical="center"/>
    </xf>
    <xf numFmtId="168" fontId="0" fillId="0" borderId="0" xfId="0" applyNumberFormat="1" applyAlignment="1">
      <alignment horizontal="center" vertical="center"/>
    </xf>
    <xf numFmtId="42" fontId="13" fillId="3" borderId="0" xfId="1" applyFont="1" applyFill="1" applyBorder="1" applyAlignment="1">
      <alignment horizontal="center" vertical="center" wrapText="1"/>
    </xf>
    <xf numFmtId="42" fontId="0" fillId="33" borderId="0" xfId="0" applyNumberFormat="1" applyFill="1" applyAlignment="1">
      <alignment horizontal="center" vertical="center"/>
    </xf>
    <xf numFmtId="164" fontId="13" fillId="34" borderId="14" xfId="3" applyNumberFormat="1" applyFont="1" applyFill="1" applyBorder="1" applyAlignment="1">
      <alignment horizontal="center" vertical="center" wrapText="1"/>
    </xf>
    <xf numFmtId="42" fontId="0" fillId="34" borderId="14" xfId="0" applyNumberFormat="1" applyFill="1" applyBorder="1" applyAlignment="1">
      <alignment horizontal="center" vertical="center"/>
    </xf>
    <xf numFmtId="42" fontId="0" fillId="34" borderId="0" xfId="0" applyNumberFormat="1" applyFill="1" applyAlignment="1">
      <alignment horizontal="center" vertical="center"/>
    </xf>
    <xf numFmtId="42" fontId="0" fillId="35" borderId="0" xfId="0" applyNumberFormat="1" applyFill="1" applyAlignment="1">
      <alignment horizontal="center" vertical="center"/>
    </xf>
    <xf numFmtId="9" fontId="0" fillId="0" borderId="0" xfId="0" applyNumberFormat="1" applyAlignment="1">
      <alignment horizontal="center" vertical="center"/>
    </xf>
    <xf numFmtId="0" fontId="14" fillId="36" borderId="18" xfId="0" applyFont="1" applyFill="1" applyBorder="1" applyAlignment="1">
      <alignment horizontal="center" vertical="center"/>
    </xf>
    <xf numFmtId="0" fontId="0" fillId="16" borderId="27" xfId="0" applyFill="1" applyBorder="1" applyAlignment="1">
      <alignment horizontal="left" vertical="center" wrapText="1"/>
    </xf>
    <xf numFmtId="42" fontId="8" fillId="37" borderId="12" xfId="1" applyFont="1" applyFill="1" applyBorder="1" applyAlignment="1" applyProtection="1">
      <alignment horizontal="center" vertical="center" wrapText="1"/>
      <protection locked="0"/>
    </xf>
    <xf numFmtId="0" fontId="14" fillId="37" borderId="0" xfId="0" applyFont="1" applyFill="1" applyAlignment="1">
      <alignment horizontal="center"/>
    </xf>
    <xf numFmtId="0" fontId="7" fillId="4" borderId="14" xfId="0" applyFont="1" applyFill="1" applyBorder="1" applyAlignment="1">
      <alignment vertical="center"/>
    </xf>
    <xf numFmtId="0" fontId="10" fillId="4" borderId="14" xfId="0" applyFont="1" applyFill="1" applyBorder="1" applyAlignment="1">
      <alignment vertical="center"/>
    </xf>
    <xf numFmtId="0" fontId="13" fillId="0" borderId="19" xfId="0" applyFont="1" applyBorder="1" applyAlignment="1">
      <alignment vertical="center" wrapText="1"/>
    </xf>
    <xf numFmtId="0" fontId="9" fillId="4" borderId="17" xfId="0" applyFont="1" applyFill="1" applyBorder="1" applyAlignment="1">
      <alignment vertical="center" wrapText="1"/>
    </xf>
    <xf numFmtId="0" fontId="13" fillId="4" borderId="14" xfId="0" applyFont="1" applyFill="1" applyBorder="1" applyAlignment="1">
      <alignment vertical="center" wrapText="1"/>
    </xf>
    <xf numFmtId="0" fontId="5" fillId="27" borderId="5" xfId="0" applyFont="1" applyFill="1" applyBorder="1" applyAlignment="1">
      <alignment vertical="center" wrapText="1"/>
    </xf>
    <xf numFmtId="0" fontId="8" fillId="0" borderId="16" xfId="0" applyFont="1" applyBorder="1" applyAlignment="1">
      <alignment vertical="center" wrapText="1"/>
    </xf>
    <xf numFmtId="0" fontId="8" fillId="0" borderId="14" xfId="0" applyFont="1" applyBorder="1" applyAlignment="1">
      <alignment vertical="center" wrapText="1"/>
    </xf>
    <xf numFmtId="0" fontId="7" fillId="8" borderId="14" xfId="0" applyFont="1" applyFill="1" applyBorder="1" applyAlignment="1">
      <alignment vertical="center" wrapText="1"/>
    </xf>
    <xf numFmtId="0" fontId="8" fillId="8" borderId="14" xfId="0" applyFont="1" applyFill="1" applyBorder="1" applyAlignment="1">
      <alignment vertical="center" wrapText="1"/>
    </xf>
    <xf numFmtId="0" fontId="17" fillId="0" borderId="25" xfId="0" applyFont="1" applyBorder="1" applyAlignment="1">
      <alignment vertical="center" wrapText="1"/>
    </xf>
    <xf numFmtId="0" fontId="7" fillId="10" borderId="14" xfId="0" applyFont="1" applyFill="1" applyBorder="1" applyAlignment="1">
      <alignment vertical="center" wrapText="1"/>
    </xf>
    <xf numFmtId="0" fontId="8" fillId="4" borderId="14" xfId="0" applyFont="1" applyFill="1" applyBorder="1" applyAlignment="1">
      <alignment vertical="center" wrapText="1"/>
    </xf>
    <xf numFmtId="0" fontId="5" fillId="9" borderId="5" xfId="0" applyFont="1" applyFill="1" applyBorder="1" applyAlignment="1">
      <alignment vertical="center" wrapText="1"/>
    </xf>
    <xf numFmtId="0" fontId="5" fillId="28" borderId="5" xfId="0" applyFont="1" applyFill="1" applyBorder="1" applyAlignment="1">
      <alignment vertical="center" wrapText="1"/>
    </xf>
    <xf numFmtId="0" fontId="5" fillId="28" borderId="43" xfId="0" applyFont="1" applyFill="1" applyBorder="1" applyAlignment="1">
      <alignment vertical="center" wrapText="1"/>
    </xf>
    <xf numFmtId="0" fontId="5" fillId="28" borderId="39" xfId="0" applyFont="1" applyFill="1" applyBorder="1" applyAlignment="1">
      <alignment vertical="center" wrapText="1"/>
    </xf>
    <xf numFmtId="0" fontId="7" fillId="10" borderId="16" xfId="0" applyFont="1" applyFill="1" applyBorder="1" applyAlignment="1">
      <alignment vertical="center" wrapText="1"/>
    </xf>
    <xf numFmtId="0" fontId="5" fillId="15" borderId="5" xfId="0" applyFont="1" applyFill="1" applyBorder="1" applyAlignment="1">
      <alignment vertical="center" wrapText="1"/>
    </xf>
    <xf numFmtId="0" fontId="5" fillId="15" borderId="43" xfId="0" applyFont="1" applyFill="1" applyBorder="1" applyAlignment="1">
      <alignment vertical="center" wrapText="1"/>
    </xf>
    <xf numFmtId="0" fontId="5" fillId="15" borderId="39" xfId="0" applyFont="1" applyFill="1" applyBorder="1" applyAlignment="1">
      <alignment vertical="center" wrapText="1"/>
    </xf>
    <xf numFmtId="0" fontId="14" fillId="0" borderId="0" xfId="0" applyFont="1" applyAlignment="1">
      <alignment vertical="center" wrapText="1"/>
    </xf>
    <xf numFmtId="164" fontId="13" fillId="6" borderId="10" xfId="3" applyNumberFormat="1" applyFont="1" applyFill="1" applyBorder="1" applyAlignment="1">
      <alignment horizontal="center" vertical="center" wrapText="1"/>
    </xf>
    <xf numFmtId="0" fontId="13" fillId="6" borderId="11" xfId="2" applyFont="1" applyFill="1" applyBorder="1" applyAlignment="1">
      <alignment horizontal="center" vertical="center" wrapText="1"/>
    </xf>
    <xf numFmtId="0" fontId="14" fillId="0" borderId="20" xfId="0" applyFont="1" applyBorder="1" applyAlignment="1" applyProtection="1">
      <alignment horizontal="center" vertical="center"/>
      <protection locked="0"/>
    </xf>
    <xf numFmtId="0" fontId="14" fillId="0" borderId="21" xfId="0" applyFont="1" applyBorder="1" applyAlignment="1" applyProtection="1">
      <alignment horizontal="center" vertical="center"/>
      <protection locked="0"/>
    </xf>
    <xf numFmtId="0" fontId="14" fillId="0" borderId="10" xfId="0" applyFont="1" applyBorder="1" applyAlignment="1" applyProtection="1">
      <alignment horizontal="center" vertical="center"/>
      <protection locked="0"/>
    </xf>
    <xf numFmtId="0" fontId="14" fillId="0" borderId="11" xfId="0" applyFont="1" applyBorder="1" applyAlignment="1" applyProtection="1">
      <alignment horizontal="center" vertical="center"/>
      <protection locked="0"/>
    </xf>
    <xf numFmtId="0" fontId="22" fillId="0" borderId="46" xfId="0" applyFont="1" applyBorder="1" applyAlignment="1">
      <alignment horizontal="center" vertical="center"/>
    </xf>
    <xf numFmtId="0" fontId="14" fillId="0" borderId="23" xfId="0" applyFont="1" applyBorder="1" applyAlignment="1" applyProtection="1">
      <alignment horizontal="center" vertical="center"/>
      <protection locked="0"/>
    </xf>
    <xf numFmtId="0" fontId="7" fillId="4" borderId="15"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7" fillId="4" borderId="30" xfId="0" applyFont="1" applyFill="1" applyBorder="1" applyAlignment="1">
      <alignment horizontal="center" vertical="center" wrapText="1"/>
    </xf>
    <xf numFmtId="0" fontId="14" fillId="0" borderId="40" xfId="0" applyFont="1" applyBorder="1" applyAlignment="1" applyProtection="1">
      <alignment horizontal="center" vertical="center"/>
      <protection locked="0"/>
    </xf>
    <xf numFmtId="0" fontId="14" fillId="0" borderId="41" xfId="0" applyFont="1" applyBorder="1" applyAlignment="1" applyProtection="1">
      <alignment horizontal="center" vertical="center"/>
      <protection locked="0"/>
    </xf>
    <xf numFmtId="0" fontId="14" fillId="0" borderId="22" xfId="0" applyFont="1" applyBorder="1" applyAlignment="1" applyProtection="1">
      <alignment horizontal="center" vertical="center"/>
      <protection locked="0"/>
    </xf>
    <xf numFmtId="0" fontId="22" fillId="0" borderId="25" xfId="0" applyFont="1" applyBorder="1" applyAlignment="1">
      <alignment horizontal="center" vertical="center"/>
    </xf>
    <xf numFmtId="0" fontId="23" fillId="0" borderId="25" xfId="0" applyFont="1" applyBorder="1" applyAlignment="1">
      <alignment horizontal="center" vertical="center" wrapText="1"/>
    </xf>
    <xf numFmtId="0" fontId="22" fillId="4" borderId="25" xfId="0" applyFont="1" applyFill="1" applyBorder="1" applyAlignment="1">
      <alignment horizontal="center" vertical="center"/>
    </xf>
    <xf numFmtId="164" fontId="31" fillId="22" borderId="8" xfId="0" applyNumberFormat="1" applyFont="1" applyFill="1" applyBorder="1" applyAlignment="1">
      <alignment horizontal="center" vertical="center" wrapText="1"/>
    </xf>
    <xf numFmtId="164" fontId="31" fillId="22" borderId="10" xfId="0" applyNumberFormat="1" applyFont="1" applyFill="1" applyBorder="1" applyAlignment="1">
      <alignment horizontal="center" vertical="center" wrapText="1"/>
    </xf>
    <xf numFmtId="164" fontId="31" fillId="22" borderId="12" xfId="0" applyNumberFormat="1" applyFont="1" applyFill="1" applyBorder="1" applyAlignment="1">
      <alignment horizontal="center" vertical="center" wrapText="1"/>
    </xf>
    <xf numFmtId="0" fontId="13" fillId="4" borderId="36" xfId="0" applyFont="1" applyFill="1" applyBorder="1" applyAlignment="1">
      <alignment vertical="center" wrapText="1"/>
    </xf>
    <xf numFmtId="0" fontId="13" fillId="4" borderId="26" xfId="0" applyFont="1" applyFill="1" applyBorder="1" applyAlignment="1">
      <alignment vertical="center" wrapText="1"/>
    </xf>
    <xf numFmtId="0" fontId="17" fillId="27" borderId="7" xfId="0" applyFont="1" applyFill="1" applyBorder="1" applyAlignment="1">
      <alignment horizontal="center" vertical="center" wrapText="1"/>
    </xf>
    <xf numFmtId="0" fontId="14" fillId="18" borderId="18" xfId="0" applyFont="1" applyFill="1" applyBorder="1" applyAlignment="1">
      <alignment horizontal="center" vertical="center"/>
    </xf>
    <xf numFmtId="0" fontId="17" fillId="27" borderId="5" xfId="0" applyFont="1" applyFill="1" applyBorder="1" applyAlignment="1">
      <alignment horizontal="center" vertical="center" wrapText="1"/>
    </xf>
    <xf numFmtId="0" fontId="17" fillId="27" borderId="38" xfId="0" applyFont="1" applyFill="1" applyBorder="1" applyAlignment="1">
      <alignment horizontal="center" vertical="center" wrapText="1"/>
    </xf>
    <xf numFmtId="0" fontId="17" fillId="11" borderId="16" xfId="0" applyFont="1" applyFill="1" applyBorder="1" applyAlignment="1">
      <alignment horizontal="left" vertical="center" wrapText="1"/>
    </xf>
    <xf numFmtId="0" fontId="8" fillId="4" borderId="16" xfId="0" applyFont="1" applyFill="1" applyBorder="1" applyAlignment="1">
      <alignment vertical="center" wrapText="1"/>
    </xf>
    <xf numFmtId="0" fontId="7" fillId="8" borderId="16" xfId="0" applyFont="1" applyFill="1" applyBorder="1" applyAlignment="1">
      <alignment horizontal="center" vertical="center"/>
    </xf>
    <xf numFmtId="0" fontId="7" fillId="4" borderId="21" xfId="0" applyFont="1" applyFill="1" applyBorder="1" applyAlignment="1">
      <alignment horizontal="center" vertical="center" wrapText="1"/>
    </xf>
    <xf numFmtId="166" fontId="8" fillId="4" borderId="48" xfId="0" applyNumberFormat="1" applyFont="1" applyFill="1" applyBorder="1" applyAlignment="1">
      <alignment horizontal="center" vertical="center" wrapText="1"/>
    </xf>
    <xf numFmtId="0" fontId="14" fillId="18" borderId="0" xfId="0" applyFont="1" applyFill="1" applyAlignment="1">
      <alignment horizontal="center" vertical="center"/>
    </xf>
    <xf numFmtId="0" fontId="7" fillId="4" borderId="15" xfId="0" applyFont="1" applyFill="1" applyBorder="1" applyAlignment="1">
      <alignment horizontal="center" vertical="center"/>
    </xf>
    <xf numFmtId="0" fontId="7" fillId="4" borderId="23" xfId="0" applyFont="1" applyFill="1" applyBorder="1" applyAlignment="1">
      <alignment horizontal="center" vertical="center" wrapText="1"/>
    </xf>
    <xf numFmtId="0" fontId="17" fillId="27" borderId="0" xfId="0" applyFont="1" applyFill="1" applyAlignment="1">
      <alignment horizontal="center" vertical="center" wrapText="1"/>
    </xf>
    <xf numFmtId="0" fontId="19" fillId="27" borderId="0" xfId="0" applyFont="1" applyFill="1" applyAlignment="1">
      <alignment horizontal="left" vertical="center" wrapText="1"/>
    </xf>
    <xf numFmtId="0" fontId="5" fillId="27" borderId="0" xfId="0" applyFont="1" applyFill="1" applyAlignment="1">
      <alignment vertical="center" wrapText="1"/>
    </xf>
    <xf numFmtId="0" fontId="7" fillId="27" borderId="0" xfId="0" applyFont="1" applyFill="1" applyAlignment="1">
      <alignment horizontal="center" vertical="center" wrapText="1"/>
    </xf>
    <xf numFmtId="42" fontId="14" fillId="18" borderId="0" xfId="0" applyNumberFormat="1" applyFont="1" applyFill="1" applyAlignment="1">
      <alignment horizontal="center" vertical="center"/>
    </xf>
    <xf numFmtId="0" fontId="17" fillId="27" borderId="34" xfId="0" applyFont="1" applyFill="1" applyBorder="1" applyAlignment="1">
      <alignment horizontal="center" vertical="center" wrapText="1"/>
    </xf>
    <xf numFmtId="0" fontId="14" fillId="18" borderId="39" xfId="0" applyFont="1" applyFill="1" applyBorder="1" applyAlignment="1">
      <alignment horizontal="center" vertical="center"/>
    </xf>
    <xf numFmtId="0" fontId="17" fillId="27" borderId="39" xfId="0" applyFont="1" applyFill="1" applyBorder="1" applyAlignment="1">
      <alignment horizontal="center" vertical="center" wrapText="1"/>
    </xf>
    <xf numFmtId="0" fontId="19" fillId="27" borderId="39" xfId="0" applyFont="1" applyFill="1" applyBorder="1" applyAlignment="1">
      <alignment horizontal="left" vertical="center" wrapText="1"/>
    </xf>
    <xf numFmtId="0" fontId="5" fillId="27" borderId="39" xfId="0" applyFont="1" applyFill="1" applyBorder="1" applyAlignment="1">
      <alignment vertical="center" wrapText="1"/>
    </xf>
    <xf numFmtId="0" fontId="7" fillId="27" borderId="39" xfId="0" applyFont="1" applyFill="1" applyBorder="1" applyAlignment="1">
      <alignment horizontal="center" vertical="center" wrapText="1"/>
    </xf>
    <xf numFmtId="42" fontId="14" fillId="18" borderId="39" xfId="0" applyNumberFormat="1" applyFont="1" applyFill="1" applyBorder="1" applyAlignment="1">
      <alignment horizontal="center" vertical="center"/>
    </xf>
    <xf numFmtId="164" fontId="24" fillId="18" borderId="39" xfId="3" applyNumberFormat="1" applyFont="1" applyFill="1" applyBorder="1" applyAlignment="1" applyProtection="1">
      <alignment horizontal="center" vertical="center" wrapText="1"/>
    </xf>
    <xf numFmtId="9" fontId="14" fillId="18" borderId="39" xfId="4" applyFont="1" applyFill="1" applyBorder="1" applyAlignment="1" applyProtection="1">
      <alignment horizontal="center" vertical="center"/>
    </xf>
    <xf numFmtId="164" fontId="14" fillId="18" borderId="39" xfId="3" applyNumberFormat="1" applyFont="1" applyFill="1" applyBorder="1" applyAlignment="1" applyProtection="1">
      <alignment horizontal="center" vertical="center"/>
    </xf>
    <xf numFmtId="0" fontId="14" fillId="18" borderId="5" xfId="0" applyFont="1" applyFill="1" applyBorder="1" applyAlignment="1">
      <alignment horizontal="center" vertical="center"/>
    </xf>
    <xf numFmtId="0" fontId="19" fillId="27" borderId="5" xfId="0" applyFont="1" applyFill="1" applyBorder="1" applyAlignment="1">
      <alignment horizontal="left" vertical="center" wrapText="1"/>
    </xf>
    <xf numFmtId="0" fontId="14" fillId="19" borderId="18" xfId="0" applyFont="1" applyFill="1" applyBorder="1" applyAlignment="1">
      <alignment horizontal="center" vertical="center"/>
    </xf>
    <xf numFmtId="164" fontId="13" fillId="3" borderId="32" xfId="3" applyNumberFormat="1" applyFont="1" applyFill="1" applyBorder="1" applyAlignment="1">
      <alignment horizontal="center" vertical="center" wrapText="1"/>
    </xf>
    <xf numFmtId="42" fontId="0" fillId="0" borderId="32" xfId="0" applyNumberFormat="1" applyBorder="1"/>
    <xf numFmtId="42" fontId="0" fillId="18" borderId="32" xfId="0" applyNumberFormat="1" applyFill="1" applyBorder="1"/>
    <xf numFmtId="42" fontId="0" fillId="11" borderId="32" xfId="0" applyNumberFormat="1" applyFill="1" applyBorder="1"/>
    <xf numFmtId="42" fontId="0" fillId="19" borderId="32" xfId="0" applyNumberFormat="1" applyFill="1" applyBorder="1"/>
    <xf numFmtId="42" fontId="0" fillId="29" borderId="32" xfId="0" applyNumberFormat="1" applyFill="1" applyBorder="1"/>
    <xf numFmtId="42" fontId="0" fillId="20" borderId="32" xfId="0" applyNumberFormat="1" applyFill="1" applyBorder="1"/>
    <xf numFmtId="42" fontId="0" fillId="17" borderId="32" xfId="0" applyNumberFormat="1" applyFill="1" applyBorder="1"/>
    <xf numFmtId="42" fontId="0" fillId="21" borderId="32" xfId="0" applyNumberFormat="1" applyFill="1" applyBorder="1"/>
    <xf numFmtId="42" fontId="0" fillId="31" borderId="32" xfId="0" applyNumberFormat="1" applyFill="1" applyBorder="1"/>
    <xf numFmtId="42" fontId="13" fillId="3" borderId="24" xfId="1" applyFont="1" applyFill="1" applyBorder="1" applyAlignment="1">
      <alignment horizontal="center" vertical="center" wrapText="1"/>
    </xf>
    <xf numFmtId="42" fontId="0" fillId="0" borderId="18" xfId="1" applyFont="1" applyBorder="1"/>
    <xf numFmtId="42" fontId="0" fillId="18" borderId="18" xfId="0" applyNumberFormat="1" applyFill="1" applyBorder="1"/>
    <xf numFmtId="42" fontId="0" fillId="11" borderId="18" xfId="1" applyFont="1" applyFill="1" applyBorder="1"/>
    <xf numFmtId="42" fontId="0" fillId="11" borderId="18" xfId="0" applyNumberFormat="1" applyFill="1" applyBorder="1"/>
    <xf numFmtId="42" fontId="0" fillId="0" borderId="18" xfId="0" applyNumberFormat="1" applyBorder="1"/>
    <xf numFmtId="42" fontId="0" fillId="19" borderId="18" xfId="0" applyNumberFormat="1" applyFill="1" applyBorder="1"/>
    <xf numFmtId="42" fontId="0" fillId="29" borderId="18" xfId="0" applyNumberFormat="1" applyFill="1" applyBorder="1"/>
    <xf numFmtId="42" fontId="0" fillId="20" borderId="18" xfId="0" applyNumberFormat="1" applyFill="1" applyBorder="1"/>
    <xf numFmtId="42" fontId="0" fillId="17" borderId="18" xfId="0" applyNumberFormat="1" applyFill="1" applyBorder="1"/>
    <xf numFmtId="42" fontId="0" fillId="21" borderId="18" xfId="0" applyNumberFormat="1" applyFill="1" applyBorder="1"/>
    <xf numFmtId="42" fontId="0" fillId="31" borderId="18" xfId="0" applyNumberFormat="1" applyFill="1" applyBorder="1"/>
    <xf numFmtId="164" fontId="13" fillId="34" borderId="49" xfId="3" applyNumberFormat="1" applyFont="1" applyFill="1" applyBorder="1" applyAlignment="1">
      <alignment horizontal="center" vertical="center" wrapText="1"/>
    </xf>
    <xf numFmtId="42" fontId="0" fillId="0" borderId="50" xfId="0" applyNumberFormat="1" applyBorder="1"/>
    <xf numFmtId="42" fontId="0" fillId="18" borderId="50" xfId="0" applyNumberFormat="1" applyFill="1" applyBorder="1"/>
    <xf numFmtId="42" fontId="0" fillId="11" borderId="50" xfId="0" applyNumberFormat="1" applyFill="1" applyBorder="1"/>
    <xf numFmtId="42" fontId="0" fillId="19" borderId="50" xfId="0" applyNumberFormat="1" applyFill="1" applyBorder="1"/>
    <xf numFmtId="42" fontId="0" fillId="29" borderId="50" xfId="0" applyNumberFormat="1" applyFill="1" applyBorder="1"/>
    <xf numFmtId="42" fontId="0" fillId="20" borderId="50" xfId="0" applyNumberFormat="1" applyFill="1" applyBorder="1"/>
    <xf numFmtId="42" fontId="0" fillId="17" borderId="50" xfId="0" applyNumberFormat="1" applyFill="1" applyBorder="1"/>
    <xf numFmtId="42" fontId="0" fillId="17" borderId="51" xfId="0" applyNumberFormat="1" applyFill="1" applyBorder="1"/>
    <xf numFmtId="42" fontId="0" fillId="21" borderId="50" xfId="0" applyNumberFormat="1" applyFill="1" applyBorder="1"/>
    <xf numFmtId="42" fontId="0" fillId="31" borderId="50" xfId="0" applyNumberFormat="1" applyFill="1" applyBorder="1"/>
    <xf numFmtId="42" fontId="0" fillId="0" borderId="52" xfId="0" applyNumberFormat="1" applyBorder="1"/>
    <xf numFmtId="42" fontId="13" fillId="3" borderId="33" xfId="1" applyFont="1" applyFill="1" applyBorder="1" applyAlignment="1">
      <alignment horizontal="center" vertical="center" wrapText="1"/>
    </xf>
    <xf numFmtId="42" fontId="0" fillId="0" borderId="32" xfId="1" applyFont="1" applyBorder="1"/>
    <xf numFmtId="42" fontId="0" fillId="11" borderId="32" xfId="1" applyFont="1" applyFill="1" applyBorder="1"/>
    <xf numFmtId="42" fontId="13" fillId="3" borderId="53" xfId="1" applyFont="1" applyFill="1" applyBorder="1" applyAlignment="1">
      <alignment horizontal="center" vertical="center" wrapText="1"/>
    </xf>
    <xf numFmtId="42" fontId="0" fillId="0" borderId="50" xfId="1" applyFont="1" applyBorder="1"/>
    <xf numFmtId="42" fontId="0" fillId="11" borderId="50" xfId="1" applyFont="1" applyFill="1" applyBorder="1"/>
    <xf numFmtId="0" fontId="13" fillId="23" borderId="11" xfId="0" applyFont="1" applyFill="1" applyBorder="1" applyAlignment="1" applyProtection="1">
      <alignment horizontal="center" vertical="center" wrapText="1"/>
      <protection locked="0"/>
    </xf>
    <xf numFmtId="0" fontId="14" fillId="4" borderId="50" xfId="0" applyFont="1" applyFill="1" applyBorder="1" applyAlignment="1" applyProtection="1">
      <alignment horizontal="center" vertical="center" wrapText="1"/>
      <protection locked="0"/>
    </xf>
    <xf numFmtId="0" fontId="15" fillId="28" borderId="7" xfId="0" applyFont="1" applyFill="1" applyBorder="1" applyAlignment="1">
      <alignment horizontal="center" vertical="center" wrapText="1"/>
    </xf>
    <xf numFmtId="0" fontId="14" fillId="4" borderId="54" xfId="0" applyFont="1" applyFill="1" applyBorder="1" applyAlignment="1" applyProtection="1">
      <alignment horizontal="center" vertical="center" wrapText="1"/>
      <protection locked="0"/>
    </xf>
    <xf numFmtId="0" fontId="14" fillId="16" borderId="0" xfId="0" applyFont="1" applyFill="1" applyAlignment="1">
      <alignment horizontal="center" vertical="center"/>
    </xf>
    <xf numFmtId="0" fontId="25" fillId="0" borderId="0" xfId="0" applyFont="1" applyAlignment="1">
      <alignment vertical="center" wrapText="1"/>
    </xf>
    <xf numFmtId="44" fontId="14" fillId="4" borderId="0" xfId="3" applyFont="1" applyFill="1" applyBorder="1" applyAlignment="1">
      <alignment horizontal="center" vertical="center"/>
    </xf>
    <xf numFmtId="0" fontId="14" fillId="37" borderId="12" xfId="0" applyFont="1" applyFill="1" applyBorder="1" applyAlignment="1">
      <alignment horizontal="center" vertical="center"/>
    </xf>
    <xf numFmtId="0" fontId="14" fillId="4" borderId="56" xfId="0" applyFont="1" applyFill="1" applyBorder="1" applyAlignment="1">
      <alignment horizontal="center" vertical="center"/>
    </xf>
    <xf numFmtId="0" fontId="14" fillId="37" borderId="57" xfId="0" applyFont="1" applyFill="1" applyBorder="1" applyAlignment="1">
      <alignment horizontal="center" vertical="center"/>
    </xf>
    <xf numFmtId="0" fontId="22" fillId="37" borderId="58" xfId="0" applyFont="1" applyFill="1" applyBorder="1" applyAlignment="1">
      <alignment horizontal="left" vertical="center" wrapText="1"/>
    </xf>
    <xf numFmtId="0" fontId="7" fillId="37" borderId="57" xfId="0" applyFont="1" applyFill="1" applyBorder="1" applyAlignment="1">
      <alignment vertical="center" wrapText="1"/>
    </xf>
    <xf numFmtId="0" fontId="22" fillId="37" borderId="59" xfId="0" applyFont="1" applyFill="1" applyBorder="1" applyAlignment="1">
      <alignment horizontal="center" vertical="center"/>
    </xf>
    <xf numFmtId="0" fontId="8" fillId="37" borderId="57" xfId="2" applyFont="1" applyFill="1" applyBorder="1" applyAlignment="1">
      <alignment horizontal="center" vertical="center" wrapText="1"/>
    </xf>
    <xf numFmtId="0" fontId="8" fillId="37" borderId="57" xfId="0" applyFont="1" applyFill="1" applyBorder="1" applyAlignment="1">
      <alignment horizontal="center" vertical="center"/>
    </xf>
    <xf numFmtId="0" fontId="8" fillId="37" borderId="13" xfId="0" applyFont="1" applyFill="1" applyBorder="1" applyAlignment="1">
      <alignment horizontal="center" vertical="center"/>
    </xf>
    <xf numFmtId="164" fontId="14" fillId="37" borderId="13" xfId="3" applyNumberFormat="1" applyFont="1" applyFill="1" applyBorder="1" applyAlignment="1" applyProtection="1">
      <alignment horizontal="center" vertical="center"/>
      <protection locked="0"/>
    </xf>
    <xf numFmtId="164" fontId="14" fillId="37" borderId="57" xfId="3" applyNumberFormat="1" applyFont="1" applyFill="1" applyBorder="1" applyAlignment="1" applyProtection="1">
      <alignment horizontal="center" vertical="center"/>
      <protection locked="0"/>
    </xf>
    <xf numFmtId="42" fontId="14" fillId="37" borderId="12" xfId="0" applyNumberFormat="1" applyFont="1" applyFill="1" applyBorder="1" applyAlignment="1">
      <alignment horizontal="center" vertical="center"/>
    </xf>
    <xf numFmtId="42" fontId="14" fillId="37" borderId="55" xfId="0" applyNumberFormat="1" applyFont="1" applyFill="1" applyBorder="1" applyAlignment="1">
      <alignment horizontal="center" vertical="center"/>
    </xf>
    <xf numFmtId="164" fontId="24" fillId="37" borderId="60" xfId="3" applyNumberFormat="1" applyFont="1" applyFill="1" applyBorder="1" applyAlignment="1" applyProtection="1">
      <alignment horizontal="center" vertical="center" wrapText="1"/>
    </xf>
    <xf numFmtId="9" fontId="14" fillId="37" borderId="57" xfId="4" applyFont="1" applyFill="1" applyBorder="1" applyAlignment="1" applyProtection="1">
      <alignment horizontal="center" vertical="center"/>
    </xf>
    <xf numFmtId="42" fontId="14" fillId="37" borderId="57" xfId="0" applyNumberFormat="1" applyFont="1" applyFill="1" applyBorder="1" applyAlignment="1">
      <alignment horizontal="center" vertical="center"/>
    </xf>
    <xf numFmtId="164" fontId="14" fillId="37" borderId="57" xfId="3" applyNumberFormat="1" applyFont="1" applyFill="1" applyBorder="1" applyAlignment="1" applyProtection="1">
      <alignment horizontal="center" vertical="center"/>
    </xf>
    <xf numFmtId="9" fontId="14" fillId="37" borderId="13" xfId="4" applyFont="1" applyFill="1" applyBorder="1" applyAlignment="1" applyProtection="1">
      <alignment horizontal="center" vertical="center"/>
    </xf>
    <xf numFmtId="0" fontId="14" fillId="37" borderId="12" xfId="0" applyFont="1" applyFill="1" applyBorder="1" applyAlignment="1" applyProtection="1">
      <alignment horizontal="center" vertical="center" wrapText="1"/>
      <protection locked="0"/>
    </xf>
    <xf numFmtId="0" fontId="14" fillId="37" borderId="57" xfId="0" applyFont="1" applyFill="1" applyBorder="1" applyAlignment="1" applyProtection="1">
      <alignment horizontal="center" vertical="center" wrapText="1"/>
      <protection locked="0"/>
    </xf>
    <xf numFmtId="0" fontId="14" fillId="37" borderId="13" xfId="0" applyFont="1" applyFill="1" applyBorder="1" applyAlignment="1" applyProtection="1">
      <alignment horizontal="center" vertical="center" wrapText="1"/>
      <protection locked="0"/>
    </xf>
    <xf numFmtId="164" fontId="31" fillId="39" borderId="9" xfId="3" applyNumberFormat="1" applyFont="1" applyFill="1" applyBorder="1" applyAlignment="1">
      <alignment horizontal="center" vertical="center"/>
    </xf>
    <xf numFmtId="164" fontId="31" fillId="39" borderId="11" xfId="3" applyNumberFormat="1" applyFont="1" applyFill="1" applyBorder="1" applyAlignment="1">
      <alignment horizontal="center" vertical="center"/>
    </xf>
    <xf numFmtId="164" fontId="31" fillId="39" borderId="13" xfId="3" applyNumberFormat="1" applyFont="1" applyFill="1" applyBorder="1" applyAlignment="1">
      <alignment horizontal="center" vertical="center"/>
    </xf>
    <xf numFmtId="0" fontId="0" fillId="39" borderId="14" xfId="0" applyFill="1" applyBorder="1" applyAlignment="1">
      <alignment horizontal="center" vertical="center"/>
    </xf>
    <xf numFmtId="167" fontId="0" fillId="0" borderId="0" xfId="0" applyNumberFormat="1"/>
    <xf numFmtId="167" fontId="0" fillId="22" borderId="0" xfId="0" applyNumberFormat="1" applyFill="1" applyAlignment="1">
      <alignment horizontal="center" vertical="center"/>
    </xf>
    <xf numFmtId="42" fontId="0" fillId="22" borderId="0" xfId="0" applyNumberFormat="1" applyFill="1" applyAlignment="1">
      <alignment horizontal="center" vertical="center"/>
    </xf>
    <xf numFmtId="0" fontId="14" fillId="4" borderId="14" xfId="0" applyFont="1" applyFill="1" applyBorder="1" applyAlignment="1">
      <alignment horizontal="center" vertical="center"/>
    </xf>
    <xf numFmtId="9" fontId="0" fillId="34" borderId="0" xfId="4" applyFont="1" applyFill="1" applyAlignment="1">
      <alignment horizontal="center" vertical="center"/>
    </xf>
    <xf numFmtId="0" fontId="22" fillId="0" borderId="0" xfId="0" applyFont="1" applyAlignment="1">
      <alignment horizontal="center" vertical="center"/>
    </xf>
    <xf numFmtId="0" fontId="22" fillId="4" borderId="27" xfId="0" applyFont="1" applyFill="1" applyBorder="1" applyAlignment="1">
      <alignment horizontal="left" vertical="center" wrapText="1"/>
    </xf>
    <xf numFmtId="0" fontId="0" fillId="4" borderId="0" xfId="0" applyFill="1"/>
    <xf numFmtId="0" fontId="17" fillId="8" borderId="14" xfId="0" applyFont="1" applyFill="1" applyBorder="1" applyAlignment="1">
      <alignment horizontal="left" vertical="center" wrapText="1"/>
    </xf>
    <xf numFmtId="0" fontId="17" fillId="8" borderId="14" xfId="0" applyFont="1" applyFill="1" applyBorder="1" applyAlignment="1">
      <alignment horizontal="center" vertical="center"/>
    </xf>
    <xf numFmtId="0" fontId="22" fillId="8" borderId="27" xfId="0" applyFont="1" applyFill="1" applyBorder="1" applyAlignment="1">
      <alignment horizontal="left" vertical="center" wrapText="1"/>
    </xf>
    <xf numFmtId="0" fontId="17" fillId="4" borderId="16" xfId="0" applyFont="1" applyFill="1" applyBorder="1" applyAlignment="1">
      <alignment horizontal="left" vertical="center" wrapText="1"/>
    </xf>
    <xf numFmtId="164" fontId="24" fillId="4" borderId="14" xfId="3" applyNumberFormat="1" applyFont="1" applyFill="1" applyBorder="1" applyAlignment="1" applyProtection="1">
      <alignment horizontal="center" vertical="center" wrapText="1"/>
    </xf>
    <xf numFmtId="0" fontId="13" fillId="4" borderId="43" xfId="0" applyFont="1" applyFill="1" applyBorder="1" applyAlignment="1">
      <alignment horizontal="center" vertical="center" wrapText="1"/>
    </xf>
    <xf numFmtId="0" fontId="13" fillId="4" borderId="0" xfId="0" applyFont="1" applyFill="1" applyAlignment="1">
      <alignment horizontal="center" vertical="center" wrapText="1"/>
    </xf>
    <xf numFmtId="0" fontId="13" fillId="4" borderId="37" xfId="0" applyFont="1" applyFill="1" applyBorder="1" applyAlignment="1">
      <alignment horizontal="center" vertical="center" wrapText="1"/>
    </xf>
    <xf numFmtId="0" fontId="13" fillId="4" borderId="61" xfId="0" applyFont="1" applyFill="1" applyBorder="1" applyAlignment="1">
      <alignment horizontal="center" vertical="center" wrapText="1"/>
    </xf>
    <xf numFmtId="0" fontId="13" fillId="4" borderId="62" xfId="0" applyFont="1" applyFill="1" applyBorder="1" applyAlignment="1">
      <alignment horizontal="center" vertical="center" wrapText="1"/>
    </xf>
    <xf numFmtId="0" fontId="13" fillId="4" borderId="20" xfId="0" applyFont="1" applyFill="1" applyBorder="1" applyAlignment="1">
      <alignment horizontal="center" vertical="center" wrapText="1"/>
    </xf>
    <xf numFmtId="9" fontId="13" fillId="2" borderId="1" xfId="4" applyFont="1" applyFill="1" applyBorder="1" applyAlignment="1">
      <alignment horizontal="center" vertical="center"/>
    </xf>
    <xf numFmtId="9" fontId="13" fillId="2" borderId="3" xfId="4" applyFont="1" applyFill="1" applyBorder="1" applyAlignment="1">
      <alignment horizontal="center" vertical="center"/>
    </xf>
    <xf numFmtId="9" fontId="13" fillId="2" borderId="2" xfId="4" applyFont="1" applyFill="1" applyBorder="1" applyAlignment="1">
      <alignment horizontal="center" vertical="center"/>
    </xf>
    <xf numFmtId="0" fontId="13" fillId="7" borderId="1" xfId="0" applyFont="1" applyFill="1" applyBorder="1" applyAlignment="1" applyProtection="1">
      <alignment horizontal="center" vertical="center" wrapText="1"/>
      <protection locked="0"/>
    </xf>
    <xf numFmtId="0" fontId="13" fillId="7" borderId="3" xfId="0" applyFont="1" applyFill="1" applyBorder="1" applyAlignment="1" applyProtection="1">
      <alignment horizontal="center" vertical="center" wrapText="1"/>
      <protection locked="0"/>
    </xf>
    <xf numFmtId="0" fontId="13" fillId="7" borderId="2" xfId="0" applyFont="1" applyFill="1" applyBorder="1" applyAlignment="1" applyProtection="1">
      <alignment horizontal="center" vertical="center" wrapText="1"/>
      <protection locked="0"/>
    </xf>
    <xf numFmtId="0" fontId="30" fillId="24" borderId="34" xfId="0" applyFont="1" applyFill="1" applyBorder="1" applyAlignment="1">
      <alignment horizontal="center" vertical="center"/>
    </xf>
    <xf numFmtId="0" fontId="30" fillId="24" borderId="35" xfId="0" applyFont="1" applyFill="1" applyBorder="1" applyAlignment="1">
      <alignment horizontal="center" vertical="center"/>
    </xf>
    <xf numFmtId="0" fontId="30" fillId="24" borderId="7" xfId="0" applyFont="1" applyFill="1" applyBorder="1" applyAlignment="1">
      <alignment horizontal="center" vertical="center"/>
    </xf>
    <xf numFmtId="0" fontId="30" fillId="24" borderId="6" xfId="0" applyFont="1" applyFill="1" applyBorder="1" applyAlignment="1">
      <alignment horizontal="center" vertical="center"/>
    </xf>
    <xf numFmtId="0" fontId="14" fillId="38" borderId="0" xfId="0" applyFont="1" applyFill="1" applyAlignment="1">
      <alignment horizontal="left" vertical="center" wrapText="1"/>
    </xf>
    <xf numFmtId="0" fontId="14" fillId="26" borderId="0" xfId="0" applyFont="1" applyFill="1" applyAlignment="1">
      <alignment horizontal="left" vertical="center" wrapText="1"/>
    </xf>
    <xf numFmtId="0" fontId="27" fillId="5" borderId="1" xfId="0" applyFont="1" applyFill="1" applyBorder="1" applyAlignment="1">
      <alignment horizontal="center" vertical="center"/>
    </xf>
    <xf numFmtId="0" fontId="27" fillId="5" borderId="2" xfId="0" applyFont="1" applyFill="1" applyBorder="1" applyAlignment="1">
      <alignment horizontal="center" vertical="center"/>
    </xf>
    <xf numFmtId="0" fontId="27" fillId="17" borderId="1" xfId="0" applyFont="1" applyFill="1" applyBorder="1" applyAlignment="1">
      <alignment horizontal="center" vertical="center"/>
    </xf>
    <xf numFmtId="0" fontId="27" fillId="17" borderId="2" xfId="0" applyFont="1" applyFill="1" applyBorder="1" applyAlignment="1">
      <alignment horizontal="center" vertical="center"/>
    </xf>
    <xf numFmtId="0" fontId="27" fillId="6" borderId="1" xfId="0" applyFont="1" applyFill="1" applyBorder="1" applyAlignment="1">
      <alignment horizontal="center" vertical="center"/>
    </xf>
    <xf numFmtId="0" fontId="27" fillId="6" borderId="2" xfId="0" applyFont="1" applyFill="1" applyBorder="1" applyAlignment="1">
      <alignment horizontal="center" vertical="center"/>
    </xf>
    <xf numFmtId="0" fontId="41" fillId="4" borderId="10" xfId="5" applyFont="1" applyFill="1" applyBorder="1" applyAlignment="1" applyProtection="1">
      <alignment horizontal="center" vertical="center" wrapText="1"/>
      <protection locked="0"/>
    </xf>
    <xf numFmtId="0" fontId="41" fillId="4" borderId="11" xfId="5" applyFont="1" applyFill="1" applyBorder="1" applyAlignment="1" applyProtection="1">
      <alignment horizontal="center" vertical="center" wrapText="1"/>
      <protection locked="0"/>
    </xf>
    <xf numFmtId="0" fontId="14" fillId="4" borderId="18" xfId="0" applyFont="1" applyFill="1" applyBorder="1" applyAlignment="1" applyProtection="1">
      <alignment horizontal="center" vertical="center" wrapText="1"/>
      <protection locked="0"/>
    </xf>
    <xf numFmtId="0" fontId="14" fillId="4" borderId="4" xfId="0" applyFont="1" applyFill="1" applyBorder="1" applyAlignment="1" applyProtection="1">
      <alignment horizontal="center" vertical="center" wrapText="1"/>
      <protection locked="0"/>
    </xf>
    <xf numFmtId="0" fontId="14" fillId="4" borderId="26" xfId="0" applyFont="1" applyFill="1" applyBorder="1" applyAlignment="1" applyProtection="1">
      <alignment horizontal="center" vertical="center" wrapText="1"/>
      <protection locked="0"/>
    </xf>
    <xf numFmtId="0" fontId="14" fillId="4" borderId="28" xfId="0" applyFont="1" applyFill="1" applyBorder="1" applyAlignment="1" applyProtection="1">
      <alignment horizontal="center" vertical="center" wrapText="1"/>
      <protection locked="0"/>
    </xf>
    <xf numFmtId="0" fontId="41" fillId="4" borderId="14" xfId="5" applyFont="1" applyFill="1" applyBorder="1" applyAlignment="1" applyProtection="1">
      <alignment horizontal="center" vertical="center" wrapText="1"/>
      <protection locked="0"/>
    </xf>
    <xf numFmtId="0" fontId="41" fillId="4" borderId="22" xfId="5" applyFont="1" applyFill="1" applyBorder="1" applyAlignment="1" applyProtection="1">
      <alignment horizontal="center" vertical="center" wrapText="1"/>
      <protection locked="0"/>
    </xf>
    <xf numFmtId="0" fontId="41" fillId="4" borderId="15" xfId="5" applyFont="1" applyFill="1" applyBorder="1" applyAlignment="1" applyProtection="1">
      <alignment horizontal="center" vertical="center" wrapText="1"/>
      <protection locked="0"/>
    </xf>
    <xf numFmtId="0" fontId="41" fillId="4" borderId="23" xfId="5" applyFont="1" applyFill="1" applyBorder="1" applyAlignment="1" applyProtection="1">
      <alignment horizontal="center" vertical="center" wrapText="1"/>
      <protection locked="0"/>
    </xf>
    <xf numFmtId="0" fontId="40" fillId="8" borderId="14" xfId="0" applyFont="1" applyFill="1" applyBorder="1" applyAlignment="1">
      <alignment horizontal="center" vertical="center" wrapText="1"/>
    </xf>
    <xf numFmtId="0" fontId="40" fillId="8" borderId="11" xfId="0" applyFont="1" applyFill="1" applyBorder="1" applyAlignment="1">
      <alignment horizontal="center" vertical="center" wrapText="1"/>
    </xf>
    <xf numFmtId="0" fontId="0" fillId="4" borderId="14" xfId="0" applyFont="1" applyFill="1" applyBorder="1" applyAlignment="1">
      <alignment horizontal="center" vertical="center" wrapText="1"/>
    </xf>
    <xf numFmtId="0" fontId="0" fillId="4" borderId="11" xfId="0" applyFont="1" applyFill="1" applyBorder="1" applyAlignment="1">
      <alignment horizontal="center" vertical="center" wrapText="1"/>
    </xf>
    <xf numFmtId="0" fontId="0" fillId="4" borderId="15" xfId="0" applyFont="1" applyFill="1" applyBorder="1" applyAlignment="1">
      <alignment horizontal="center" vertical="center" wrapText="1"/>
    </xf>
    <xf numFmtId="0" fontId="0" fillId="4" borderId="23" xfId="0" applyFont="1" applyFill="1" applyBorder="1" applyAlignment="1">
      <alignment horizontal="center" vertical="center" wrapText="1"/>
    </xf>
    <xf numFmtId="0" fontId="14" fillId="27" borderId="5" xfId="0" applyFont="1" applyFill="1" applyBorder="1" applyAlignment="1" applyProtection="1">
      <alignment horizontal="center" vertical="center" wrapText="1"/>
      <protection locked="0"/>
    </xf>
    <xf numFmtId="0" fontId="14" fillId="27" borderId="6" xfId="0" applyFont="1" applyFill="1" applyBorder="1" applyAlignment="1" applyProtection="1">
      <alignment horizontal="center" vertical="center" wrapText="1"/>
      <protection locked="0"/>
    </xf>
    <xf numFmtId="42" fontId="14" fillId="4" borderId="10" xfId="1" applyFont="1" applyFill="1" applyBorder="1" applyAlignment="1" applyProtection="1">
      <alignment horizontal="center" vertical="center" wrapText="1"/>
      <protection locked="0"/>
    </xf>
    <xf numFmtId="0" fontId="14" fillId="27" borderId="39" xfId="0" applyFont="1" applyFill="1" applyBorder="1" applyAlignment="1" applyProtection="1">
      <alignment horizontal="center" vertical="center" wrapText="1"/>
      <protection locked="0"/>
    </xf>
    <xf numFmtId="0" fontId="14" fillId="27" borderId="35" xfId="0" applyFont="1" applyFill="1" applyBorder="1" applyAlignment="1" applyProtection="1">
      <alignment horizontal="center" vertical="center" wrapText="1"/>
      <protection locked="0"/>
    </xf>
    <xf numFmtId="0" fontId="14" fillId="27" borderId="0" xfId="0" applyFont="1" applyFill="1" applyAlignment="1" applyProtection="1">
      <alignment horizontal="center" vertical="center" wrapText="1"/>
      <protection locked="0"/>
    </xf>
    <xf numFmtId="0" fontId="14" fillId="27" borderId="54" xfId="0" applyFont="1" applyFill="1" applyBorder="1" applyAlignment="1" applyProtection="1">
      <alignment horizontal="center" vertical="center" wrapText="1"/>
      <protection locked="0"/>
    </xf>
    <xf numFmtId="0" fontId="14" fillId="9" borderId="5" xfId="0" applyFont="1" applyFill="1" applyBorder="1" applyAlignment="1" applyProtection="1">
      <alignment horizontal="center" vertical="center" wrapText="1"/>
      <protection locked="0"/>
    </xf>
    <xf numFmtId="0" fontId="14" fillId="9" borderId="6" xfId="0" applyFont="1" applyFill="1" applyBorder="1" applyAlignment="1" applyProtection="1">
      <alignment horizontal="center" vertical="center" wrapText="1"/>
      <protection locked="0"/>
    </xf>
    <xf numFmtId="0" fontId="14" fillId="28" borderId="5" xfId="0" applyFont="1" applyFill="1" applyBorder="1" applyAlignment="1" applyProtection="1">
      <alignment horizontal="center" vertical="center" wrapText="1"/>
      <protection locked="0"/>
    </xf>
    <xf numFmtId="0" fontId="14" fillId="28" borderId="6" xfId="0" applyFont="1" applyFill="1" applyBorder="1" applyAlignment="1" applyProtection="1">
      <alignment horizontal="center" vertical="center" wrapText="1"/>
      <protection locked="0"/>
    </xf>
    <xf numFmtId="0" fontId="14" fillId="28" borderId="43" xfId="0" applyFont="1" applyFill="1" applyBorder="1" applyAlignment="1" applyProtection="1">
      <alignment horizontal="center" vertical="center" wrapText="1"/>
      <protection locked="0"/>
    </xf>
    <xf numFmtId="0" fontId="14" fillId="28" borderId="44" xfId="0" applyFont="1" applyFill="1" applyBorder="1" applyAlignment="1" applyProtection="1">
      <alignment horizontal="center" vertical="center" wrapText="1"/>
      <protection locked="0"/>
    </xf>
    <xf numFmtId="0" fontId="14" fillId="28" borderId="39" xfId="0" applyFont="1" applyFill="1" applyBorder="1" applyAlignment="1" applyProtection="1">
      <alignment horizontal="center" vertical="center" wrapText="1"/>
      <protection locked="0"/>
    </xf>
    <xf numFmtId="0" fontId="14" fillId="28" borderId="35" xfId="0" applyFont="1" applyFill="1" applyBorder="1" applyAlignment="1" applyProtection="1">
      <alignment horizontal="center" vertical="center" wrapText="1"/>
      <protection locked="0"/>
    </xf>
    <xf numFmtId="0" fontId="14" fillId="15" borderId="5" xfId="0" applyFont="1" applyFill="1" applyBorder="1" applyAlignment="1" applyProtection="1">
      <alignment horizontal="center" vertical="center" wrapText="1"/>
      <protection locked="0"/>
    </xf>
    <xf numFmtId="0" fontId="14" fillId="15" borderId="6" xfId="0" applyFont="1" applyFill="1" applyBorder="1" applyAlignment="1" applyProtection="1">
      <alignment horizontal="center" vertical="center" wrapText="1"/>
      <protection locked="0"/>
    </xf>
    <xf numFmtId="0" fontId="14" fillId="15" borderId="43" xfId="0" applyFont="1" applyFill="1" applyBorder="1" applyAlignment="1" applyProtection="1">
      <alignment horizontal="center" vertical="center" wrapText="1"/>
      <protection locked="0"/>
    </xf>
    <xf numFmtId="0" fontId="14" fillId="15" borderId="44" xfId="0" applyFont="1" applyFill="1" applyBorder="1" applyAlignment="1" applyProtection="1">
      <alignment horizontal="center" vertical="center" wrapText="1"/>
      <protection locked="0"/>
    </xf>
    <xf numFmtId="0" fontId="14" fillId="15" borderId="39" xfId="0" applyFont="1" applyFill="1" applyBorder="1" applyAlignment="1" applyProtection="1">
      <alignment horizontal="center" vertical="center" wrapText="1"/>
      <protection locked="0"/>
    </xf>
    <xf numFmtId="0" fontId="14" fillId="15" borderId="35" xfId="0" applyFont="1" applyFill="1" applyBorder="1" applyAlignment="1" applyProtection="1">
      <alignment horizontal="center" vertical="center" wrapText="1"/>
      <protection locked="0"/>
    </xf>
    <xf numFmtId="0" fontId="41" fillId="4" borderId="0" xfId="5" applyFont="1" applyFill="1" applyBorder="1" applyAlignment="1">
      <alignment horizontal="center" vertical="center" wrapText="1"/>
    </xf>
    <xf numFmtId="0" fontId="0" fillId="4" borderId="14" xfId="5" applyFont="1" applyFill="1" applyBorder="1" applyAlignment="1" applyProtection="1">
      <alignment horizontal="center" vertical="center" wrapText="1"/>
      <protection locked="0"/>
    </xf>
    <xf numFmtId="0" fontId="0" fillId="4" borderId="11" xfId="5" applyFont="1" applyFill="1" applyBorder="1" applyAlignment="1" applyProtection="1">
      <alignment horizontal="center" vertical="center" wrapText="1"/>
      <protection locked="0"/>
    </xf>
    <xf numFmtId="0" fontId="41" fillId="4" borderId="14" xfId="5" applyFont="1" applyFill="1" applyBorder="1" applyAlignment="1">
      <alignment horizontal="center" vertical="center" wrapText="1"/>
    </xf>
    <xf numFmtId="0" fontId="42" fillId="4" borderId="14" xfId="0" applyFont="1" applyFill="1" applyBorder="1" applyAlignment="1">
      <alignment horizontal="center" vertical="center" wrapText="1"/>
    </xf>
    <xf numFmtId="164" fontId="14" fillId="4" borderId="21" xfId="3" applyNumberFormat="1" applyFont="1" applyFill="1" applyBorder="1" applyAlignment="1" applyProtection="1">
      <alignment horizontal="center" vertical="center" wrapText="1"/>
      <protection locked="0"/>
    </xf>
  </cellXfs>
  <cellStyles count="7">
    <cellStyle name="Hyperlink" xfId="5" xr:uid="{00000000-000B-0000-0000-000008000000}"/>
    <cellStyle name="Moneda" xfId="3" builtinId="4"/>
    <cellStyle name="Moneda [0]" xfId="1" builtinId="7"/>
    <cellStyle name="Normal" xfId="0" builtinId="0"/>
    <cellStyle name="Normal 2" xfId="6" xr:uid="{548520FE-F684-47D3-8198-4649AF9E8C94}"/>
    <cellStyle name="Normal 3" xfId="2" xr:uid="{9BACF7B7-95D3-4067-AFDA-493D0394ED0A}"/>
    <cellStyle name="Porcentaje" xfId="4" builtinId="5"/>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4ED967"/>
      <color rgb="FFFF7E79"/>
      <color rgb="FFCDBAFF"/>
      <color rgb="FF9653F0"/>
      <color rgb="FFDA6DCB"/>
      <color rgb="FF11B0F1"/>
      <color rgb="FFD7FAC6"/>
      <color rgb="FF81D4DD"/>
      <color rgb="FF5BA6C5"/>
      <color rgb="FFEBBA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gobiernobogota-my.sharepoint.com/personal/paula_cogollo_gobiernobogota_gov_co/_layouts/15/onedrive.aspx?id=%2Fpersonal%2Fpaula%5Fcogollo%5Fgobiernobogota%5Fgov%5Fco%2FDocuments%2FEstudio%20de%20Mercado%20Mujeres%202026%2FCOTIZACIONES%20MARISOL%2FPINTURA%20PARA%20CERAMICA%20%2D%20LA%20GAVIOTA%2Epdf&amp;viewid=499b9c2a%2D87c2%2D4269%2D96ec%2Dd83130af858a&amp;parent=%2Fpersonal%2Fpaula%5Fcogollo%5Fgobiernobogota%5Fgov%5Fco%2FDocuments%2FEstudio%20de%20Mercado%20Mujeres%202026%2FCOTIZACIONES%20MARISOL" TargetMode="External"/><Relationship Id="rId21" Type="http://schemas.openxmlformats.org/officeDocument/2006/relationships/hyperlink" Target="https://gobiernobogota-my.sharepoint.com/:b:/g/personal/paula_cogollo_gobiernobogota_gov_co/IQAdVno32GDdRqVSTJ39QgLFASX1CIvcekPACzHFubFlWQU?e=Aoo2ZU" TargetMode="External"/><Relationship Id="rId42" Type="http://schemas.openxmlformats.org/officeDocument/2006/relationships/hyperlink" Target="https://gobiernobogota-my.sharepoint.com/:b:/g/personal/paula_cogollo_gobiernobogota_gov_co/IQDxEM6y_hmuRK9c1xUxcOzJAdpKJf3eJig-_R0y6oHF2Cg?e=te4fVi" TargetMode="External"/><Relationship Id="rId63" Type="http://schemas.openxmlformats.org/officeDocument/2006/relationships/hyperlink" Target="https://gobiernobogota-my.sharepoint.com/:b:/g/personal/paula_cogollo_gobiernobogota_gov_co/IQBITbeSA-ArR7_VNwvh9guPAWHhcAQuLuvVtvyRzv-KbtA?e=leRLH3" TargetMode="External"/><Relationship Id="rId84" Type="http://schemas.openxmlformats.org/officeDocument/2006/relationships/hyperlink" Target="https://gobiernobogota-my.sharepoint.com/:b:/g/personal/paula_cogollo_gobiernobogota_gov_co/IQArkkM8__EfQacw8L_FwkeyAfKKLIu0HHP47y8LWVdgN9M?e=BDgS0c" TargetMode="External"/><Relationship Id="rId138" Type="http://schemas.openxmlformats.org/officeDocument/2006/relationships/hyperlink" Target="https://gobiernobogota-my.sharepoint.com/:x:/r/personal/paula_cogollo_gobiernobogota_gov_co/_layouts/15/Doc.aspx?sourcedoc=%7BC11A3A0C-FA99-4446-8310-87781B7F73A1%7D&amp;file=3.%2006042026_modelo%20evento%20de%20cotizacion_Mujer_IntegracionS%20-%20TERMINADO%20COT.%20NAYIB.xlsx&amp;action=default&amp;mobileredirect=true" TargetMode="External"/><Relationship Id="rId107" Type="http://schemas.openxmlformats.org/officeDocument/2006/relationships/hyperlink" Target="https://gobiernobogota-my.sharepoint.com/:b:/g/personal/paula_cogollo_gobiernobogota_gov_co/IQDQzLpkbhFNTrqG8xeyriZEAWtji9USZeX-jsPMSn7m7xo?e=7ybyqi" TargetMode="External"/><Relationship Id="rId11" Type="http://schemas.openxmlformats.org/officeDocument/2006/relationships/hyperlink" Target="https://gobiernobogota-my.sharepoint.com/:x:/r/personal/paula_cogollo_gobiernobogota_gov_co/_layouts/15/Doc.aspx?sourcedoc=%7B6C815900-DDBC-4289-B256-EFAF8F69FF08%7D&amp;file=D%26R%20PRODUCCIONESS.xlsx&amp;action=default&amp;mobileredirect=true" TargetMode="External"/><Relationship Id="rId32" Type="http://schemas.openxmlformats.org/officeDocument/2006/relationships/hyperlink" Target="https://gobiernobogota-my.sharepoint.com/:b:/g/personal/paula_cogollo_gobiernobogota_gov_co/IQDkAzNgk4r4TbUJ4-6pxoRgAe1zSf5IRw_O3j34eFrJNWA?e=ZuumlA" TargetMode="External"/><Relationship Id="rId53" Type="http://schemas.openxmlformats.org/officeDocument/2006/relationships/hyperlink" Target="https://gobiernobogota-my.sharepoint.com/:b:/g/personal/paula_cogollo_gobiernobogota_gov_co/IQD0tLStRMfhRpvN75w1JfgfAaOV5EApTSPlHLR6wS6wsOY?e=Adc0rh" TargetMode="External"/><Relationship Id="rId74" Type="http://schemas.openxmlformats.org/officeDocument/2006/relationships/hyperlink" Target="../../../../../../../../../../../../../../../../../../../../../../../../../../../../../../../_layouts/15/onedrive.aspx?viewid=499b9c2a%2D87c2%2D4269%2D96ec%2Dd83130af858a&amp;id=%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2FCARPAS%20%2D%20NEMESIS%20%2Epdf&amp;parent=%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 TargetMode="External"/><Relationship Id="rId128" Type="http://schemas.openxmlformats.org/officeDocument/2006/relationships/hyperlink" Target="https://gobiernobogota-my.sharepoint.com/:b:/g/personal/paula_cogollo_gobiernobogota_gov_co/IQB_PYsKcC1qQIEa13FYSHwuAYeG37ne7SjL2P_EVMMDK0Q?e=bU3Uuv" TargetMode="External"/><Relationship Id="rId149" Type="http://schemas.openxmlformats.org/officeDocument/2006/relationships/hyperlink" Target="https://gobiernobogota-my.sharepoint.com/:b:/g/personal/paula_cogollo_gobiernobogota_gov_co/IQCyJvsFXkxiRYN6gjJXxw_IAcIDEkDs4OYfcBfgxrd7USc?e=Luy5ah" TargetMode="External"/><Relationship Id="rId5" Type="http://schemas.openxmlformats.org/officeDocument/2006/relationships/hyperlink" Target="../../../../../../../../../../../../../../../../../../../../../../../../../../../../../../../_layouts/15/onedrive.aspx?viewid=499b9c2a%2D87c2%2D4269%2D96ec%2Dd83130af858a&amp;id=%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2FTK%20PRODUCCIONES%2Epdf&amp;parent=%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 TargetMode="External"/><Relationship Id="rId95" Type="http://schemas.openxmlformats.org/officeDocument/2006/relationships/hyperlink" Target="../../../../../../../../../../../../../../../../../../../../../../../../../../../../../../../_layouts/15/onedrive.aspx?id=%2Fpersonal%2Fpaula%5Fcogollo%5Fgobiernobogota%5Fgov%5Fco%2FDocuments%2FEstudio%20de%20Mercado%20Mujeres%202026%2FCOTIZACIONES%20MARISOL%2FSMARTWATCH%20%2D%20ALKOSTO%2Epdf&amp;viewid=499b9c2a%2D87c2%2D4269%2D96ec%2Dd83130af858a&amp;parent=%2Fpersonal%2Fpaula%5Fcogollo%5Fgobiernobogota%5Fgov%5Fco%2FDocuments%2FEstudio%20de%20Mercado%20Mujeres%202026%2FCOTIZACIONES%20MARISOL" TargetMode="External"/><Relationship Id="rId22" Type="http://schemas.openxmlformats.org/officeDocument/2006/relationships/hyperlink" Target="../../../../../../../../../../../../../../../../../../../../../../../../../../../../../../../_layouts/15/onedrive.aspx?ga=1&amp;id=\personal\paula_cogollo_gobiernobogota_gov_co\Documents\Estudio%20de%20Mercado%20Mujeres%202026\TERMO%20PLASTICO%20-%20COMPRA%20PROMOCIONALES.pdf&amp;parent=\personal\paula_cogollo_gobiernobogota_gov_co\Documents\Estudio%20de%20Mercado%20Mujeres%202026" TargetMode="External"/><Relationship Id="rId43" Type="http://schemas.openxmlformats.org/officeDocument/2006/relationships/hyperlink" Target="https://gobiernobogota-my.sharepoint.com/:b:/g/personal/paula_cogollo_gobiernobogota_gov_co/IQBkZItHtyc6RbkeO6YRm25XAVMyZDLS_Vxm_Hp4XvMmFnM?e=Jhn4QL" TargetMode="External"/><Relationship Id="rId64" Type="http://schemas.openxmlformats.org/officeDocument/2006/relationships/hyperlink" Target="https://gobiernobogota-my.sharepoint.com/:b:/g/personal/paula_cogollo_gobiernobogota_gov_co/IQCG4WX-ZvQ9RY4KsDFcGux_AVbJMQpbFj9wQUhrjkQWpPA?e=Lgyrx4" TargetMode="External"/><Relationship Id="rId118" Type="http://schemas.openxmlformats.org/officeDocument/2006/relationships/hyperlink" Target="https://gobiernobogota-my.sharepoint.com/personal/paula_cogollo_gobiernobogota_gov_co/_layouts/15/onedrive.aspx?id=%2Fpersonal%2Fpaula%5Fcogollo%5Fgobiernobogota%5Fgov%5Fco%2FDocuments%2FEstudio%20de%20Mercado%20Mujeres%202026%2FCOTIZACIONES%20MARISOL%2FPINTURA%20PARA%20CERAMICA%20%2D%20TODO%20EN%20ARTES%2Epdf&amp;viewid=499b9c2a%2D87c2%2D4269%2D96ec%2Dd83130af858a&amp;parent=%2Fpersonal%2Fpaula%5Fcogollo%5Fgobiernobogota%5Fgov%5Fco%2FDocuments%2FEstudio%20de%20Mercado%20Mujeres%202026%2FCOTIZACIONES%20MARISOL" TargetMode="External"/><Relationship Id="rId139" Type="http://schemas.openxmlformats.org/officeDocument/2006/relationships/hyperlink" Target="https://gobiernobogota-my.sharepoint.com/:x:/r/personal/paula_cogollo_gobiernobogota_gov_co/_layouts/15/Doc.aspx?sourcedoc=%7BC11A3A0C-FA99-4446-8310-87781B7F73A1%7D&amp;file=3.%2006042026_modelo%20evento%20de%20cotizacion_Mujer_IntegracionS%20-%20TERMINADO%20COT.%20NAYIB.xlsx&amp;action=default&amp;mobileredirect=true" TargetMode="External"/><Relationship Id="rId80" Type="http://schemas.openxmlformats.org/officeDocument/2006/relationships/hyperlink" Target="../../../../../../../../../../../../../../../../../../../../../../../../../../../../../../../_layouts/15/onedrive.aspx?id=%2Fpersonal%2Fpaula%5Fcogollo%5Fgobiernobogota%5Fgov%5Fco%2FDocuments%2FEstudio%20de%20Mercado%20Mujeres%202026%2FCOTIZACIONES%20MARISOL%2FMANILLAS%20DE%20PAPEL%20TYVEK%20%2D%20%20MANILLAS%20DE%20CONTROL%2Epdf&amp;viewid=499b9c2a%2D87c2%2D4269%2D96ec%2Dd83130af858a&amp;parent=%2Fpersonal%2Fpaula%5Fcogollo%5Fgobiernobogota%5Fgov%5Fco%2FDocuments%2FEstudio%20de%20Mercado%20Mujeres%202026%2FCOTIZACIONES%20MARISOL" TargetMode="External"/><Relationship Id="rId85" Type="http://schemas.openxmlformats.org/officeDocument/2006/relationships/hyperlink" Target="https://gobiernobogota-my.sharepoint.com/:b:/g/personal/paula_cogollo_gobiernobogota_gov_co/IQDjJh3uTbm-S4L0mBN_nxjNAZwA488IVIxAXRAh8ywHL88?e=2wO5Xc" TargetMode="External"/><Relationship Id="rId150" Type="http://schemas.openxmlformats.org/officeDocument/2006/relationships/hyperlink" Target="https://gobiernobogota-my.sharepoint.com/:b:/g/personal/paula_cogollo_gobiernobogota_gov_co/IQAeLEbUDkdUQ6QAH_D7lD0jAVW50o5NahQVvbs7rZDOnJM?e=pYrc4Z" TargetMode="External"/><Relationship Id="rId155" Type="http://schemas.openxmlformats.org/officeDocument/2006/relationships/printerSettings" Target="../printerSettings/printerSettings1.bin"/><Relationship Id="rId12" Type="http://schemas.openxmlformats.org/officeDocument/2006/relationships/hyperlink" Target="https://gobiernobogota-my.sharepoint.com/:x:/r/personal/paula_cogollo_gobiernobogota_gov_co/_layouts/15/Doc.aspx?sourcedoc=%7BDC42C576-47CF-4FFD-A7E0-7DC5834E0083%7D&amp;file=D%26R%20PRODUCCIONESS.xlsx&amp;action=default&amp;mobileredirect=true" TargetMode="External"/><Relationship Id="rId17" Type="http://schemas.openxmlformats.org/officeDocument/2006/relationships/hyperlink" Target="https://gobiernobogota-my.sharepoint.com/:b:/g/personal/paula_cogollo_gobiernobogota_gov_co/IQBovhKyvc24TpjUcFsGfB_XAa9Ph4rhjdrAF3IJTUahZ0A?e=8ouB7S" TargetMode="External"/><Relationship Id="rId33" Type="http://schemas.openxmlformats.org/officeDocument/2006/relationships/hyperlink" Target="https://gobiernobogota-my.sharepoint.com/:b:/g/personal/paula_cogollo_gobiernobogota_gov_co/IQDkAzNgk4r4TbUJ4-6pxoRgAe1zSf5IRw_O3j34eFrJNWA?e=ZuumlA" TargetMode="External"/><Relationship Id="rId38" Type="http://schemas.openxmlformats.org/officeDocument/2006/relationships/hyperlink" Target="https://gobiernobogota-my.sharepoint.com/:b:/g/personal/paula_cogollo_gobiernobogota_gov_co/IQDxEM6y_hmuRK9c1xUxcOzJAdpKJf3eJig-_R0y6oHF2Cg?e=te4fVi" TargetMode="External"/><Relationship Id="rId59" Type="http://schemas.openxmlformats.org/officeDocument/2006/relationships/hyperlink" Target="https://gobiernobogota-my.sharepoint.com/:b:/g/personal/paula_cogollo_gobiernobogota_gov_co/IQAKy9dhQPbbRbnRBwwmSZHpAcg4BghhXN1xh1dV3Mc5fbw?e=oTrRLm" TargetMode="External"/><Relationship Id="rId103" Type="http://schemas.openxmlformats.org/officeDocument/2006/relationships/hyperlink" Target="https://gobiernobogota-my.sharepoint.com/:b:/g/personal/paula_cogollo_gobiernobogota_gov_co/IQBAkrrxi_-MRYE0jCq9zHJPAbYDTAZmg4P-_bYaZIdgGmI?e=IlkQDE" TargetMode="External"/><Relationship Id="rId108" Type="http://schemas.openxmlformats.org/officeDocument/2006/relationships/hyperlink" Target="https://gobiernobogota-my.sharepoint.com/:b:/g/personal/paula_cogollo_gobiernobogota_gov_co/IQDyq764uBWASaGaTA6iTzJhAUJNaPCNDrChv9Ja2XaPFlg?e=BgswTh" TargetMode="External"/><Relationship Id="rId124" Type="http://schemas.openxmlformats.org/officeDocument/2006/relationships/hyperlink" Target="https://gobiernobogota-my.sharepoint.com/:b:/g/personal/paula_cogollo_gobiernobogota_gov_co/IQCRXBJ38rGgRrHKyK_74V4VAT245OW51OrUGkDWEWicZco?e=wla47d" TargetMode="External"/><Relationship Id="rId129" Type="http://schemas.openxmlformats.org/officeDocument/2006/relationships/hyperlink" Target="https://gobiernobogota-my.sharepoint.com/:b:/g/personal/paula_cogollo_gobiernobogota_gov_co/IQCgMcz1xpmkSpoOOCTG8dVGAYzWHvj1-PZRRZmwp8I7snA?e=EOFZ67" TargetMode="External"/><Relationship Id="rId54" Type="http://schemas.openxmlformats.org/officeDocument/2006/relationships/hyperlink" Target="https://gobiernobogota-my.sharepoint.com/:b:/g/personal/paula_cogollo_gobiernobogota_gov_co/IQCsJF7MX9n0SblbwLN22o8gAQqRRww06iNQFXIijraqDeE?e=7pCLd3" TargetMode="External"/><Relationship Id="rId70" Type="http://schemas.openxmlformats.org/officeDocument/2006/relationships/hyperlink" Target="https://gobiernobogota-my.sharepoint.com/:b:/g/personal/paula_cogollo_gobiernobogota_gov_co/IQD0hIpiTbP9RZVRAholD1bzAUZyO2GBjQcN_J4z0Rs0Whs?e=MaD6oD" TargetMode="External"/><Relationship Id="rId75" Type="http://schemas.openxmlformats.org/officeDocument/2006/relationships/hyperlink" Target="../../../../../../../../../../../../../../../../../../../../../../../../../../../../../../../_layouts/15/onedrive.aspx?viewid=499b9c2a%2D87c2%2D4269%2D96ec%2Dd83130af858a&amp;id=%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2FCARPAS%20%2D%20NEMESIS%20%2Epdf&amp;parent=%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 TargetMode="External"/><Relationship Id="rId91" Type="http://schemas.openxmlformats.org/officeDocument/2006/relationships/hyperlink" Target="../../../../../../../../../../../../../../../../../../../../../../../../../../../../../../../_layouts/15/onedrive.aspx?id=%2Fpersonal%2Fpaula%5Fcogollo%5Fgobiernobogota%5Fgov%5Fco%2FDocuments%2FEstudio%20de%20Mercado%20Mujeres%202026%2FCOTIZACIONES%20MARISOL%2FABANICO%20PLEGABLE%20%2D%20MARKADOS%20COLOMBIA%2Epdf&amp;viewid=499b9c2a%2D87c2%2D4269%2D96ec%2Dd83130af858a&amp;parent=%2Fpersonal%2Fpaula%5Fcogollo%5Fgobiernobogota%5Fgov%5Fco%2FDocuments%2FEstudio%20de%20Mercado%20Mujeres%202026%2FCOTIZACIONES%20MARISOL" TargetMode="External"/><Relationship Id="rId96" Type="http://schemas.openxmlformats.org/officeDocument/2006/relationships/hyperlink" Target="../../../../../../../../../../../../../../../../../../../../../../../../../../../../../../../_layouts/15/onedrive.aspx?id=%2Fpersonal%2Fpaula%5Fcogollo%5Fgobiernobogota%5Fgov%5Fco%2FDocuments%2FEstudio%20de%20Mercado%20Mujeres%202026%2FCOTIZACIONES%20MARISOL%2FADAPTADORES%20%2D%20ENCARGUELO%2Epdf&amp;viewid=499b9c2a%2D87c2%2D4269%2D96ec%2Dd83130af858a&amp;parent=%2Fpersonal%2Fpaula%5Fcogollo%5Fgobiernobogota%5Fgov%5Fco%2FDocuments%2FEstudio%20de%20Mercado%20Mujeres%202026%2FCOTIZACIONES%20MARISOL" TargetMode="External"/><Relationship Id="rId140" Type="http://schemas.openxmlformats.org/officeDocument/2006/relationships/hyperlink" Target="../../../../../../../../../../../../../../../../../../../../../../../../../../_layouts/15/onedrive.aspx?viewid=499b9c2a%2D87c2%2D4269%2D96ec%2Dd83130af858a&amp;id=%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2FCARPAS%20%2D%20NEMESIS%20%2Epdf&amp;parent=%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 TargetMode="External"/><Relationship Id="rId145" Type="http://schemas.openxmlformats.org/officeDocument/2006/relationships/hyperlink" Target="https://gobiernobogota-my.sharepoint.com/:b:/g/personal/paula_cogollo_gobiernobogota_gov_co/IQDU3GA7M3biTqJJeh85UJHaARcbucuwnctePgSGJL1QW30?e=ktlorJ" TargetMode="External"/><Relationship Id="rId1" Type="http://schemas.openxmlformats.org/officeDocument/2006/relationships/hyperlink" Target="../../../../../../../../../../../../../../../../../../../../../../../../../../../../../../../_layouts/15/onedrive.aspx?id=%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2F1%20Tecnicarpas%5F481FEAC6%2D6621%2D43B7%2DBD24%2D14E642E52A4A2025%2D08%2D06T12%2D48%2D03%2Epdf&amp;viewid=499b9c2a%2D87c2%2D4269%2D96ec%2Dd83130af858a&amp;parent=%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 TargetMode="External"/><Relationship Id="rId6" Type="http://schemas.openxmlformats.org/officeDocument/2006/relationships/hyperlink" Target="../../../../../../../../../../../../../../../../../../../../../../../../../../../../../../../_layouts/15/onedrive.aspx?viewid=499b9c2a%2D87c2%2D4269%2D96ec%2Dd83130af858a&amp;id=%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2FTK%20PRODUCCIONES%2Epdf&amp;parent=%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 TargetMode="External"/><Relationship Id="rId23" Type="http://schemas.openxmlformats.org/officeDocument/2006/relationships/hyperlink" Target="../../../../../../../../../../../../../../../../../../../../../../../../../../../../../../../_layouts/15/onedrive.aspx?ga=1&amp;id=%2Fpersonal%2Fpaula%5Fcogollo%5Fgobiernobogota%5Fgov%5Fco%2FDocuments%2FEstudio%20de%20Mercado%20Mujeres%202026%2FTERMO%20PLASTICO%20%2D%20TRAZO%20CREATIVO%2Epdf&amp;parent=%2Fpersonal%2Fpaula%5Fcogollo%5Fgobiernobogota%5Fgov%5Fco%2FDocuments%2FEstudio%20de%20Mercado%20Mujeres%202026" TargetMode="External"/><Relationship Id="rId28" Type="http://schemas.openxmlformats.org/officeDocument/2006/relationships/hyperlink" Target="https://gobiernobogota-my.sharepoint.com/:b:/g/personal/paula_cogollo_gobiernobogota_gov_co/IQAFCcxVvdriTI0ZcD_WTb0zARYYK36nDm8D6cTXFnGC-mI?e=p82l0C" TargetMode="External"/><Relationship Id="rId49" Type="http://schemas.openxmlformats.org/officeDocument/2006/relationships/hyperlink" Target="https://gobiernobogota-my.sharepoint.com/:b:/g/personal/paula_cogollo_gobiernobogota_gov_co/IQBGyJCnODGCSas3rDehycYHAQEvqnVQ6ZZm7dGHWeurjgk?e=O5M2Ja" TargetMode="External"/><Relationship Id="rId114" Type="http://schemas.openxmlformats.org/officeDocument/2006/relationships/hyperlink" Target="https://gobiernobogota-my.sharepoint.com/personal/paula_cogollo_gobiernobogota_gov_co/_layouts/15/onedrive.aspx?id=%2Fpersonal%2Fpaula%5Fcogollo%5Fgobiernobogota%5Fgov%5Fco%2FDocuments%2FEstudio%20de%20Mercado%20Mujeres%202026%2FCOTIZACIONES%20MARISOL%2FPINTURA%20PARA%20CERAMICA%20%2D%20LA%20GAVIOTA%2Epdf&amp;viewid=499b9c2a%2D87c2%2D4269%2D96ec%2Dd83130af858a&amp;parent=%2Fpersonal%2Fpaula%5Fcogollo%5Fgobiernobogota%5Fgov%5Fco%2FDocuments%2FEstudio%20de%20Mercado%20Mujeres%202026%2FCOTIZACIONES%20MARISOL" TargetMode="External"/><Relationship Id="rId119" Type="http://schemas.openxmlformats.org/officeDocument/2006/relationships/hyperlink" Target="https://gobiernobogota-my.sharepoint.com/personal/paula_cogollo_gobiernobogota_gov_co/_layouts/15/onedrive.aspx?id=%2Fpersonal%2Fpaula%5Fcogollo%5Fgobiernobogota%5Fgov%5Fco%2FDocuments%2FEstudio%20de%20Mercado%20Mujeres%202026%2FCOTIZACIONES%20MARISOL%2FPINTURA%20PARA%20CERAMICA%20%2D%20TODO%20EN%20ARTES%2Epdf&amp;viewid=499b9c2a%2D87c2%2D4269%2D96ec%2Dd83130af858a&amp;parent=%2Fpersonal%2Fpaula%5Fcogollo%5Fgobiernobogota%5Fgov%5Fco%2FDocuments%2FEstudio%20de%20Mercado%20Mujeres%202026%2FCOTIZACIONES%20MARISOL" TargetMode="External"/><Relationship Id="rId44" Type="http://schemas.openxmlformats.org/officeDocument/2006/relationships/hyperlink" Target="https://gobiernobogota-my.sharepoint.com/:b:/g/personal/paula_cogollo_gobiernobogota_gov_co/IQBkZItHtyc6RbkeO6YRm25XAVMyZDLS_Vxm_Hp4XvMmFnM?e=Jhn4QL" TargetMode="External"/><Relationship Id="rId60" Type="http://schemas.openxmlformats.org/officeDocument/2006/relationships/hyperlink" Target="https://gobiernobogota-my.sharepoint.com/:b:/g/personal/paula_cogollo_gobiernobogota_gov_co/IQAlYiCOL-HtQ60u5zhbJVqeAeqsEVMbxN0mHRE3zt_1TCU?e=muNp4q" TargetMode="External"/><Relationship Id="rId65" Type="http://schemas.openxmlformats.org/officeDocument/2006/relationships/hyperlink" Target="https://gobiernobogota-my.sharepoint.com/:b:/g/personal/paula_cogollo_gobiernobogota_gov_co/IQB7f44kCIE4RZRiMtABqPXqAWSFdQodrYHiUQQqlaqLWjo?e=44cBRU" TargetMode="External"/><Relationship Id="rId81" Type="http://schemas.openxmlformats.org/officeDocument/2006/relationships/hyperlink" Target="https://gobiernobogota-my.sharepoint.com/:b:/g/personal/paula_cogollo_gobiernobogota_gov_co/IQCeABv80cJbT5aKw-3zxW_YAZEFqEPrO9-KLebIsOH9m5k?e=oyWukT" TargetMode="External"/><Relationship Id="rId86" Type="http://schemas.openxmlformats.org/officeDocument/2006/relationships/hyperlink" Target="https://gobiernobogota-my.sharepoint.com/:b:/g/personal/paula_cogollo_gobiernobogota_gov_co/IQCPmkvh7SCuRIWcGq-kA2wNAcHduECnyN1atE_Io72SkOs?e=QGXIbI" TargetMode="External"/><Relationship Id="rId130" Type="http://schemas.openxmlformats.org/officeDocument/2006/relationships/hyperlink" Target="https://xn--82_gafasdenatacin1-51b/" TargetMode="External"/><Relationship Id="rId135" Type="http://schemas.openxmlformats.org/officeDocument/2006/relationships/hyperlink" Target="https://gobiernobogota-my.sharepoint.com/:b:/g/personal/paula_cogollo_gobiernobogota_gov_co/IQDyq764uBWASaGaTA6iTzJhAUJNaPCNDrChv9Ja2XaPFlg?e=BgswTh" TargetMode="External"/><Relationship Id="rId151" Type="http://schemas.openxmlformats.org/officeDocument/2006/relationships/hyperlink" Target="https://gobiernobogota-my.sharepoint.com/:b:/g/personal/paula_cogollo_gobiernobogota_gov_co/IQDRP8MbpdFTRI-BIlUKelsFAbqEMqgWuXlVw4LEhyLyGSA?e=gj5aDo" TargetMode="External"/><Relationship Id="rId156" Type="http://schemas.openxmlformats.org/officeDocument/2006/relationships/vmlDrawing" Target="../drawings/vmlDrawing1.vml"/><Relationship Id="rId13" Type="http://schemas.openxmlformats.org/officeDocument/2006/relationships/hyperlink" Target="https://gobiernobogota-my.sharepoint.com/:x:/r/personal/paula_cogollo_gobiernobogota_gov_co/_layouts/15/Doc.aspx?sourcedoc=%7BDC42C576-47CF-4FFD-A7E0-7DC5834E0083%7D&amp;file=D%26R%20PRODUCCIONESS.xlsx&amp;action=default&amp;mobileredirect=true" TargetMode="External"/><Relationship Id="rId18" Type="http://schemas.openxmlformats.org/officeDocument/2006/relationships/hyperlink" Target="https://gobiernobogota-my.sharepoint.com/:b:/g/personal/paula_cogollo_gobiernobogota_gov_co/IQC1KneRLCNeSq0qrW_t5egoAYcuUSNOqG7ev996Leee4kA?e=NR6Os8" TargetMode="External"/><Relationship Id="rId39" Type="http://schemas.openxmlformats.org/officeDocument/2006/relationships/hyperlink" Target="https://gobiernobogota-my.sharepoint.com/:b:/g/personal/paula_cogollo_gobiernobogota_gov_co/IQBkZItHtyc6RbkeO6YRm25XAVMyZDLS_Vxm_Hp4XvMmFnM?e=Jhn4QL" TargetMode="External"/><Relationship Id="rId109" Type="http://schemas.openxmlformats.org/officeDocument/2006/relationships/hyperlink" Target="https://gobiernobogota-my.sharepoint.com/:b:/g/personal/paula_cogollo_gobiernobogota_gov_co/IQBMEkO7g0P3Q6v-gk5Vunl6ATDCDmfZYW32h5MjHzG8A4s?e=RdtX26" TargetMode="External"/><Relationship Id="rId34" Type="http://schemas.openxmlformats.org/officeDocument/2006/relationships/hyperlink" Target="https://gobiernobogota-my.sharepoint.com/:b:/g/personal/paula_cogollo_gobiernobogota_gov_co/IQAq9I9JOILrQ6K7zfNabL-LAcPyF0QtGw9eAwHEVSf6tSY?e=ntcafX" TargetMode="External"/><Relationship Id="rId50" Type="http://schemas.openxmlformats.org/officeDocument/2006/relationships/hyperlink" Target="https://gobiernobogota-my.sharepoint.com/:b:/g/personal/paula_cogollo_gobiernobogota_gov_co/IQAJBr6Y9W_4R4W0RaHNyI5hAamEgn4FS897F41MTqoyXD0?e=Mca7in" TargetMode="External"/><Relationship Id="rId55" Type="http://schemas.openxmlformats.org/officeDocument/2006/relationships/hyperlink" Target="https://gobiernobogota-my.sharepoint.com/:b:/g/personal/paula_cogollo_gobiernobogota_gov_co/IQATzdVUptFXQZFMQXOmuOASAbNc4rjkCoKOai8KjGAxW3Q?e=sz9iTv" TargetMode="External"/><Relationship Id="rId76" Type="http://schemas.openxmlformats.org/officeDocument/2006/relationships/hyperlink" Target="../../../../../../../../../../../../../../../../../../../../../../../../../../../../../../../_layouts/15/onedrive.aspx?viewid=499b9c2a%2D87c2%2D4269%2D96ec%2Dd83130af858a&amp;id=%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2FCARPAS%20%2D%20NEMESIS%20%2Epdf&amp;parent=%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 TargetMode="External"/><Relationship Id="rId97" Type="http://schemas.openxmlformats.org/officeDocument/2006/relationships/hyperlink" Target="../../../../../../../../../../../../../../../../../../../../../../../../../../../../../../../_layouts/15/onedrive.aspx?id=%2Fpersonal%2Fpaula%5Fcogollo%5Fgobiernobogota%5Fgov%5Fco%2FDocuments%2FEstudio%20de%20Mercado%20Mujeres%202026%2FCOTIZACIONES%20MARISOL%2FADAPTADORES%20%2D%20EXITO%2Epdf&amp;viewid=499b9c2a%2D87c2%2D4269%2D96ec%2Dd83130af858a&amp;parent=%2Fpersonal%2Fpaula%5Fcogollo%5Fgobiernobogota%5Fgov%5Fco%2FDocuments%2FEstudio%20de%20Mercado%20Mujeres%202026%2FCOTIZACIONES%20MARISOL" TargetMode="External"/><Relationship Id="rId104" Type="http://schemas.openxmlformats.org/officeDocument/2006/relationships/hyperlink" Target="https://gobiernobogota-my.sharepoint.com/:x:/r/personal/paula_cogollo_gobiernobogota_gov_co/_layouts/15/Doc.aspx?sourcedoc=%7BDC42C576-47CF-4FFD-A7E0-7DC5834E0083%7D&amp;file=D%26R%20PRODUCCIONESS.xlsx&amp;action=default&amp;mobileredirect=true" TargetMode="External"/><Relationship Id="rId120" Type="http://schemas.openxmlformats.org/officeDocument/2006/relationships/hyperlink" Target="https://gobiernobogota-my.sharepoint.com/personal/paula_cogollo_gobiernobogota_gov_co/_layouts/15/onedrive.aspx?id=%2Fpersonal%2Fpaula%5Fcogollo%5Fgobiernobogota%5Fgov%5Fco%2FDocuments%2FEstudio%20de%20Mercado%20Mujeres%202026%2FCOTIZACIONES%20MARISOL%2FPINTURA%20PARA%20CERAMICA%20%2D%20TODO%20EN%20ARTES%2Epdf&amp;viewid=499b9c2a%2D87c2%2D4269%2D96ec%2Dd83130af858a&amp;parent=%2Fpersonal%2Fpaula%5Fcogollo%5Fgobiernobogota%5Fgov%5Fco%2FDocuments%2FEstudio%20de%20Mercado%20Mujeres%202026%2FCOTIZACIONES%20MARISOL" TargetMode="External"/><Relationship Id="rId125" Type="http://schemas.openxmlformats.org/officeDocument/2006/relationships/hyperlink" Target="https://gobiernobogota-my.sharepoint.com/:b:/g/personal/paula_cogollo_gobiernobogota_gov_co/IQALD0OcGnxSS42aGstFpM6GAeAbWEvYsLlkZWXA1ldRsuA?e=N7fenG" TargetMode="External"/><Relationship Id="rId141" Type="http://schemas.openxmlformats.org/officeDocument/2006/relationships/hyperlink" Target="https://gobiernobogota-my.sharepoint.com/:x:/r/personal/paula_cogollo_gobiernobogota_gov_co/_layouts/15/Doc.aspx?sourcedoc=%7BDC42C576-47CF-4FFD-A7E0-7DC5834E0083%7D&amp;file=D%26R%20PRODUCCIONESS.xlsx&amp;action=default&amp;mobileredirect=true" TargetMode="External"/><Relationship Id="rId146" Type="http://schemas.openxmlformats.org/officeDocument/2006/relationships/hyperlink" Target="https://gobiernobogota-my.sharepoint.com/:b:/g/personal/paula_cogollo_gobiernobogota_gov_co/IQDglYzcUktrTq428O2II-HhARKOoZaS609TuzlAByQ3vyg?e=m64RrX" TargetMode="External"/><Relationship Id="rId7" Type="http://schemas.openxmlformats.org/officeDocument/2006/relationships/hyperlink" Target="../../../../../../../../../../../../../../../../../../../../../../../../../../../../../../../_layouts/15/onedrive.aspx?viewid=499b9c2a%2D87c2%2D4269%2D96ec%2Dd83130af858a&amp;id=%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2FTK%20PRODUCCIONES%2Epdf&amp;parent=%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 TargetMode="External"/><Relationship Id="rId71" Type="http://schemas.openxmlformats.org/officeDocument/2006/relationships/hyperlink" Target="https://gobiernobogota-my.sharepoint.com/:b:/g/personal/paula_cogollo_gobiernobogota_gov_co/IQCOMhD8AWA5Q4Bpp0MKSxTRAbLAkcGeJPaOO5JTYFSXnVI?e=4cKDYA" TargetMode="External"/><Relationship Id="rId92" Type="http://schemas.openxmlformats.org/officeDocument/2006/relationships/hyperlink" Target="../../../../../../../../../../../../../../../../../../../../../../../../../../../../../../../_layouts/15/onedrive.aspx?id=%2Fpersonal%2Fpaula%5Fcogollo%5Fgobiernobogota%5Fgov%5Fco%2FDocuments%2FEstudio%20de%20Mercado%20Mujeres%202026%2FCOTIZACIONES%20MARISOL%2FABANICO%20PLEGABLE%20%2D%20PROMALL%2Epdf&amp;viewid=499b9c2a%2D87c2%2D4269%2D96ec%2Dd83130af858a&amp;parent=%2Fpersonal%2Fpaula%5Fcogollo%5Fgobiernobogota%5Fgov%5Fco%2FDocuments%2FEstudio%20de%20Mercado%20Mujeres%202026%2FCOTIZACIONES%20MARISOL" TargetMode="External"/><Relationship Id="rId2" Type="http://schemas.openxmlformats.org/officeDocument/2006/relationships/hyperlink" Target="../../../../../../../../../../../../../../../../../../../../../../../../../../../../../../../_layouts/15/onedrive.aspx?id=%2Fpersonal%2Fpaula%5Fcogollo%5Fgobiernobogota%5Fgov%5Fco%2FDocuments%2FEstudio%20de%20Mercado%20Mujeres%202026%2FMeta%202%20Derechos%20y%20el%20fortalecimiento%20de%20su%20autonom%C3%ADa%20econ%C3%B3mica%2FCOMPONENTE%202%20%E2%80%93%20PP%2054149%20DDifMujer%2E%20MUESTRAS%20DE%20EXPERIENCIAS%20Y%20BONO%20REDIMIBLE%2F31%20Parlante%2FTK%20PRODUCCIONES%2Epdf&amp;viewid=499b9c2a%2D87c2%2D4269%2D96ec%2Dd83130af858a&amp;parent=%2Fpersonal%2Fpaula%5Fcogollo%5Fgobiernobogota%5Fgov%5Fco%2FDocuments%2FEstudio%20de%20Mercado%20Mujeres%202026%2FMeta%202%20Derechos%20y%20el%20fortalecimiento%20de%20su%20autonom%C3%ADa%20econ%C3%B3mica%2FCOMPONENTE%202%20%E2%80%93%20PP%2054149%20DDifMujer%2E%20MUESTRAS%20DE%20EXPERIENCIAS%20Y%20BONO%20REDIMIBLE%2F31%20Parlante" TargetMode="External"/><Relationship Id="rId29" Type="http://schemas.openxmlformats.org/officeDocument/2006/relationships/hyperlink" Target="https://gobiernobogota-my.sharepoint.com/:b:/g/personal/paula_cogollo_gobiernobogota_gov_co/IQAFCcxVvdriTI0ZcD_WTb0zARYYK36nDm8D6cTXFnGC-mI?e=p82l0C" TargetMode="External"/><Relationship Id="rId24" Type="http://schemas.openxmlformats.org/officeDocument/2006/relationships/hyperlink" Target="../../../../../../../../../../../../../../../../../../../../../../../../../../../../../../../_layouts/15/onedrive.aspx?id=%2Fpersonal%2Fpaula%5Fcogollo%5Fgobiernobogota%5Fgov%5Fco%2FDocuments%2FEstudio%20de%20Mercado%20Mujeres%202026%2FVISERA%20%2D%20DECATLON%2Epdf&amp;parent=%2Fpersonal%2Fpaula%5Fcogollo%5Fgobiernobogota%5Fgov%5Fco%2FDocuments%2FEstudio%20de%20Mercado%20Mujeres%202026" TargetMode="External"/><Relationship Id="rId40" Type="http://schemas.openxmlformats.org/officeDocument/2006/relationships/hyperlink" Target="https://gobiernobogota-my.sharepoint.com/:b:/g/personal/paula_cogollo_gobiernobogota_gov_co/IQBkZItHtyc6RbkeO6YRm25XAVMyZDLS_Vxm_Hp4XvMmFnM?e=Jhn4QL" TargetMode="External"/><Relationship Id="rId45" Type="http://schemas.openxmlformats.org/officeDocument/2006/relationships/hyperlink" Target="https://gobiernobogota-my.sharepoint.com/:b:/g/personal/paula_cogollo_gobiernobogota_gov_co/IQBkZItHtyc6RbkeO6YRm25XAVMyZDLS_Vxm_Hp4XvMmFnM?e=Jhn4QL" TargetMode="External"/><Relationship Id="rId66" Type="http://schemas.openxmlformats.org/officeDocument/2006/relationships/hyperlink" Target="https://gobiernobogota-my.sharepoint.com/:b:/g/personal/paula_cogollo_gobiernobogota_gov_co/IQCyumH8j1EOQKEetp4XnptjAebFk0pCMzPKSXjCijIN81w?e=OHOoB6" TargetMode="External"/><Relationship Id="rId87" Type="http://schemas.openxmlformats.org/officeDocument/2006/relationships/hyperlink" Target="https://gobiernobogota-my.sharepoint.com/:b:/g/personal/paula_cogollo_gobiernobogota_gov_co/IQAtWEkfIMQPSLJAMkRq3BQGARaGYHQQsQNrp73OekF62p8?e=lKimYb" TargetMode="External"/><Relationship Id="rId110" Type="http://schemas.openxmlformats.org/officeDocument/2006/relationships/hyperlink" Target="https://gobiernobogota-my.sharepoint.com/:b:/g/personal/paula_cogollo_gobiernobogota_gov_co/IQALD0OcGnxSS42aGstFpM6GAeAbWEvYsLlkZWXA1ldRsuA?e=N7fenG" TargetMode="External"/><Relationship Id="rId115" Type="http://schemas.openxmlformats.org/officeDocument/2006/relationships/hyperlink" Target="https://gobiernobogota-my.sharepoint.com/personal/paula_cogollo_gobiernobogota_gov_co/_layouts/15/onedrive.aspx?id=%2Fpersonal%2Fpaula%5Fcogollo%5Fgobiernobogota%5Fgov%5Fco%2FDocuments%2FEstudio%20de%20Mercado%20Mujeres%202026%2FCOTIZACIONES%20MARISOL%2FPINTURA%20PARA%20CERAMICA%20%2D%20LA%20GAVIOTA%2Epdf&amp;viewid=499b9c2a%2D87c2%2D4269%2D96ec%2Dd83130af858a&amp;parent=%2Fpersonal%2Fpaula%5Fcogollo%5Fgobiernobogota%5Fgov%5Fco%2FDocuments%2FEstudio%20de%20Mercado%20Mujeres%202026%2FCOTIZACIONES%20MARISOL" TargetMode="External"/><Relationship Id="rId131" Type="http://schemas.openxmlformats.org/officeDocument/2006/relationships/hyperlink" Target="https://gobiernobogota-my.sharepoint.com/:b:/g/personal/paula_cogollo_gobiernobogota_gov_co/IQDQzLpkbhFNTrqG8xeyriZEAWtji9USZeX-jsPMSn7m7xo?e=7ybyqi" TargetMode="External"/><Relationship Id="rId136" Type="http://schemas.openxmlformats.org/officeDocument/2006/relationships/hyperlink" Target="https://gobiernobogota-my.sharepoint.com/:b:/g/personal/paula_cogollo_gobiernobogota_gov_co/IQAg4O9OpmdTSpvObzhJOA9_AXIwLjf__a_i4QswSyWPcVU?e=WwuL0V" TargetMode="External"/><Relationship Id="rId157" Type="http://schemas.openxmlformats.org/officeDocument/2006/relationships/comments" Target="../comments1.xml"/><Relationship Id="rId61" Type="http://schemas.openxmlformats.org/officeDocument/2006/relationships/hyperlink" Target="https://gobiernobogota-my.sharepoint.com/:b:/g/personal/paula_cogollo_gobiernobogota_gov_co/IQAwRTzzjPJxQYC7P9EjBx-_AbPfwUT508EvTWy3AGtgWIo?e=EXuPkS" TargetMode="External"/><Relationship Id="rId82" Type="http://schemas.openxmlformats.org/officeDocument/2006/relationships/hyperlink" Target="https://gobiernobogota-my.sharepoint.com/:b:/g/personal/paula_cogollo_gobiernobogota_gov_co/IQCwTY-p9gmwQbHhQvq10mfOAY0sHKslbkX8OjDLfsezIHc?e=FkrZyd" TargetMode="External"/><Relationship Id="rId152" Type="http://schemas.openxmlformats.org/officeDocument/2006/relationships/hyperlink" Target="https://gobiernobogota-my.sharepoint.com/:b:/g/personal/paula_cogollo_gobiernobogota_gov_co/IQDRP8MbpdFTRI-BIlUKelsFAbqEMqgWuXlVw4LEhyLyGSA?e=gj5aDo" TargetMode="External"/><Relationship Id="rId19" Type="http://schemas.openxmlformats.org/officeDocument/2006/relationships/hyperlink" Target="https://gobiernobogota-my.sharepoint.com/:b:/g/personal/paula_cogollo_gobiernobogota_gov_co/IQAdVno32GDdRqVSTJ39QgLFASX1CIvcekPACzHFubFlWQU?e=Aoo2ZU" TargetMode="External"/><Relationship Id="rId14" Type="http://schemas.openxmlformats.org/officeDocument/2006/relationships/hyperlink" Target="https://gobiernobogota-my.sharepoint.com/:x:/r/personal/paula_cogollo_gobiernobogota_gov_co/_layouts/15/Doc.aspx?sourcedoc=%7BDC42C576-47CF-4FFD-A7E0-7DC5834E0083%7D&amp;file=D%26R%20PRODUCCIONESS.xlsx&amp;action=default&amp;mobileredirect=true" TargetMode="External"/><Relationship Id="rId30" Type="http://schemas.openxmlformats.org/officeDocument/2006/relationships/hyperlink" Target="https://gobiernobogota-my.sharepoint.com/:b:/g/personal/paula_cogollo_gobiernobogota_gov_co/IQAFCcxVvdriTI0ZcD_WTb0zARYYK36nDm8D6cTXFnGC-mI?e=p82l0C" TargetMode="External"/><Relationship Id="rId35" Type="http://schemas.openxmlformats.org/officeDocument/2006/relationships/hyperlink" Target="https://gobiernobogota-my.sharepoint.com/:b:/g/personal/paula_cogollo_gobiernobogota_gov_co/IQAq9I9JOILrQ6K7zfNabL-LAcPyF0QtGw9eAwHEVSf6tSY?e=ntcafX" TargetMode="External"/><Relationship Id="rId56" Type="http://schemas.openxmlformats.org/officeDocument/2006/relationships/hyperlink" Target="https://gobiernobogota-my.sharepoint.com/:b:/g/personal/paula_cogollo_gobiernobogota_gov_co/IQD7MhWlsN89Tb05-WDpRzffAWSGvW6dBhfFsuclLqrzzOE?e=xwOQoq" TargetMode="External"/><Relationship Id="rId77" Type="http://schemas.openxmlformats.org/officeDocument/2006/relationships/hyperlink" Target="../../../../../../../../../../../../../../../../../../../../../../../../../../../../../../../_layouts/15/onedrive.aspx?viewid=499b9c2a%2D87c2%2D4269%2D96ec%2Dd83130af858a&amp;id=%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2FCARPAS%20%2D%20NEMESIS%20%2Epdf&amp;parent=%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 TargetMode="External"/><Relationship Id="rId100" Type="http://schemas.openxmlformats.org/officeDocument/2006/relationships/hyperlink" Target="../../../../../../../../../../../../../../../../../../../../../../../../../../../../../../../_layouts/15/onedrive.aspx?id=%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2FCARPAS%20PARISS%2Epdf&amp;viewid=499b9c2a%2D87c2%2D4269%2D96ec%2Dd83130af858a&amp;parent=%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 TargetMode="External"/><Relationship Id="rId105" Type="http://schemas.openxmlformats.org/officeDocument/2006/relationships/hyperlink" Target="../../../../../../../../../../../../../../../../../../../../../../../../../../../../../../../_layouts/15/onedrive.aspx?id=%2Fpersonal%2Fpaula%5Fcogollo%5Fgobiernobogota%5Fgov%5Fco%2FDocuments%2FEstudio%20de%20Mercado%20Mujeres%202026%2FCOTIZACIONES%20MARISOL%2FABANICO%20PLEGABLE%20%2D%20TU%20PUBLICISTA%2Epdf&amp;viewid=499b9c2a%2D87c2%2D4269%2D96ec%2Dd83130af858a&amp;parent=%2Fpersonal%2Fpaula%5Fcogollo%5Fgobiernobogota%5Fgov%5Fco%2FDocuments%2FEstudio%20de%20Mercado%20Mujeres%202026%2FCOTIZACIONES%20MARISOL" TargetMode="External"/><Relationship Id="rId126" Type="http://schemas.openxmlformats.org/officeDocument/2006/relationships/hyperlink" Target="https://gobiernobogota-my.sharepoint.com/:b:/g/personal/paula_cogollo_gobiernobogota_gov_co/IQBcWVuWkLmOSqR2NFfIMx4KASWbty8UVsHunSYyHNaFZMM?e=RXx9KU" TargetMode="External"/><Relationship Id="rId147" Type="http://schemas.openxmlformats.org/officeDocument/2006/relationships/hyperlink" Target="https://gobiernobogota-my.sharepoint.com/:b:/g/personal/paula_cogollo_gobiernobogota_gov_co/IQDuDNe1rstPQ7GOiUjKx9xHAeRiWN6dEuQQryYudkvGVGQ?e=Gd2uec" TargetMode="External"/><Relationship Id="rId8" Type="http://schemas.openxmlformats.org/officeDocument/2006/relationships/hyperlink" Target="https://gobiernobogota-my.sharepoint.com/:x:/r/personal/paula_cogollo_gobiernobogota_gov_co/_layouts/15/Doc.aspx?sourcedoc=%7BDC42C576-47CF-4FFD-A7E0-7DC5834E0083%7D&amp;file=D%26R%20PRODUCCIONESS.xlsx&amp;action=default&amp;mobileredirect=true" TargetMode="External"/><Relationship Id="rId51" Type="http://schemas.openxmlformats.org/officeDocument/2006/relationships/hyperlink" Target="https://gobiernobogota-my.sharepoint.com/:b:/g/personal/paula_cogollo_gobiernobogota_gov_co/IQDYc31GDWx6TrWWdJU2thTPAUF4mnWUt6jVXUuRscssWlg?e=nwIeHC" TargetMode="External"/><Relationship Id="rId72" Type="http://schemas.openxmlformats.org/officeDocument/2006/relationships/hyperlink" Target="https://gobiernobogota-my.sharepoint.com/:b:/g/personal/paula_cogollo_gobiernobogota_gov_co/IQAm6o2yRWuHRr9NdEeL2twrAdHE15TKX0meq3TpizXzf8I?e=MaTtha" TargetMode="External"/><Relationship Id="rId93" Type="http://schemas.openxmlformats.org/officeDocument/2006/relationships/hyperlink" Target="../../../../../../../../../../../../../../../../../../../../../../../../../../../../../../../_layouts/15/onedrive.aspx?id=%2Fpersonal%2Fpaula%5Fcogollo%5Fgobiernobogota%5Fgov%5Fco%2FDocuments%2FEstudio%20de%20Mercado%20Mujeres%202026%2FCOTIZACIONES%20MARISOL%2FSMARTWATCH%20%2D%20FALABELLA%2Epdf&amp;viewid=499b9c2a%2D87c2%2D4269%2D96ec%2Dd83130af858a&amp;parent=%2Fpersonal%2Fpaula%5Fcogollo%5Fgobiernobogota%5Fgov%5Fco%2FDocuments%2FEstudio%20de%20Mercado%20Mujeres%202026%2FCOTIZACIONES%20MARISOL" TargetMode="External"/><Relationship Id="rId98" Type="http://schemas.openxmlformats.org/officeDocument/2006/relationships/hyperlink" Target="../../../../../../../../../../../../../../../../../../../../../../../../../../../../../../../_layouts/15/onedrive.aspx?id=%2Fpersonal%2Fpaula%5Fcogollo%5Fgobiernobogota%5Fgov%5Fco%2FDocuments%2FEstudio%20de%20Mercado%20Mujeres%202026%2FCOTIZACIONES%20MARISOL%2FADAPTADORES%20%2D%20FALABELLA%2Epdf&amp;viewid=499b9c2a%2D87c2%2D4269%2D96ec%2Dd83130af858a&amp;parent=%2Fpersonal%2Fpaula%5Fcogollo%5Fgobiernobogota%5Fgov%5Fco%2FDocuments%2FEstudio%20de%20Mercado%20Mujeres%202026%2FCOTIZACIONES%20MARISOL" TargetMode="External"/><Relationship Id="rId121" Type="http://schemas.openxmlformats.org/officeDocument/2006/relationships/hyperlink" Target="https://gobiernobogota-my.sharepoint.com/personal/paula_cogollo_gobiernobogota_gov_co/_layouts/15/onedrive.aspx?id=%2Fpersonal%2Fpaula%5Fcogollo%5Fgobiernobogota%5Fgov%5Fco%2FDocuments%2FEstudio%20de%20Mercado%20Mujeres%202026%2FCOTIZACIONES%20MARISOL%2FPINTURA%20PARA%20CERAMICA%20%2D%20TODO%20EN%20ARTES%2Epdf&amp;viewid=499b9c2a%2D87c2%2D4269%2D96ec%2Dd83130af858a&amp;parent=%2Fpersonal%2Fpaula%5Fcogollo%5Fgobiernobogota%5Fgov%5Fco%2FDocuments%2FEstudio%20de%20Mercado%20Mujeres%202026%2FCOTIZACIONES%20MARISOL" TargetMode="External"/><Relationship Id="rId142" Type="http://schemas.openxmlformats.org/officeDocument/2006/relationships/hyperlink" Target="https://gobiernobogota-my.sharepoint.com/personal/paula_cogollo_gobiernobogota_gov_co/_layouts/15/onedrive.aspx?id=%2Fpersonal%2Fpaula%5Fcogollo%5Fgobiernobogota%5Fgov%5Fco%2FDocuments%2FEstudio%20de%20Mercado%20Mujeres%202026%2FMeta%20Acciones%20para%20la%20prevenci%C3%B3n%20del%20feminicidio%20y%20la%20violencia%20contra%20la%20mujer%2FComponente%201%2055568%20DDifMujer%20Fechas%20conmemorativas%2025N%20y%204D%2Fa%2ECarrera%20de%20la%20mujer%20%2D%205K%2FITEM%20235%2FCRONOMETRAJE%20%2D%20GARMIN%20%2B%20MYLAPS%2Epdf&amp;viewid=499b9c2a%2D87c2%2D4269%2D96ec%2Dd83130af858a&amp;parent=%2Fpersonal%2Fpaula%5Fcogollo%5Fgobiernobogota%5Fgov%5Fco%2FDocuments%2FEstudio%20de%20Mercado%20Mujeres%202026%2FMeta%20Acciones%20para%20la%20prevenci%C3%B3n%20del%20feminicidio%20y%20la%20violencia%20contra%20la%20mujer%2FComponente%201%2055568%20DDifMujer%20Fechas%20conmemorativas%2025N%20y%204D%2Fa%2ECarrera%20de%20la%20mujer%20%2D%205K%2FITEM%20235" TargetMode="External"/><Relationship Id="rId3" Type="http://schemas.openxmlformats.org/officeDocument/2006/relationships/hyperlink" Target="../../../../../../../../../../../../../../../../../../../../../../../../../../../../../../../_layouts/15/onedrive.aspx?viewid=499b9c2a%2D87c2%2D4269%2D96ec%2Dd83130af858a&amp;id=%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2FTK%20PRODUCCIONES%2Epdf&amp;parent=%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 TargetMode="External"/><Relationship Id="rId25" Type="http://schemas.openxmlformats.org/officeDocument/2006/relationships/hyperlink" Target="../../../../../../../../../../../../../../../../../../../../../../../../../../../../../../../_layouts/15/onedrive.aspx?id=%2Fpersonal%2Fpaula%5Fcogollo%5Fgobiernobogota%5Fgov%5Fco%2FDocuments%2FEstudio%20de%20Mercado%20Mujeres%202026%2FVISERA%20%2D%20SPORTFITNESS%2Epdf&amp;parent=%2Fpersonal%2Fpaula%5Fcogollo%5Fgobiernobogota%5Fgov%5Fco%2FDocuments%2FEstudio%20de%20Mercado%20Mujeres%202026" TargetMode="External"/><Relationship Id="rId46" Type="http://schemas.openxmlformats.org/officeDocument/2006/relationships/hyperlink" Target="https://gobiernobogota-my.sharepoint.com/:b:/g/personal/paula_cogollo_gobiernobogota_gov_co/IQBkZItHtyc6RbkeO6YRm25XAVMyZDLS_Vxm_Hp4XvMmFnM?e=Jhn4QL" TargetMode="External"/><Relationship Id="rId67" Type="http://schemas.openxmlformats.org/officeDocument/2006/relationships/hyperlink" Target="https://gobiernobogota-my.sharepoint.com/:b:/g/personal/paula_cogollo_gobiernobogota_gov_co/IQCdM1cpdrKUSLd7jKKipGowAfEM0Ov_df4rsranjJfq7UU?e=QqXuiB" TargetMode="External"/><Relationship Id="rId116" Type="http://schemas.openxmlformats.org/officeDocument/2006/relationships/hyperlink" Target="https://gobiernobogota-my.sharepoint.com/personal/paula_cogollo_gobiernobogota_gov_co/_layouts/15/onedrive.aspx?id=%2Fpersonal%2Fpaula%5Fcogollo%5Fgobiernobogota%5Fgov%5Fco%2FDocuments%2FEstudio%20de%20Mercado%20Mujeres%202026%2FCOTIZACIONES%20MARISOL%2FPINTURA%20PARA%20CERAMICA%20%2D%20LA%20GAVIOTA%2Epdf&amp;viewid=499b9c2a%2D87c2%2D4269%2D96ec%2Dd83130af858a&amp;parent=%2Fpersonal%2Fpaula%5Fcogollo%5Fgobiernobogota%5Fgov%5Fco%2FDocuments%2FEstudio%20de%20Mercado%20Mujeres%202026%2FCOTIZACIONES%20MARISOL" TargetMode="External"/><Relationship Id="rId137" Type="http://schemas.openxmlformats.org/officeDocument/2006/relationships/hyperlink" Target="https://gobiernobogota-my.sharepoint.com/:x:/r/personal/paula_cogollo_gobiernobogota_gov_co/_layouts/15/Doc.aspx?sourcedoc=%7BC11A3A0C-FA99-4446-8310-87781B7F73A1%7D&amp;file=3.%2006042026_modelo%20evento%20de%20cotizacion_Mujer_IntegracionS%20-%20TERMINADO%20COT.%20NAYIB.xlsx&amp;action=default&amp;mobileredirect=true" TargetMode="External"/><Relationship Id="rId20" Type="http://schemas.openxmlformats.org/officeDocument/2006/relationships/hyperlink" Target="https://gobiernobogota-my.sharepoint.com/:b:/g/personal/paula_cogollo_gobiernobogota_gov_co/IQAdVno32GDdRqVSTJ39QgLFASX1CIvcekPACzHFubFlWQU?e=Aoo2ZU" TargetMode="External"/><Relationship Id="rId41" Type="http://schemas.openxmlformats.org/officeDocument/2006/relationships/hyperlink" Target="https://gobiernobogota-my.sharepoint.com/:b:/g/personal/paula_cogollo_gobiernobogota_gov_co/IQDxEM6y_hmuRK9c1xUxcOzJAdpKJf3eJig-_R0y6oHF2Cg?e=te4fVi" TargetMode="External"/><Relationship Id="rId62" Type="http://schemas.openxmlformats.org/officeDocument/2006/relationships/hyperlink" Target="https://gobiernobogota-my.sharepoint.com/:b:/g/personal/paula_cogollo_gobiernobogota_gov_co/IQDILkWuYe86RJhKYx2p8GKHAUKfXQOgII3Vwmo2lpThuDE?e=eGgjJn" TargetMode="External"/><Relationship Id="rId83" Type="http://schemas.openxmlformats.org/officeDocument/2006/relationships/hyperlink" Target="https://gobiernobogota-my.sharepoint.com/:b:/g/personal/paula_cogollo_gobiernobogota_gov_co/IQArkkM8__EfQacw8L_FwkeyAfKKLIu0HHP47y8LWVdgN9M?e=BDgS0c" TargetMode="External"/><Relationship Id="rId88" Type="http://schemas.openxmlformats.org/officeDocument/2006/relationships/hyperlink" Target="../../../../../../../../../../../../../../../../../../../../../../../../../../../../../../../_layouts/15/onedrive.aspx?viewid=499b9c2a%2D87c2%2D4269%2D96ec%2Dd83130af858a&amp;id=%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2FCARPAS%20%2D%20NEMESIS%20%2Epdf&amp;parent=%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 TargetMode="External"/><Relationship Id="rId111" Type="http://schemas.openxmlformats.org/officeDocument/2006/relationships/hyperlink" Target="https://gobiernobogota-my.sharepoint.com/:b:/g/personal/paula_cogollo_gobiernobogota_gov_co/IQBU7CrKo6YqSaFYY_aHVUDYAXnhlsDaW42sEHdEM8exu94?e=fUIhk2" TargetMode="External"/><Relationship Id="rId132" Type="http://schemas.openxmlformats.org/officeDocument/2006/relationships/hyperlink" Target="https://gobiernobogota-my.sharepoint.com/:b:/g/personal/paula_cogollo_gobiernobogota_gov_co/IQDyq764uBWASaGaTA6iTzJhAUJNaPCNDrChv9Ja2XaPFlg?e=BgswTh" TargetMode="External"/><Relationship Id="rId153" Type="http://schemas.openxmlformats.org/officeDocument/2006/relationships/hyperlink" Target="../../../../../../../../../../../../../../../../../../../../../../../../../../../../../../../_layouts/15/onedrive.aspx?id=%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2F1%20Tecnicarpas%5F481FEAC6%2D6621%2D43B7%2DBD24%2D14E642E52A4A2025%2D08%2D06T12%2D48%2D03%2Epdf&amp;viewid=499b9c2a%2D87c2%2D4269%2D96ec%2Dd83130af858a&amp;parent=%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 TargetMode="External"/><Relationship Id="rId15" Type="http://schemas.openxmlformats.org/officeDocument/2006/relationships/hyperlink" Target="https://gobiernobogota-my.sharepoint.com/:b:/g/personal/paula_cogollo_gobiernobogota_gov_co/IQAldAIOKUS6QodmzBMTM-qPAQdK9jeRUe80EqAzRUaiSTQ?e=J8EgMI" TargetMode="External"/><Relationship Id="rId36" Type="http://schemas.openxmlformats.org/officeDocument/2006/relationships/hyperlink" Target="https://gobiernobogota-my.sharepoint.com/:b:/g/personal/paula_cogollo_gobiernobogota_gov_co/IQDEQaE-dvffQJuSTSthljKTAQCQco6aUZ_Nb1lLF2hU0UQ?e=NFwfOV" TargetMode="External"/><Relationship Id="rId57" Type="http://schemas.openxmlformats.org/officeDocument/2006/relationships/hyperlink" Target="https://gobiernobogota-my.sharepoint.com/:b:/g/personal/paula_cogollo_gobiernobogota_gov_co/IQCwkpKlwJFfRrTwOGKCLpvQASGgLVgzmz4QLiXfEWp3weg?e=xaKiQh" TargetMode="External"/><Relationship Id="rId106" Type="http://schemas.openxmlformats.org/officeDocument/2006/relationships/hyperlink" Target="https://gobiernobogota-my.sharepoint.com/:b:/g/personal/paula_cogollo_gobiernobogota_gov_co/IQDuQaayx66UT7inzi2CZZfZARqHN886w3lc6IsULSnMcmc?e=QIlgOI" TargetMode="External"/><Relationship Id="rId127" Type="http://schemas.openxmlformats.org/officeDocument/2006/relationships/hyperlink" Target="https://gobiernobogota-my.sharepoint.com/:b:/g/personal/paula_cogollo_gobiernobogota_gov_co/IQB_PYsKcC1qQIEa13FYSHwuAYeG37ne7SjL2P_EVMMDK0Q?e=bU3Uuv" TargetMode="External"/><Relationship Id="rId10" Type="http://schemas.openxmlformats.org/officeDocument/2006/relationships/hyperlink" Target="https://gobiernobogota-my.sharepoint.com/:x:/r/personal/paula_cogollo_gobiernobogota_gov_co/_layouts/15/Doc.aspx?sourcedoc=%7BD00BF624-CFEA-4F3F-89AC-EC4EAC448907%7D&amp;file=D%26R%20PRODUCCIONESS.xlsx&amp;action=default&amp;mobileredirect=true" TargetMode="External"/><Relationship Id="rId31" Type="http://schemas.openxmlformats.org/officeDocument/2006/relationships/hyperlink" Target="https://gobiernobogota-my.sharepoint.com/:b:/g/personal/paula_cogollo_gobiernobogota_gov_co/IQA3HHjzximURKGol1tkdiWwAf0Cmc9weh7tKeeBmhu8xFQ?e=rrsDa2" TargetMode="External"/><Relationship Id="rId52" Type="http://schemas.openxmlformats.org/officeDocument/2006/relationships/hyperlink" Target="https://gobiernobogota-my.sharepoint.com/:b:/g/personal/paula_cogollo_gobiernobogota_gov_co/IQBGyJCnODGCSas3rDehycYHAQEvqnVQ6ZZm7dGHWeurjgk?e=OVgTSD" TargetMode="External"/><Relationship Id="rId73" Type="http://schemas.openxmlformats.org/officeDocument/2006/relationships/hyperlink" Target="../../../../../../../../../../../../../../../../../../../../../../../../../../../../../../../_layouts/15/onedrive.aspx?viewid=499b9c2a%2D87c2%2D4269%2D96ec%2Dd83130af858a&amp;id=%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2FCARPAS%20%2D%20NEMESIS%20%2Epdf&amp;parent=%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 TargetMode="External"/><Relationship Id="rId78" Type="http://schemas.openxmlformats.org/officeDocument/2006/relationships/hyperlink" Target="../../../../../../../../../../../../../../../../../../../../../../../../../../../../../../../_layouts/15/onedrive.aspx?id=%2Fpersonal%2Fpaula%5Fcogollo%5Fgobiernobogota%5Fgov%5Fco%2FDocuments%2FEstudio%20de%20Mercado%20Mujeres%202026%2FCOTIZACIONES%20MARISOL%2FMANILLA%20DE%20PAPEL%20TYVEK%20%2D%20ARTESYA%2Epdf&amp;viewid=499b9c2a%2D87c2%2D4269%2D96ec%2Dd83130af858a&amp;parent=%2Fpersonal%2Fpaula%5Fcogollo%5Fgobiernobogota%5Fgov%5Fco%2FDocuments%2FEstudio%20de%20Mercado%20Mujeres%202026%2FCOTIZACIONES%20MARISOL" TargetMode="External"/><Relationship Id="rId94" Type="http://schemas.openxmlformats.org/officeDocument/2006/relationships/hyperlink" Target="../../../../../../../../../../../../../../../../../../../../../../../../../../../../../../../_layouts/15/onedrive.aspx?id=%2Fpersonal%2Fpaula%5Fcogollo%5Fgobiernobogota%5Fgov%5Fco%2FDocuments%2FEstudio%20de%20Mercado%20Mujeres%202026%2FCOTIZACIONES%20MARISOL%2FSMARTWATCH%20%2D%20EXITO%2Epdf&amp;viewid=499b9c2a%2D87c2%2D4269%2D96ec%2Dd83130af858a&amp;parent=%2Fpersonal%2Fpaula%5Fcogollo%5Fgobiernobogota%5Fgov%5Fco%2FDocuments%2FEstudio%20de%20Mercado%20Mujeres%202026%2FCOTIZACIONES%20MARISOL" TargetMode="External"/><Relationship Id="rId99" Type="http://schemas.openxmlformats.org/officeDocument/2006/relationships/hyperlink" Target="../../../../../../../../../../../../../../../../../../../../../../../../../../../../../../../_layouts/15/onedrive.aspx?id=%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2FCARPAS%20%2D%20NEMESIS%20%2Epdf&amp;viewid=499b9c2a%2D87c2%2D4269%2D96ec%2Dd83130af858a&amp;parent=%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 TargetMode="External"/><Relationship Id="rId101" Type="http://schemas.openxmlformats.org/officeDocument/2006/relationships/hyperlink" Target="https://gobiernobogota-my.sharepoint.com/:b:/g/personal/paula_cogollo_gobiernobogota_gov_co/IQBAkrrxi_-MRYE0jCq9zHJPAbYDTAZmg4P-_bYaZIdgGmI?e=IlkQDE" TargetMode="External"/><Relationship Id="rId122" Type="http://schemas.openxmlformats.org/officeDocument/2006/relationships/hyperlink" Target="https://gobiernobogota-my.sharepoint.com/personal/paula_cogollo_gobiernobogota_gov_co/_layouts/15/onedrive.aspx?id=%2Fpersonal%2Fpaula%5Fcogollo%5Fgobiernobogota%5Fgov%5Fco%2FDocuments%2FEstudio%20de%20Mercado%20Mujeres%202026%2FCOTIZACIONES%20MARISOL%2FPINTURA%20PARA%20CERAMICA%20%2D%20TODO%20EN%20ARTES%2Epdf&amp;viewid=499b9c2a%2D87c2%2D4269%2D96ec%2Dd83130af858a&amp;parent=%2Fpersonal%2Fpaula%5Fcogollo%5Fgobiernobogota%5Fgov%5Fco%2FDocuments%2FEstudio%20de%20Mercado%20Mujeres%202026%2FCOTIZACIONES%20MARISOL" TargetMode="External"/><Relationship Id="rId143" Type="http://schemas.openxmlformats.org/officeDocument/2006/relationships/hyperlink" Target="https://gobiernobogota-my.sharepoint.com/personal/paula_cogollo_gobiernobogota_gov_co/_layouts/15/onedrive.aspx?id=%2Fpersonal%2Fpaula%5Fcogollo%5Fgobiernobogota%5Fgov%5Fco%2FDocuments%2FEstudio%20de%20Mercado%20Mujeres%202026%2FMeta%20Acciones%20para%20la%20prevenci%C3%B3n%20del%20feminicidio%20y%20la%20violencia%20contra%20la%20mujer%2FComponente%201%2055568%20DDifMujer%20Fechas%20conmemorativas%2025N%20y%204D%2Fa%2ECarrera%20de%20la%20mujer%20%2D%205K%2FITEM%20240%2F1%2E%20HELP%20AND%20LIFE%2Epdf&amp;viewid=499b9c2a%2D87c2%2D4269%2D96ec%2Dd83130af858a&amp;parent=%2Fpersonal%2Fpaula%5Fcogollo%5Fgobiernobogota%5Fgov%5Fco%2FDocuments%2FEstudio%20de%20Mercado%20Mujeres%202026%2FMeta%20Acciones%20para%20la%20prevenci%C3%B3n%20del%20feminicidio%20y%20la%20violencia%20contra%20la%20mujer%2FComponente%201%2055568%20DDifMujer%20Fechas%20conmemorativas%2025N%20y%204D%2Fa%2ECarrera%20de%20la%20mujer%20%2D%205K%2FITEM%20240" TargetMode="External"/><Relationship Id="rId148" Type="http://schemas.openxmlformats.org/officeDocument/2006/relationships/hyperlink" Target="https://gobiernobogota-my.sharepoint.com/:b:/g/personal/paula_cogollo_gobiernobogota_gov_co/IQATNzLL4WJWT7ShMJx_qxu0AUFps3hTslF8LsZcE_p3Bi4?e=cJRPFK" TargetMode="External"/><Relationship Id="rId4" Type="http://schemas.openxmlformats.org/officeDocument/2006/relationships/hyperlink" Target="../../../../../../../../../../../../../../../../../../../../../../../../../../../../../../../_layouts/15/onedrive.aspx?viewid=499b9c2a%2D87c2%2D4269%2D96ec%2Dd83130af858a&amp;id=%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2FTK%20PRODUCCIONES%2Epdf&amp;parent=%2Fpersonal%2Fpaula%5Fcogollo%5Fgobiernobogota%5Fgov%5Fco%2FDocuments%2FEstudio%20de%20Mercado%20Mujeres%202026%2FMeta%202%20Derechos%20y%20el%20fortalecimiento%20de%20su%20autonom%C3%ADa%20econ%C3%B3mica%2FCOMPONENTE%202%20%E2%80%93%20PP%2054149%20DDifMujer%2E%20MUESTRAS%20DE%20EXPERIENCIAS%20Y%20BONO%20REDIMIBLE%2F28%20Alquiler%20de%20carpas" TargetMode="External"/><Relationship Id="rId9" Type="http://schemas.openxmlformats.org/officeDocument/2006/relationships/hyperlink" Target="https://gobiernobogota-my.sharepoint.com/:x:/r/personal/paula_cogollo_gobiernobogota_gov_co/_layouts/15/Doc.aspx?sourcedoc=%7B6C815900-DDBC-4289-B256-EFAF8F69FF08%7D&amp;file=D%26R%20PRODUCCIONESS.xlsx&amp;action=default&amp;mobileredirect=true" TargetMode="External"/><Relationship Id="rId26" Type="http://schemas.openxmlformats.org/officeDocument/2006/relationships/hyperlink" Target="../../../../../../../../../../../../../../../../../../../../../../../../../../../../../../../_layouts/15/onedrive.aspx?id=%2Fpersonal%2Fpaula%5Fcogollo%5Fgobiernobogota%5Fgov%5Fco%2FDocuments%2FEstudio%20de%20Mercado%20Mujeres%202026%2FVISERA%20%2D%20PUNTO%20BLANCO%2Epdf&amp;parent=%2Fpersonal%2Fpaula%5Fcogollo%5Fgobiernobogota%5Fgov%5Fco%2FDocuments%2FEstudio%20de%20Mercado%20Mujeres%202026" TargetMode="External"/><Relationship Id="rId47" Type="http://schemas.openxmlformats.org/officeDocument/2006/relationships/hyperlink" Target="https://gobiernobogota-my.sharepoint.com/:b:/g/personal/paula_cogollo_gobiernobogota_gov_co/IQAJBr6Y9W_4R4W0RaHNyI5hAamEgn4FS897F41MTqoyXD0?e=bgiHXi" TargetMode="External"/><Relationship Id="rId68" Type="http://schemas.openxmlformats.org/officeDocument/2006/relationships/hyperlink" Target="https://gobiernobogota-my.sharepoint.com/:b:/g/personal/paula_cogollo_gobiernobogota_gov_co/IQCDrlB1u4WdSIfSMtEPjXWbAWLwfpDkYU3atABFYaezYnM?e=uOjlWf" TargetMode="External"/><Relationship Id="rId89" Type="http://schemas.openxmlformats.org/officeDocument/2006/relationships/hyperlink" Target="../../../../../../../../../../../../../../../../../../../../../../../../../../../../../../../_layouts/15/onedrive.aspx?id=%2Fpersonal%2Fpaula%5Fcogollo%5Fgobiernobogota%5Fgov%5Fco%2FDocuments%2FEstudio%20de%20Mercado%20Mujeres%202026%2FCOTIZACIONES%20MARISOL%2FMANGAS%20DE%20PROTECCION%20%2D%20FALABELLA%2Epdf&amp;viewid=499b9c2a%2D87c2%2D4269%2D96ec%2Dd83130af858a&amp;parent=%2Fpersonal%2Fpaula%5Fcogollo%5Fgobiernobogota%5Fgov%5Fco%2FDocuments%2FEstudio%20de%20Mercado%20Mujeres%202026%2FCOTIZACIONES%20MARISOL" TargetMode="External"/><Relationship Id="rId112" Type="http://schemas.openxmlformats.org/officeDocument/2006/relationships/hyperlink" Target="https://gobiernobogota-my.sharepoint.com/:b:/g/personal/paula_cogollo_gobiernobogota_gov_co/IQBOtEYimrcHRJL3sBgEcFPhAeYdqQueQq95RGe7eZMJ9sM?e=PBQM1g" TargetMode="External"/><Relationship Id="rId133" Type="http://schemas.openxmlformats.org/officeDocument/2006/relationships/hyperlink" Target="https://gobiernobogota-my.sharepoint.com/:b:/g/personal/paula_cogollo_gobiernobogota_gov_co/IQDyq764uBWASaGaTA6iTzJhAUJNaPCNDrChv9Ja2XaPFlg?e=BgswTh" TargetMode="External"/><Relationship Id="rId154" Type="http://schemas.openxmlformats.org/officeDocument/2006/relationships/hyperlink" Target="https://gobiernobogota-my.sharepoint.com/:x:/r/personal/paula_cogollo_gobiernobogota_gov_co/_layouts/15/Doc.aspx?sourcedoc=%7BDC42C576-47CF-4FFD-A7E0-7DC5834E0083%7D&amp;file=D%26R%20PRODUCCIONESS.xlsx&amp;action=default&amp;mobileredirect=true" TargetMode="External"/><Relationship Id="rId16" Type="http://schemas.openxmlformats.org/officeDocument/2006/relationships/hyperlink" Target="https://gobiernobogota-my.sharepoint.com/:b:/g/personal/paula_cogollo_gobiernobogota_gov_co/IQBEopd7rDa6RqQISetdUukiAfYPXIlVzIpQJfmU054yV_c?e=soZoYs" TargetMode="External"/><Relationship Id="rId37" Type="http://schemas.openxmlformats.org/officeDocument/2006/relationships/hyperlink" Target="https://gobiernobogota-my.sharepoint.com/:b:/g/personal/paula_cogollo_gobiernobogota_gov_co/IQDEQaE-dvffQJuSTSthljKTAQCQco6aUZ_Nb1lLF2hU0UQ?e=NFwfOV" TargetMode="External"/><Relationship Id="rId58" Type="http://schemas.openxmlformats.org/officeDocument/2006/relationships/hyperlink" Target="https://gobiernobogota-my.sharepoint.com/:b:/g/personal/paula_cogollo_gobiernobogota_gov_co/IQCAHxNfNZpeQrJ07k_ZNfvcAaRTneUEFy6LgEXhqQB1GC4?e=aRZecC" TargetMode="External"/><Relationship Id="rId79" Type="http://schemas.openxmlformats.org/officeDocument/2006/relationships/hyperlink" Target="../../../../../../../../../../../../../../../../../../../../../../../../../../../../../../../_layouts/15/onedrive.aspx?id=%2Fpersonal%2Fpaula%5Fcogollo%5Fgobiernobogota%5Fgov%5Fco%2FDocuments%2FEstudio%20de%20Mercado%20Mujeres%202026%2FCOTIZACIONES%20MARISOL%2FMANILLA%20DE%20PAPEL%20TYVEK%20%2D%20UNIVERCITY%2Epdf&amp;viewid=499b9c2a%2D87c2%2D4269%2D96ec%2Dd83130af858a&amp;parent=%2Fpersonal%2Fpaula%5Fcogollo%5Fgobiernobogota%5Fgov%5Fco%2FDocuments%2FEstudio%20de%20Mercado%20Mujeres%202026%2FCOTIZACIONES%20MARISOL" TargetMode="External"/><Relationship Id="rId102" Type="http://schemas.openxmlformats.org/officeDocument/2006/relationships/hyperlink" Target="https://gobiernobogota-my.sharepoint.com/:b:/g/personal/paula_cogollo_gobiernobogota_gov_co/IQBAkrrxi_-MRYE0jCq9zHJPAbYDTAZmg4P-_bYaZIdgGmI?e=IlkQDE" TargetMode="External"/><Relationship Id="rId123" Type="http://schemas.openxmlformats.org/officeDocument/2006/relationships/hyperlink" Target="https://gobiernobogota-my.sharepoint.com/:b:/g/personal/paula_cogollo_gobiernobogota_gov_co/IQAHWVLsPCZWSonxoJQiTOaQAd2npa8XTAqXi9LhAxnzRQI?e=RexJcc" TargetMode="External"/><Relationship Id="rId144" Type="http://schemas.openxmlformats.org/officeDocument/2006/relationships/hyperlink" Target="https://gobiernobogota-my.sharepoint.com/:b:/g/personal/paula_cogollo_gobiernobogota_gov_co/IQBJOQ05rDrcSbyExV_3yHXPAcfLAUWK3IqHmCkKxSgq90w?e=cmNm37" TargetMode="External"/><Relationship Id="rId90" Type="http://schemas.openxmlformats.org/officeDocument/2006/relationships/hyperlink" Target="../../../../../../../../../../../../../../../../../../../../../../../../../../../../../../../_layouts/15/onedrive.aspx?id=%2Fpersonal%2Fpaula%5Fcogollo%5Fgobiernobogota%5Fgov%5Fco%2FDocuments%2FEstudio%20de%20Mercado%20Mujeres%202026%2FCOTIZACIONES%20MARISOL%2FMANGAS%20DE%20PROTECCION%20%2D%20SPORT%20PRO%2Epdf&amp;viewid=499b9c2a%2D87c2%2D4269%2D96ec%2Dd83130af858a&amp;parent=%2Fpersonal%2Fpaula%5Fcogollo%5Fgobiernobogota%5Fgov%5Fco%2FDocuments%2FEstudio%20de%20Mercado%20Mujeres%202026%2FCOTIZACIONES%20MARISOL" TargetMode="External"/><Relationship Id="rId27" Type="http://schemas.openxmlformats.org/officeDocument/2006/relationships/hyperlink" Target="../../../../../../../../../../../../../../../../../../../../../../../../../../../../../../../_layouts/15/onedrive.aspx?id=%2Fpersonal%2Fpaula%5Fcogollo%5Fgobiernobogota%5Fgov%5Fco%2FDocuments%2FEstudio%20de%20Mercado%20Mujeres%202026%2FTERMO%20PLASTICO%20%2D%20KREATEX%2Epdf&amp;parent=%2Fpersonal%2Fpaula%5Fcogollo%5Fgobiernobogota%5Fgov%5Fco%2FDocuments%2FEstudio%20de%20Mercado%20Mujeres%202026" TargetMode="External"/><Relationship Id="rId48" Type="http://schemas.openxmlformats.org/officeDocument/2006/relationships/hyperlink" Target="https://gobiernobogota-my.sharepoint.com/:b:/g/personal/paula_cogollo_gobiernobogota_gov_co/IQDYc31GDWx6TrWWdJU2thTPAUF4mnWUt6jVXUuRscssWlg?e=AlRSN9" TargetMode="External"/><Relationship Id="rId69" Type="http://schemas.openxmlformats.org/officeDocument/2006/relationships/hyperlink" Target="https://gobiernobogota-my.sharepoint.com/:b:/g/personal/paula_cogollo_gobiernobogota_gov_co/IQCF6uesj2amRJBuqbLt_EIPAb1l9u9VFJlNvEiGxO3PyyA?e=KZYfFE" TargetMode="External"/><Relationship Id="rId113" Type="http://schemas.openxmlformats.org/officeDocument/2006/relationships/hyperlink" Target="https://gobiernobogota-my.sharepoint.com/personal/paula_cogollo_gobiernobogota_gov_co/_layouts/15/onedrive.aspx?id=%2Fpersonal%2Fpaula%5Fcogollo%5Fgobiernobogota%5Fgov%5Fco%2FDocuments%2FEstudio%20de%20Mercado%20Mujeres%202026%2FCOTIZACIONES%20MARISOL%2FPINTURA%20PARA%20CERAMICA%20%2D%20LA%20GAVIOTA%2Epdf&amp;viewid=499b9c2a%2D87c2%2D4269%2D96ec%2Dd83130af858a&amp;parent=%2Fpersonal%2Fpaula%5Fcogollo%5Fgobiernobogota%5Fgov%5Fco%2FDocuments%2FEstudio%20de%20Mercado%20Mujeres%202026%2FCOTIZACIONES%20MARISOL" TargetMode="External"/><Relationship Id="rId134" Type="http://schemas.openxmlformats.org/officeDocument/2006/relationships/hyperlink" Target="https://gobiernobogota-my.sharepoint.com/:b:/g/personal/paula_cogollo_gobiernobogota_gov_co/IQDyq764uBWASaGaTA6iTzJhAUJNaPCNDrChv9Ja2XaPFlg?e=BgswTh"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9021DD-73E5-0442-8A00-ABC07F1B8633}">
  <dimension ref="A1:XFC412"/>
  <sheetViews>
    <sheetView tabSelected="1" zoomScale="70" zoomScaleNormal="70" workbookViewId="0">
      <pane xSplit="1" ySplit="3" topLeftCell="J396" activePane="bottomRight" state="frozen"/>
      <selection pane="topRight" activeCell="B1" sqref="B1"/>
      <selection pane="bottomLeft" activeCell="A4" sqref="A4"/>
      <selection pane="bottomRight" activeCell="N261" sqref="N261"/>
    </sheetView>
  </sheetViews>
  <sheetFormatPr baseColWidth="10" defaultColWidth="9" defaultRowHeight="16" x14ac:dyDescent="0.2"/>
  <cols>
    <col min="1" max="2" width="6.83203125" style="25" hidden="1" customWidth="1"/>
    <col min="3" max="3" width="6.83203125" style="25" customWidth="1"/>
    <col min="4" max="4" width="10.6640625" style="25" customWidth="1"/>
    <col min="5" max="5" width="24" style="40" customWidth="1"/>
    <col min="6" max="6" width="62.1640625" style="408" customWidth="1"/>
    <col min="7" max="7" width="17.1640625" style="31" customWidth="1"/>
    <col min="8" max="8" width="16" style="31" customWidth="1"/>
    <col min="9" max="9" width="16.33203125" style="31" customWidth="1"/>
    <col min="10" max="10" width="16" style="31" customWidth="1"/>
    <col min="11" max="17" width="20" style="25" customWidth="1"/>
    <col min="18" max="18" width="26.6640625" style="25" bestFit="1" customWidth="1"/>
    <col min="19" max="21" width="20" style="25" customWidth="1"/>
    <col min="22" max="22" width="25.33203125" style="25" bestFit="1" customWidth="1"/>
    <col min="23" max="23" width="20" style="25" customWidth="1"/>
    <col min="24" max="26" width="24.1640625" style="120" customWidth="1"/>
    <col min="27" max="31" width="9" style="198"/>
    <col min="32" max="32" width="9" style="198" customWidth="1"/>
    <col min="33" max="16384" width="9" style="198"/>
  </cols>
  <sheetData>
    <row r="1" spans="1:26" ht="21" thickBot="1" x14ac:dyDescent="0.25">
      <c r="A1" s="18"/>
      <c r="B1" s="18"/>
      <c r="C1" s="18"/>
      <c r="D1" s="18"/>
      <c r="E1" s="18"/>
      <c r="F1" s="389"/>
      <c r="G1" s="26"/>
      <c r="H1" s="26"/>
      <c r="I1" s="27"/>
      <c r="J1" s="27"/>
      <c r="K1" s="19"/>
      <c r="L1" s="32"/>
    </row>
    <row r="2" spans="1:26" ht="16.5" customHeight="1" x14ac:dyDescent="0.2">
      <c r="A2" s="550" t="s">
        <v>5</v>
      </c>
      <c r="B2" s="548" t="s">
        <v>846</v>
      </c>
      <c r="C2" s="546" t="s">
        <v>887</v>
      </c>
      <c r="D2" s="429"/>
      <c r="E2" s="41"/>
      <c r="F2" s="390"/>
      <c r="G2" s="20"/>
      <c r="H2" s="20"/>
      <c r="I2" s="20"/>
      <c r="J2" s="21"/>
      <c r="K2" s="564" t="s">
        <v>0</v>
      </c>
      <c r="L2" s="565"/>
      <c r="M2" s="566" t="s">
        <v>1</v>
      </c>
      <c r="N2" s="567"/>
      <c r="O2" s="568" t="s">
        <v>2</v>
      </c>
      <c r="P2" s="569"/>
      <c r="Q2" s="552" t="s">
        <v>3</v>
      </c>
      <c r="R2" s="553"/>
      <c r="S2" s="553"/>
      <c r="T2" s="553"/>
      <c r="U2" s="553"/>
      <c r="V2" s="553"/>
      <c r="W2" s="554"/>
      <c r="X2" s="555" t="s">
        <v>4</v>
      </c>
      <c r="Y2" s="556"/>
      <c r="Z2" s="557"/>
    </row>
    <row r="3" spans="1:26" ht="51" x14ac:dyDescent="0.2">
      <c r="A3" s="551"/>
      <c r="B3" s="549"/>
      <c r="C3" s="547"/>
      <c r="D3" s="430" t="s">
        <v>935</v>
      </c>
      <c r="E3" s="42" t="s">
        <v>6</v>
      </c>
      <c r="F3" s="391" t="s">
        <v>7</v>
      </c>
      <c r="G3" s="54" t="s">
        <v>8</v>
      </c>
      <c r="H3" s="54" t="s">
        <v>9</v>
      </c>
      <c r="I3" s="55" t="s">
        <v>10</v>
      </c>
      <c r="J3" s="56" t="s">
        <v>9</v>
      </c>
      <c r="K3" s="78" t="s">
        <v>11</v>
      </c>
      <c r="L3" s="79" t="s">
        <v>12</v>
      </c>
      <c r="M3" s="80" t="s">
        <v>11</v>
      </c>
      <c r="N3" s="81" t="s">
        <v>12</v>
      </c>
      <c r="O3" s="409" t="s">
        <v>11</v>
      </c>
      <c r="P3" s="410" t="s">
        <v>12</v>
      </c>
      <c r="Q3" s="161" t="s">
        <v>13</v>
      </c>
      <c r="R3" s="77" t="s">
        <v>14</v>
      </c>
      <c r="S3" s="162" t="s">
        <v>15</v>
      </c>
      <c r="T3" s="163" t="s">
        <v>16</v>
      </c>
      <c r="U3" s="162" t="s">
        <v>17</v>
      </c>
      <c r="V3" s="76" t="s">
        <v>18</v>
      </c>
      <c r="W3" s="164" t="s">
        <v>19</v>
      </c>
      <c r="X3" s="143" t="s">
        <v>0</v>
      </c>
      <c r="Y3" s="144" t="s">
        <v>1</v>
      </c>
      <c r="Z3" s="501" t="s">
        <v>2</v>
      </c>
    </row>
    <row r="4" spans="1:26" ht="51" x14ac:dyDescent="0.2">
      <c r="A4" s="33" t="s">
        <v>20</v>
      </c>
      <c r="B4" s="391"/>
      <c r="C4" s="536">
        <v>1</v>
      </c>
      <c r="D4" s="66">
        <v>1</v>
      </c>
      <c r="E4" s="43" t="s">
        <v>21</v>
      </c>
      <c r="F4" s="7" t="s">
        <v>22</v>
      </c>
      <c r="G4" s="28">
        <v>1</v>
      </c>
      <c r="H4" s="28" t="s">
        <v>23</v>
      </c>
      <c r="I4" s="22">
        <v>6</v>
      </c>
      <c r="J4" s="23" t="s">
        <v>24</v>
      </c>
      <c r="K4" s="105">
        <v>7996001</v>
      </c>
      <c r="L4" s="106">
        <f t="shared" ref="L4:L12" si="0">+K4*G4*I4</f>
        <v>47976006</v>
      </c>
      <c r="M4" s="122"/>
      <c r="N4" s="123"/>
      <c r="O4" s="122"/>
      <c r="P4" s="123"/>
      <c r="Q4" s="165">
        <f t="shared" ref="Q4:Q12" si="1">+AVERAGE(K4,M4,O4)</f>
        <v>7996001</v>
      </c>
      <c r="R4" s="166">
        <f t="shared" ref="R4:R16" si="2">+Q4*G4*I4</f>
        <v>47976006</v>
      </c>
      <c r="S4" s="222">
        <f t="shared" ref="S4:S12" si="3">_xlfn.STDEV.P(K4,M4,O4)</f>
        <v>0</v>
      </c>
      <c r="T4" s="223">
        <f t="shared" ref="T4:T13" si="4">+S4/Q4</f>
        <v>0</v>
      </c>
      <c r="U4" s="224">
        <f t="shared" ref="U4:U12" si="5">+MEDIAN(K4,M4,O4)</f>
        <v>7996001</v>
      </c>
      <c r="V4" s="225">
        <f t="shared" ref="V4:V16" si="6">+U4*G4*I4</f>
        <v>47976006</v>
      </c>
      <c r="W4" s="149">
        <f t="shared" ref="W4:W13" si="7">+S4/U4</f>
        <v>0</v>
      </c>
      <c r="X4" s="152" t="s">
        <v>819</v>
      </c>
      <c r="Y4" s="137"/>
      <c r="Z4" s="138"/>
    </row>
    <row r="5" spans="1:26" ht="75" x14ac:dyDescent="0.2">
      <c r="A5" s="33" t="s">
        <v>20</v>
      </c>
      <c r="B5" s="66">
        <f t="shared" ref="B5:B72" si="8">+COUNT(K5,M5,O5)</f>
        <v>1</v>
      </c>
      <c r="C5" s="66">
        <v>2</v>
      </c>
      <c r="D5" s="66">
        <v>2</v>
      </c>
      <c r="E5" s="43" t="s">
        <v>25</v>
      </c>
      <c r="F5" s="7" t="s">
        <v>26</v>
      </c>
      <c r="G5" s="28">
        <v>1</v>
      </c>
      <c r="H5" s="28" t="s">
        <v>23</v>
      </c>
      <c r="I5" s="22">
        <v>6</v>
      </c>
      <c r="J5" s="23" t="s">
        <v>24</v>
      </c>
      <c r="K5" s="105">
        <v>5860001</v>
      </c>
      <c r="L5" s="106">
        <f t="shared" si="0"/>
        <v>35160006</v>
      </c>
      <c r="M5" s="122"/>
      <c r="N5" s="123"/>
      <c r="O5" s="122"/>
      <c r="P5" s="123"/>
      <c r="Q5" s="165">
        <f t="shared" si="1"/>
        <v>5860001</v>
      </c>
      <c r="R5" s="166">
        <f t="shared" si="2"/>
        <v>35160006</v>
      </c>
      <c r="S5" s="222">
        <f t="shared" si="3"/>
        <v>0</v>
      </c>
      <c r="T5" s="223">
        <f t="shared" si="4"/>
        <v>0</v>
      </c>
      <c r="U5" s="224">
        <f t="shared" si="5"/>
        <v>5860001</v>
      </c>
      <c r="V5" s="225">
        <f t="shared" si="6"/>
        <v>35160006</v>
      </c>
      <c r="W5" s="149">
        <f t="shared" si="7"/>
        <v>0</v>
      </c>
      <c r="X5" s="152" t="s">
        <v>819</v>
      </c>
      <c r="Y5" s="137"/>
      <c r="Z5" s="138"/>
    </row>
    <row r="6" spans="1:26" ht="90" x14ac:dyDescent="0.2">
      <c r="A6" s="33" t="s">
        <v>20</v>
      </c>
      <c r="B6" s="66">
        <f t="shared" si="8"/>
        <v>1</v>
      </c>
      <c r="C6" s="66">
        <v>3</v>
      </c>
      <c r="D6" s="66">
        <v>3</v>
      </c>
      <c r="E6" s="43" t="s">
        <v>27</v>
      </c>
      <c r="F6" s="7" t="s">
        <v>28</v>
      </c>
      <c r="G6" s="28">
        <v>1</v>
      </c>
      <c r="H6" s="28" t="s">
        <v>23</v>
      </c>
      <c r="I6" s="22">
        <v>6</v>
      </c>
      <c r="J6" s="23" t="s">
        <v>24</v>
      </c>
      <c r="K6" s="105">
        <v>5860001</v>
      </c>
      <c r="L6" s="106">
        <f t="shared" si="0"/>
        <v>35160006</v>
      </c>
      <c r="M6" s="122"/>
      <c r="N6" s="123"/>
      <c r="O6" s="122"/>
      <c r="P6" s="123"/>
      <c r="Q6" s="165">
        <f t="shared" si="1"/>
        <v>5860001</v>
      </c>
      <c r="R6" s="166">
        <f t="shared" si="2"/>
        <v>35160006</v>
      </c>
      <c r="S6" s="222">
        <f t="shared" si="3"/>
        <v>0</v>
      </c>
      <c r="T6" s="223">
        <f t="shared" si="4"/>
        <v>0</v>
      </c>
      <c r="U6" s="224">
        <f t="shared" si="5"/>
        <v>5860001</v>
      </c>
      <c r="V6" s="225">
        <f t="shared" si="6"/>
        <v>35160006</v>
      </c>
      <c r="W6" s="149">
        <f t="shared" si="7"/>
        <v>0</v>
      </c>
      <c r="X6" s="152" t="s">
        <v>819</v>
      </c>
      <c r="Y6" s="137"/>
      <c r="Z6" s="138"/>
    </row>
    <row r="7" spans="1:26" ht="90" x14ac:dyDescent="0.2">
      <c r="A7" s="33" t="s">
        <v>20</v>
      </c>
      <c r="B7" s="66">
        <f t="shared" si="8"/>
        <v>1</v>
      </c>
      <c r="C7" s="66">
        <v>4</v>
      </c>
      <c r="D7" s="66">
        <v>4</v>
      </c>
      <c r="E7" s="43" t="s">
        <v>29</v>
      </c>
      <c r="F7" s="7" t="s">
        <v>30</v>
      </c>
      <c r="G7" s="28">
        <v>1</v>
      </c>
      <c r="H7" s="28" t="s">
        <v>23</v>
      </c>
      <c r="I7" s="22">
        <v>6</v>
      </c>
      <c r="J7" s="23" t="s">
        <v>24</v>
      </c>
      <c r="K7" s="105">
        <v>5860001</v>
      </c>
      <c r="L7" s="106">
        <f t="shared" si="0"/>
        <v>35160006</v>
      </c>
      <c r="M7" s="122"/>
      <c r="N7" s="123"/>
      <c r="O7" s="122"/>
      <c r="P7" s="123"/>
      <c r="Q7" s="165">
        <f t="shared" si="1"/>
        <v>5860001</v>
      </c>
      <c r="R7" s="166">
        <f t="shared" si="2"/>
        <v>35160006</v>
      </c>
      <c r="S7" s="222">
        <f t="shared" si="3"/>
        <v>0</v>
      </c>
      <c r="T7" s="223">
        <f t="shared" si="4"/>
        <v>0</v>
      </c>
      <c r="U7" s="224">
        <f t="shared" si="5"/>
        <v>5860001</v>
      </c>
      <c r="V7" s="225">
        <f t="shared" si="6"/>
        <v>35160006</v>
      </c>
      <c r="W7" s="149">
        <f t="shared" si="7"/>
        <v>0</v>
      </c>
      <c r="X7" s="152" t="s">
        <v>819</v>
      </c>
      <c r="Y7" s="137"/>
      <c r="Z7" s="138"/>
    </row>
    <row r="8" spans="1:26" ht="75" x14ac:dyDescent="0.2">
      <c r="A8" s="33" t="s">
        <v>20</v>
      </c>
      <c r="B8" s="66">
        <f t="shared" si="8"/>
        <v>1</v>
      </c>
      <c r="C8" s="66">
        <v>5</v>
      </c>
      <c r="D8" s="66">
        <v>5</v>
      </c>
      <c r="E8" s="43" t="s">
        <v>31</v>
      </c>
      <c r="F8" s="7" t="s">
        <v>32</v>
      </c>
      <c r="G8" s="28">
        <v>1</v>
      </c>
      <c r="H8" s="28" t="s">
        <v>23</v>
      </c>
      <c r="I8" s="22">
        <v>6</v>
      </c>
      <c r="J8" s="23" t="s">
        <v>24</v>
      </c>
      <c r="K8" s="105">
        <v>5860001</v>
      </c>
      <c r="L8" s="106">
        <f t="shared" si="0"/>
        <v>35160006</v>
      </c>
      <c r="M8" s="122"/>
      <c r="N8" s="123"/>
      <c r="O8" s="122"/>
      <c r="P8" s="123"/>
      <c r="Q8" s="165">
        <f t="shared" si="1"/>
        <v>5860001</v>
      </c>
      <c r="R8" s="166">
        <f t="shared" si="2"/>
        <v>35160006</v>
      </c>
      <c r="S8" s="222">
        <f t="shared" si="3"/>
        <v>0</v>
      </c>
      <c r="T8" s="223">
        <f t="shared" si="4"/>
        <v>0</v>
      </c>
      <c r="U8" s="224">
        <f t="shared" si="5"/>
        <v>5860001</v>
      </c>
      <c r="V8" s="225">
        <f t="shared" si="6"/>
        <v>35160006</v>
      </c>
      <c r="W8" s="149">
        <f t="shared" si="7"/>
        <v>0</v>
      </c>
      <c r="X8" s="152" t="s">
        <v>819</v>
      </c>
      <c r="Y8" s="137"/>
      <c r="Z8" s="138"/>
    </row>
    <row r="9" spans="1:26" ht="60" x14ac:dyDescent="0.2">
      <c r="A9" s="33" t="s">
        <v>20</v>
      </c>
      <c r="B9" s="66">
        <f t="shared" si="8"/>
        <v>1</v>
      </c>
      <c r="C9" s="66">
        <v>6</v>
      </c>
      <c r="D9" s="66">
        <v>6</v>
      </c>
      <c r="E9" s="43" t="s">
        <v>33</v>
      </c>
      <c r="F9" s="7" t="s">
        <v>34</v>
      </c>
      <c r="G9" s="28">
        <v>12</v>
      </c>
      <c r="H9" s="28" t="s">
        <v>23</v>
      </c>
      <c r="I9" s="22">
        <v>2</v>
      </c>
      <c r="J9" s="23" t="s">
        <v>24</v>
      </c>
      <c r="K9" s="105">
        <v>3224001</v>
      </c>
      <c r="L9" s="106">
        <f t="shared" si="0"/>
        <v>77376024</v>
      </c>
      <c r="M9" s="122"/>
      <c r="N9" s="123"/>
      <c r="O9" s="122"/>
      <c r="P9" s="123"/>
      <c r="Q9" s="165">
        <f t="shared" si="1"/>
        <v>3224001</v>
      </c>
      <c r="R9" s="166">
        <f t="shared" si="2"/>
        <v>77376024</v>
      </c>
      <c r="S9" s="222">
        <f t="shared" si="3"/>
        <v>0</v>
      </c>
      <c r="T9" s="223">
        <f t="shared" si="4"/>
        <v>0</v>
      </c>
      <c r="U9" s="224">
        <f t="shared" si="5"/>
        <v>3224001</v>
      </c>
      <c r="V9" s="225">
        <f t="shared" si="6"/>
        <v>77376024</v>
      </c>
      <c r="W9" s="149">
        <f t="shared" si="7"/>
        <v>0</v>
      </c>
      <c r="X9" s="152" t="s">
        <v>819</v>
      </c>
      <c r="Y9" s="137"/>
      <c r="Z9" s="138"/>
    </row>
    <row r="10" spans="1:26" ht="90" x14ac:dyDescent="0.2">
      <c r="A10" s="33" t="s">
        <v>20</v>
      </c>
      <c r="B10" s="66">
        <f t="shared" si="8"/>
        <v>1</v>
      </c>
      <c r="C10" s="66">
        <v>7</v>
      </c>
      <c r="D10" s="66">
        <v>7</v>
      </c>
      <c r="E10" s="43" t="s">
        <v>35</v>
      </c>
      <c r="F10" s="7" t="s">
        <v>36</v>
      </c>
      <c r="G10" s="28">
        <v>3</v>
      </c>
      <c r="H10" s="28" t="s">
        <v>23</v>
      </c>
      <c r="I10" s="22">
        <v>6</v>
      </c>
      <c r="J10" s="23" t="s">
        <v>24</v>
      </c>
      <c r="K10" s="105">
        <v>5114001</v>
      </c>
      <c r="L10" s="106">
        <f t="shared" si="0"/>
        <v>92052018</v>
      </c>
      <c r="M10" s="122"/>
      <c r="N10" s="123"/>
      <c r="O10" s="122"/>
      <c r="P10" s="123"/>
      <c r="Q10" s="165">
        <f t="shared" si="1"/>
        <v>5114001</v>
      </c>
      <c r="R10" s="166">
        <f t="shared" si="2"/>
        <v>92052018</v>
      </c>
      <c r="S10" s="222">
        <f t="shared" si="3"/>
        <v>0</v>
      </c>
      <c r="T10" s="223">
        <f t="shared" si="4"/>
        <v>0</v>
      </c>
      <c r="U10" s="224">
        <f t="shared" si="5"/>
        <v>5114001</v>
      </c>
      <c r="V10" s="225">
        <f t="shared" si="6"/>
        <v>92052018</v>
      </c>
      <c r="W10" s="149">
        <f t="shared" si="7"/>
        <v>0</v>
      </c>
      <c r="X10" s="152" t="s">
        <v>819</v>
      </c>
      <c r="Y10" s="137"/>
      <c r="Z10" s="138"/>
    </row>
    <row r="11" spans="1:26" ht="60" x14ac:dyDescent="0.2">
      <c r="A11" s="33" t="s">
        <v>20</v>
      </c>
      <c r="B11" s="66">
        <f t="shared" si="8"/>
        <v>1</v>
      </c>
      <c r="C11" s="66">
        <v>8</v>
      </c>
      <c r="D11" s="66">
        <v>8</v>
      </c>
      <c r="E11" s="43" t="s">
        <v>37</v>
      </c>
      <c r="F11" s="7" t="s">
        <v>38</v>
      </c>
      <c r="G11" s="28">
        <v>1</v>
      </c>
      <c r="H11" s="28" t="s">
        <v>23</v>
      </c>
      <c r="I11" s="22">
        <v>6</v>
      </c>
      <c r="J11" s="23" t="s">
        <v>24</v>
      </c>
      <c r="K11" s="107">
        <v>5114001</v>
      </c>
      <c r="L11" s="146">
        <f t="shared" si="0"/>
        <v>30684006</v>
      </c>
      <c r="M11" s="124"/>
      <c r="N11" s="125"/>
      <c r="O11" s="124"/>
      <c r="P11" s="125"/>
      <c r="Q11" s="165">
        <f t="shared" si="1"/>
        <v>5114001</v>
      </c>
      <c r="R11" s="166">
        <f t="shared" si="2"/>
        <v>30684006</v>
      </c>
      <c r="S11" s="222">
        <f t="shared" si="3"/>
        <v>0</v>
      </c>
      <c r="T11" s="223">
        <f t="shared" si="4"/>
        <v>0</v>
      </c>
      <c r="U11" s="224">
        <f t="shared" si="5"/>
        <v>5114001</v>
      </c>
      <c r="V11" s="225">
        <f t="shared" si="6"/>
        <v>30684006</v>
      </c>
      <c r="W11" s="149">
        <f t="shared" si="7"/>
        <v>0</v>
      </c>
      <c r="X11" s="152" t="s">
        <v>819</v>
      </c>
      <c r="Y11" s="580"/>
      <c r="Z11" s="581"/>
    </row>
    <row r="12" spans="1:26" ht="30" x14ac:dyDescent="0.2">
      <c r="A12" s="34" t="s">
        <v>20</v>
      </c>
      <c r="B12" s="66">
        <f t="shared" si="8"/>
        <v>3</v>
      </c>
      <c r="C12" s="66">
        <v>9</v>
      </c>
      <c r="D12" s="82">
        <v>9</v>
      </c>
      <c r="E12" s="44" t="s">
        <v>42</v>
      </c>
      <c r="F12" s="87" t="s">
        <v>43</v>
      </c>
      <c r="G12" s="29">
        <v>2</v>
      </c>
      <c r="H12" s="29" t="s">
        <v>23</v>
      </c>
      <c r="I12" s="24">
        <v>2</v>
      </c>
      <c r="J12" s="145" t="s">
        <v>44</v>
      </c>
      <c r="K12" s="147">
        <v>520000</v>
      </c>
      <c r="L12" s="146">
        <f t="shared" si="0"/>
        <v>2080000</v>
      </c>
      <c r="M12" s="308">
        <f>(455000*5.35%)+455000</f>
        <v>479342.5</v>
      </c>
      <c r="N12" s="148">
        <f>+M12*I12*G12</f>
        <v>1917370</v>
      </c>
      <c r="O12" s="308">
        <f>(500000*5.35%)+500000</f>
        <v>526750</v>
      </c>
      <c r="P12" s="148">
        <f>+O12*I12*G12</f>
        <v>2107000</v>
      </c>
      <c r="Q12" s="166">
        <f t="shared" si="1"/>
        <v>508697.5</v>
      </c>
      <c r="R12" s="166">
        <f t="shared" si="2"/>
        <v>2034790</v>
      </c>
      <c r="S12" s="222">
        <f t="shared" si="3"/>
        <v>20939.239778463783</v>
      </c>
      <c r="T12" s="223">
        <f t="shared" si="4"/>
        <v>4.1162458589758713E-2</v>
      </c>
      <c r="U12" s="224">
        <f t="shared" si="5"/>
        <v>520000</v>
      </c>
      <c r="V12" s="225">
        <f t="shared" si="6"/>
        <v>2080000</v>
      </c>
      <c r="W12" s="149">
        <f t="shared" si="7"/>
        <v>4.0267768804738042E-2</v>
      </c>
      <c r="X12" s="582" t="s">
        <v>39</v>
      </c>
      <c r="Y12" s="582" t="s">
        <v>40</v>
      </c>
      <c r="Z12" s="583" t="s">
        <v>41</v>
      </c>
    </row>
    <row r="13" spans="1:26" ht="181" thickBot="1" x14ac:dyDescent="0.25">
      <c r="A13" s="34" t="s">
        <v>20</v>
      </c>
      <c r="B13" s="66">
        <f t="shared" ref="B13" si="9">+COUNT(K13,M13,O13)</f>
        <v>1</v>
      </c>
      <c r="C13" s="66">
        <v>10</v>
      </c>
      <c r="D13" s="82">
        <v>11</v>
      </c>
      <c r="E13" s="44" t="s">
        <v>48</v>
      </c>
      <c r="F13" s="87" t="s">
        <v>49</v>
      </c>
      <c r="G13" s="29">
        <v>2</v>
      </c>
      <c r="H13" s="29" t="s">
        <v>23</v>
      </c>
      <c r="I13" s="24">
        <v>6</v>
      </c>
      <c r="J13" s="145" t="s">
        <v>24</v>
      </c>
      <c r="K13" s="189">
        <v>5860001</v>
      </c>
      <c r="L13" s="146">
        <f>+K13*G13*I13</f>
        <v>70320012</v>
      </c>
      <c r="M13" s="309"/>
      <c r="N13" s="190"/>
      <c r="O13" s="309"/>
      <c r="P13" s="190"/>
      <c r="Q13" s="310">
        <f>+AVERAGE(K13,M13,O13)</f>
        <v>5860001</v>
      </c>
      <c r="R13" s="310">
        <f t="shared" ref="R13" si="10">+Q13*G13*I13</f>
        <v>70320012</v>
      </c>
      <c r="S13" s="311">
        <f>_xlfn.STDEV.P(K13,M13,O13)</f>
        <v>0</v>
      </c>
      <c r="T13" s="312">
        <f t="shared" si="4"/>
        <v>0</v>
      </c>
      <c r="U13" s="313">
        <f>+MEDIAN(K13,M13,O13)</f>
        <v>5860001</v>
      </c>
      <c r="V13" s="314">
        <f t="shared" ref="V13" si="11">+U13*G13*I13</f>
        <v>70320012</v>
      </c>
      <c r="W13" s="315">
        <f t="shared" si="7"/>
        <v>0</v>
      </c>
      <c r="X13" s="152" t="s">
        <v>819</v>
      </c>
      <c r="Y13" s="584"/>
      <c r="Z13" s="585"/>
    </row>
    <row r="14" spans="1:26" ht="58" thickBot="1" x14ac:dyDescent="0.25">
      <c r="A14" s="431">
        <v>1</v>
      </c>
      <c r="B14" s="432"/>
      <c r="C14" s="440"/>
      <c r="D14" s="433"/>
      <c r="E14" s="191"/>
      <c r="F14" s="392" t="s">
        <v>45</v>
      </c>
      <c r="G14" s="188"/>
      <c r="H14" s="188"/>
      <c r="I14" s="188"/>
      <c r="J14" s="188"/>
      <c r="K14" s="184"/>
      <c r="L14" s="184"/>
      <c r="M14" s="184"/>
      <c r="N14" s="184"/>
      <c r="O14" s="184"/>
      <c r="P14" s="184"/>
      <c r="Q14" s="184"/>
      <c r="R14" s="184"/>
      <c r="S14" s="185"/>
      <c r="T14" s="186"/>
      <c r="U14" s="184"/>
      <c r="V14" s="187"/>
      <c r="W14" s="186"/>
      <c r="X14" s="586"/>
      <c r="Y14" s="586"/>
      <c r="Z14" s="587"/>
    </row>
    <row r="15" spans="1:26" ht="165" x14ac:dyDescent="0.2">
      <c r="A15" s="35" t="s">
        <v>20</v>
      </c>
      <c r="B15" s="66">
        <f t="shared" si="8"/>
        <v>1</v>
      </c>
      <c r="C15" s="192">
        <v>11</v>
      </c>
      <c r="D15" s="67">
        <v>10</v>
      </c>
      <c r="E15" s="45" t="s">
        <v>46</v>
      </c>
      <c r="F15" s="393" t="s">
        <v>47</v>
      </c>
      <c r="G15" s="3">
        <v>1</v>
      </c>
      <c r="H15" s="83" t="s">
        <v>23</v>
      </c>
      <c r="I15" s="4">
        <v>4</v>
      </c>
      <c r="J15" s="5" t="s">
        <v>24</v>
      </c>
      <c r="K15" s="108">
        <v>5860001</v>
      </c>
      <c r="L15" s="151">
        <f>+K15*G15*I15</f>
        <v>23440004</v>
      </c>
      <c r="M15" s="126"/>
      <c r="N15" s="127"/>
      <c r="O15" s="411"/>
      <c r="P15" s="412"/>
      <c r="Q15" s="175">
        <f>+AVERAGE(K15,M15,O15)</f>
        <v>5860001</v>
      </c>
      <c r="R15" s="176">
        <f t="shared" si="2"/>
        <v>23440004</v>
      </c>
      <c r="S15" s="128">
        <f>_xlfn.STDEV.P(K15,M15,O15)</f>
        <v>0</v>
      </c>
      <c r="T15" s="177">
        <f t="shared" ref="T15" si="12">+S15/Q15</f>
        <v>0</v>
      </c>
      <c r="U15" s="178">
        <f>+MEDIAN(K15,M15,O15)</f>
        <v>5860001</v>
      </c>
      <c r="V15" s="179">
        <f t="shared" si="6"/>
        <v>23440004</v>
      </c>
      <c r="W15" s="180">
        <f t="shared" ref="W15" si="13">+S15/U15</f>
        <v>0</v>
      </c>
      <c r="X15" s="152" t="s">
        <v>819</v>
      </c>
      <c r="Y15" s="118"/>
      <c r="Z15" s="119"/>
    </row>
    <row r="16" spans="1:26" ht="166" thickBot="1" x14ac:dyDescent="0.25">
      <c r="A16" s="36" t="s">
        <v>20</v>
      </c>
      <c r="B16" s="66">
        <f t="shared" si="8"/>
        <v>1</v>
      </c>
      <c r="C16" s="192">
        <v>12</v>
      </c>
      <c r="D16" s="67">
        <v>13</v>
      </c>
      <c r="E16" s="46" t="s">
        <v>50</v>
      </c>
      <c r="F16" s="394" t="s">
        <v>51</v>
      </c>
      <c r="G16" s="1">
        <v>1</v>
      </c>
      <c r="H16" s="1" t="s">
        <v>23</v>
      </c>
      <c r="I16" s="2">
        <v>4</v>
      </c>
      <c r="J16" s="6" t="s">
        <v>24</v>
      </c>
      <c r="K16" s="108">
        <v>5860001</v>
      </c>
      <c r="L16" s="106">
        <f>+K16*G16*I16</f>
        <v>23440004</v>
      </c>
      <c r="M16" s="122"/>
      <c r="N16" s="123"/>
      <c r="O16" s="413"/>
      <c r="P16" s="414"/>
      <c r="Q16" s="129">
        <f>+AVERAGE(K16,M16,O16)</f>
        <v>5860001</v>
      </c>
      <c r="R16" s="130">
        <f t="shared" si="2"/>
        <v>23440004</v>
      </c>
      <c r="S16" s="128">
        <f>_xlfn.STDEV.P(K16,M16,O16)</f>
        <v>0</v>
      </c>
      <c r="T16" s="131">
        <f t="shared" ref="T16" si="14">+S16/Q16</f>
        <v>0</v>
      </c>
      <c r="U16" s="132">
        <f>+MEDIAN(K16,M16,O16)</f>
        <v>5860001</v>
      </c>
      <c r="V16" s="133">
        <f t="shared" si="6"/>
        <v>23440004</v>
      </c>
      <c r="W16" s="134">
        <f t="shared" ref="W16" si="15">+S16/U16</f>
        <v>0</v>
      </c>
      <c r="X16" s="142" t="s">
        <v>819</v>
      </c>
      <c r="Y16" s="114"/>
      <c r="Z16" s="115"/>
    </row>
    <row r="17" spans="1:26" ht="77" thickBot="1" x14ac:dyDescent="0.25">
      <c r="A17" s="431">
        <v>1</v>
      </c>
      <c r="B17" s="432"/>
      <c r="C17" s="440"/>
      <c r="D17" s="433"/>
      <c r="E17" s="191"/>
      <c r="F17" s="392" t="s">
        <v>52</v>
      </c>
      <c r="G17" s="188"/>
      <c r="H17" s="188"/>
      <c r="I17" s="188"/>
      <c r="J17" s="188"/>
      <c r="K17" s="184"/>
      <c r="L17" s="184"/>
      <c r="M17" s="184"/>
      <c r="N17" s="184"/>
      <c r="O17" s="184"/>
      <c r="P17" s="184"/>
      <c r="Q17" s="184"/>
      <c r="R17" s="184"/>
      <c r="S17" s="185"/>
      <c r="T17" s="186"/>
      <c r="U17" s="184"/>
      <c r="V17" s="187"/>
      <c r="W17" s="186"/>
      <c r="X17" s="586"/>
      <c r="Y17" s="586"/>
      <c r="Z17" s="587"/>
    </row>
    <row r="18" spans="1:26" ht="39" thickBot="1" x14ac:dyDescent="0.25">
      <c r="A18" s="431">
        <v>1</v>
      </c>
      <c r="B18" s="432"/>
      <c r="C18" s="440"/>
      <c r="D18" s="433"/>
      <c r="E18" s="191"/>
      <c r="F18" s="392" t="s">
        <v>53</v>
      </c>
      <c r="G18" s="188"/>
      <c r="H18" s="188"/>
      <c r="I18" s="188"/>
      <c r="J18" s="188"/>
      <c r="K18" s="184"/>
      <c r="L18" s="184"/>
      <c r="M18" s="184"/>
      <c r="N18" s="184"/>
      <c r="O18" s="184"/>
      <c r="P18" s="184"/>
      <c r="Q18" s="184"/>
      <c r="R18" s="184"/>
      <c r="S18" s="185"/>
      <c r="T18" s="186"/>
      <c r="U18" s="184"/>
      <c r="V18" s="187"/>
      <c r="W18" s="186"/>
      <c r="X18" s="586"/>
      <c r="Y18" s="586"/>
      <c r="Z18" s="587"/>
    </row>
    <row r="19" spans="1:26" ht="17" x14ac:dyDescent="0.2">
      <c r="A19" s="36" t="s">
        <v>54</v>
      </c>
      <c r="B19" s="66">
        <f t="shared" si="8"/>
        <v>3</v>
      </c>
      <c r="C19" s="66">
        <v>13</v>
      </c>
      <c r="D19" s="68">
        <v>15</v>
      </c>
      <c r="E19" s="47" t="s">
        <v>55</v>
      </c>
      <c r="F19" s="7" t="s">
        <v>56</v>
      </c>
      <c r="G19" s="12">
        <v>50</v>
      </c>
      <c r="H19" s="14" t="s">
        <v>57</v>
      </c>
      <c r="I19" s="15"/>
      <c r="J19" s="11"/>
      <c r="K19" s="105">
        <f>+(5950000*100)/119</f>
        <v>5000000</v>
      </c>
      <c r="L19" s="121">
        <f>K19*G19</f>
        <v>250000000</v>
      </c>
      <c r="M19" s="105">
        <f>+(5950000*100)/119</f>
        <v>5000000</v>
      </c>
      <c r="N19" s="121">
        <f>+M19*G19</f>
        <v>250000000</v>
      </c>
      <c r="O19" s="105">
        <f>+(5950000*100)/119</f>
        <v>5000000</v>
      </c>
      <c r="P19" s="121">
        <f>+O19*G19</f>
        <v>250000000</v>
      </c>
      <c r="Q19" s="165">
        <f>+AVERAGE(K19,M19,O19)</f>
        <v>5000000</v>
      </c>
      <c r="R19" s="166">
        <f>+Q19*G19</f>
        <v>250000000</v>
      </c>
      <c r="S19" s="222">
        <f>_xlfn.STDEV.P(K19,M19,O19)</f>
        <v>0</v>
      </c>
      <c r="T19" s="223">
        <f t="shared" ref="T19:T23" si="16">+S19/Q19</f>
        <v>0</v>
      </c>
      <c r="U19" s="224">
        <f>+MEDIAN(K19,M19,O19)</f>
        <v>5000000</v>
      </c>
      <c r="V19" s="225">
        <f>+U19*G19</f>
        <v>250000000</v>
      </c>
      <c r="W19" s="149">
        <f t="shared" ref="W19:W24" si="17">+S19/U19</f>
        <v>0</v>
      </c>
      <c r="X19" s="139" t="s">
        <v>58</v>
      </c>
      <c r="Y19" s="138" t="s">
        <v>58</v>
      </c>
      <c r="Z19" s="138" t="s">
        <v>58</v>
      </c>
    </row>
    <row r="20" spans="1:26" ht="17" x14ac:dyDescent="0.2">
      <c r="A20" s="36" t="s">
        <v>54</v>
      </c>
      <c r="B20" s="66">
        <f t="shared" si="8"/>
        <v>3</v>
      </c>
      <c r="C20" s="66">
        <v>14</v>
      </c>
      <c r="D20" s="68">
        <v>16</v>
      </c>
      <c r="E20" s="47" t="s">
        <v>59</v>
      </c>
      <c r="F20" s="7" t="s">
        <v>60</v>
      </c>
      <c r="G20" s="12">
        <v>50</v>
      </c>
      <c r="H20" s="14" t="s">
        <v>57</v>
      </c>
      <c r="I20" s="15"/>
      <c r="J20" s="17"/>
      <c r="K20" s="105">
        <f>+(1190000*100)/119</f>
        <v>1000000</v>
      </c>
      <c r="L20" s="121">
        <f>K20*G20</f>
        <v>50000000</v>
      </c>
      <c r="M20" s="105">
        <f>+(1190000*100)/119</f>
        <v>1000000</v>
      </c>
      <c r="N20" s="121">
        <f>+M20*G20</f>
        <v>50000000</v>
      </c>
      <c r="O20" s="105">
        <f>+(1190000*100)/119</f>
        <v>1000000</v>
      </c>
      <c r="P20" s="121">
        <f>+O20*G20</f>
        <v>50000000</v>
      </c>
      <c r="Q20" s="165">
        <f>+AVERAGE(K20,M20,O20)</f>
        <v>1000000</v>
      </c>
      <c r="R20" s="166">
        <f>+Q20*G20</f>
        <v>50000000</v>
      </c>
      <c r="S20" s="222">
        <f>_xlfn.STDEV.P(K20,M20,O20)</f>
        <v>0</v>
      </c>
      <c r="T20" s="223">
        <f t="shared" si="16"/>
        <v>0</v>
      </c>
      <c r="U20" s="224">
        <f>+MEDIAN(K20,M20,O20)</f>
        <v>1000000</v>
      </c>
      <c r="V20" s="225">
        <f>+U20*G20</f>
        <v>50000000</v>
      </c>
      <c r="W20" s="149">
        <f t="shared" si="17"/>
        <v>0</v>
      </c>
      <c r="X20" s="139" t="s">
        <v>58</v>
      </c>
      <c r="Y20" s="138" t="s">
        <v>58</v>
      </c>
      <c r="Z20" s="138" t="s">
        <v>58</v>
      </c>
    </row>
    <row r="21" spans="1:26" ht="60" x14ac:dyDescent="0.2">
      <c r="A21" s="36" t="s">
        <v>54</v>
      </c>
      <c r="B21" s="66">
        <f t="shared" si="8"/>
        <v>3</v>
      </c>
      <c r="C21" s="66">
        <v>15</v>
      </c>
      <c r="D21" s="68">
        <v>17</v>
      </c>
      <c r="E21" s="47" t="s">
        <v>61</v>
      </c>
      <c r="F21" s="395" t="s">
        <v>62</v>
      </c>
      <c r="G21" s="12">
        <v>20</v>
      </c>
      <c r="H21" s="12" t="s">
        <v>63</v>
      </c>
      <c r="I21" s="12">
        <v>2</v>
      </c>
      <c r="J21" s="16" t="s">
        <v>64</v>
      </c>
      <c r="K21" s="105">
        <v>0</v>
      </c>
      <c r="L21" s="146">
        <f t="shared" ref="L21" si="18">+K21*G21*I21</f>
        <v>0</v>
      </c>
      <c r="M21" s="105">
        <v>200000</v>
      </c>
      <c r="N21" s="148">
        <f>+M21*I21*G21</f>
        <v>8000000</v>
      </c>
      <c r="O21" s="105">
        <v>350000</v>
      </c>
      <c r="P21" s="148">
        <f>+O21*I21*G21</f>
        <v>14000000</v>
      </c>
      <c r="Q21" s="165">
        <f>+AVERAGE(M21,O21)</f>
        <v>275000</v>
      </c>
      <c r="R21" s="166">
        <f>+Q21*G21*I21</f>
        <v>11000000</v>
      </c>
      <c r="S21" s="222">
        <f>_xlfn.STDEV.P(M21,O21)</f>
        <v>75000</v>
      </c>
      <c r="T21" s="223">
        <f t="shared" si="16"/>
        <v>0.27272727272727271</v>
      </c>
      <c r="U21" s="224">
        <f>+MEDIAN(M21,O21)</f>
        <v>275000</v>
      </c>
      <c r="V21" s="225">
        <f>+U21*G21*I21</f>
        <v>11000000</v>
      </c>
      <c r="W21" s="149">
        <f t="shared" si="17"/>
        <v>0.27272727272727271</v>
      </c>
      <c r="X21" s="139"/>
      <c r="Y21" s="137" t="s">
        <v>759</v>
      </c>
      <c r="Z21" s="138" t="s">
        <v>752</v>
      </c>
    </row>
    <row r="22" spans="1:26" ht="165" x14ac:dyDescent="0.2">
      <c r="A22" s="36" t="s">
        <v>20</v>
      </c>
      <c r="B22" s="66">
        <f t="shared" si="8"/>
        <v>1</v>
      </c>
      <c r="C22" s="66">
        <v>16</v>
      </c>
      <c r="D22" s="68">
        <v>18</v>
      </c>
      <c r="E22" s="47" t="s">
        <v>65</v>
      </c>
      <c r="F22" s="7" t="s">
        <v>66</v>
      </c>
      <c r="G22" s="12">
        <v>2</v>
      </c>
      <c r="H22" s="12" t="s">
        <v>23</v>
      </c>
      <c r="I22" s="12">
        <v>10</v>
      </c>
      <c r="J22" s="16" t="s">
        <v>67</v>
      </c>
      <c r="K22" s="108">
        <f>+(5860001/30)</f>
        <v>195333.36666666667</v>
      </c>
      <c r="L22" s="106">
        <f t="shared" ref="L22:L26" si="19">+K22*G22*I22</f>
        <v>3906667.3333333335</v>
      </c>
      <c r="M22" s="122"/>
      <c r="N22" s="123"/>
      <c r="O22" s="122"/>
      <c r="P22" s="123"/>
      <c r="Q22" s="165">
        <f>+AVERAGE(K22,M22,O22)</f>
        <v>195333.36666666667</v>
      </c>
      <c r="R22" s="166">
        <f>+Q22*G22*I22</f>
        <v>3906667.3333333335</v>
      </c>
      <c r="S22" s="222">
        <f>_xlfn.STDEV.P(K22,M22,O22)</f>
        <v>0</v>
      </c>
      <c r="T22" s="223">
        <f t="shared" si="16"/>
        <v>0</v>
      </c>
      <c r="U22" s="224">
        <f>+MEDIAN(K22,M22,O22)</f>
        <v>195333.36666666667</v>
      </c>
      <c r="V22" s="225">
        <f>+U22*G22*I22</f>
        <v>3906667.3333333335</v>
      </c>
      <c r="W22" s="149">
        <f t="shared" si="17"/>
        <v>0</v>
      </c>
      <c r="X22" s="316" t="s">
        <v>819</v>
      </c>
      <c r="Y22" s="137"/>
      <c r="Z22" s="138"/>
    </row>
    <row r="23" spans="1:26" ht="75" x14ac:dyDescent="0.2">
      <c r="A23" s="36" t="s">
        <v>54</v>
      </c>
      <c r="B23" s="66">
        <f t="shared" si="8"/>
        <v>3</v>
      </c>
      <c r="C23" s="66">
        <v>17</v>
      </c>
      <c r="D23" s="68">
        <v>19</v>
      </c>
      <c r="E23" s="47" t="s">
        <v>68</v>
      </c>
      <c r="F23" s="7" t="s">
        <v>69</v>
      </c>
      <c r="G23" s="12">
        <v>1</v>
      </c>
      <c r="H23" s="14" t="s">
        <v>57</v>
      </c>
      <c r="I23" s="12">
        <v>20</v>
      </c>
      <c r="J23" s="16" t="s">
        <v>67</v>
      </c>
      <c r="K23" s="105">
        <f>+(874650*100)/119</f>
        <v>735000</v>
      </c>
      <c r="L23" s="146">
        <f t="shared" si="19"/>
        <v>14700000</v>
      </c>
      <c r="M23" s="105">
        <f>+(1276560*100)/119</f>
        <v>1072739.4957983193</v>
      </c>
      <c r="N23" s="148">
        <f t="shared" ref="N23:N24" si="20">+M23*I23*G23</f>
        <v>21454789.915966388</v>
      </c>
      <c r="O23" s="105">
        <f>+(1480000*100)/119</f>
        <v>1243697.4789915967</v>
      </c>
      <c r="P23" s="148">
        <f t="shared" ref="P23:P24" si="21">+O23*I23*G23</f>
        <v>24873949.579831935</v>
      </c>
      <c r="Q23" s="165">
        <f t="shared" ref="Q23" si="22">+AVERAGE(K23,M23,O23)</f>
        <v>1017145.6582633053</v>
      </c>
      <c r="R23" s="166">
        <f t="shared" ref="R23" si="23">+Q23*G23*I23</f>
        <v>20342913.165266108</v>
      </c>
      <c r="S23" s="222">
        <f t="shared" ref="S23" si="24">_xlfn.STDEV.P(K23,M23,O23)</f>
        <v>211362.70147466665</v>
      </c>
      <c r="T23" s="223">
        <f t="shared" si="16"/>
        <v>0.20779983649102088</v>
      </c>
      <c r="U23" s="224">
        <f t="shared" ref="U23:U24" si="25">+MEDIAN(K23,M23,O23)</f>
        <v>1072739.4957983193</v>
      </c>
      <c r="V23" s="225">
        <f t="shared" ref="V23:V24" si="26">+U23*G23*I23</f>
        <v>21454789.915966388</v>
      </c>
      <c r="W23" s="149">
        <f t="shared" si="17"/>
        <v>0.19703078175319086</v>
      </c>
      <c r="X23" s="139" t="s">
        <v>912</v>
      </c>
      <c r="Y23" s="138" t="s">
        <v>72</v>
      </c>
      <c r="Z23" s="138" t="s">
        <v>725</v>
      </c>
    </row>
    <row r="24" spans="1:26" ht="60" x14ac:dyDescent="0.2">
      <c r="A24" s="36" t="s">
        <v>54</v>
      </c>
      <c r="B24" s="66">
        <f t="shared" si="8"/>
        <v>3</v>
      </c>
      <c r="C24" s="66">
        <v>18</v>
      </c>
      <c r="D24" s="68">
        <v>20</v>
      </c>
      <c r="E24" s="47" t="s">
        <v>61</v>
      </c>
      <c r="F24" s="395" t="s">
        <v>721</v>
      </c>
      <c r="G24" s="12">
        <v>1</v>
      </c>
      <c r="H24" s="12" t="s">
        <v>57</v>
      </c>
      <c r="I24" s="12">
        <v>1</v>
      </c>
      <c r="J24" s="13" t="s">
        <v>73</v>
      </c>
      <c r="K24" s="105">
        <v>0</v>
      </c>
      <c r="L24" s="146">
        <f t="shared" si="19"/>
        <v>0</v>
      </c>
      <c r="M24" s="105">
        <v>700000</v>
      </c>
      <c r="N24" s="148">
        <f t="shared" si="20"/>
        <v>700000</v>
      </c>
      <c r="O24" s="105">
        <v>750000</v>
      </c>
      <c r="P24" s="148">
        <f t="shared" si="21"/>
        <v>750000</v>
      </c>
      <c r="Q24" s="165">
        <f>+AVERAGE(M24,O24)</f>
        <v>725000</v>
      </c>
      <c r="R24" s="166">
        <f>+Q24*G24*I24</f>
        <v>725000</v>
      </c>
      <c r="S24" s="222">
        <f>_xlfn.STDEV.P(M24,O24)</f>
        <v>25000</v>
      </c>
      <c r="T24" s="223">
        <f>+S24/Q24</f>
        <v>3.4482758620689655E-2</v>
      </c>
      <c r="U24" s="224">
        <f t="shared" si="25"/>
        <v>700000</v>
      </c>
      <c r="V24" s="225">
        <f t="shared" si="26"/>
        <v>700000</v>
      </c>
      <c r="W24" s="149">
        <f t="shared" si="17"/>
        <v>3.5714285714285712E-2</v>
      </c>
      <c r="X24" s="139"/>
      <c r="Y24" s="137" t="s">
        <v>759</v>
      </c>
      <c r="Z24" s="138" t="s">
        <v>752</v>
      </c>
    </row>
    <row r="25" spans="1:26" ht="150" x14ac:dyDescent="0.2">
      <c r="A25" s="36" t="s">
        <v>20</v>
      </c>
      <c r="B25" s="66">
        <f t="shared" si="8"/>
        <v>1</v>
      </c>
      <c r="C25" s="66">
        <v>19</v>
      </c>
      <c r="D25" s="68">
        <v>21</v>
      </c>
      <c r="E25" s="48" t="s">
        <v>74</v>
      </c>
      <c r="F25" s="396" t="s">
        <v>75</v>
      </c>
      <c r="G25" s="14">
        <v>1</v>
      </c>
      <c r="H25" s="28" t="s">
        <v>23</v>
      </c>
      <c r="I25" s="12">
        <v>1</v>
      </c>
      <c r="J25" s="13" t="s">
        <v>73</v>
      </c>
      <c r="K25" s="105">
        <f>+(3224001/30)</f>
        <v>107466.7</v>
      </c>
      <c r="L25" s="106">
        <f t="shared" si="19"/>
        <v>107466.7</v>
      </c>
      <c r="M25" s="122"/>
      <c r="N25" s="123"/>
      <c r="O25" s="105"/>
      <c r="P25" s="123"/>
      <c r="Q25" s="165">
        <f>+AVERAGE(K25,M25,O25)</f>
        <v>107466.7</v>
      </c>
      <c r="R25" s="166">
        <f>+Q25*G25*I25</f>
        <v>107466.7</v>
      </c>
      <c r="S25" s="222">
        <f>_xlfn.STDEV.P(K25,M25,O25)</f>
        <v>0</v>
      </c>
      <c r="T25" s="223">
        <f t="shared" ref="T25:T28" si="27">+S25/Q25</f>
        <v>0</v>
      </c>
      <c r="U25" s="224">
        <f>+MEDIAN(K25,M25,O25)</f>
        <v>107466.7</v>
      </c>
      <c r="V25" s="225">
        <f>+U25*G25*I25</f>
        <v>107466.7</v>
      </c>
      <c r="W25" s="149">
        <f t="shared" ref="W25:W28" si="28">+S25/U25</f>
        <v>0</v>
      </c>
      <c r="X25" s="316" t="s">
        <v>819</v>
      </c>
      <c r="Y25" s="137"/>
      <c r="Z25" s="138"/>
    </row>
    <row r="26" spans="1:26" ht="75" x14ac:dyDescent="0.2">
      <c r="A26" s="36" t="s">
        <v>54</v>
      </c>
      <c r="B26" s="66">
        <f t="shared" si="8"/>
        <v>3</v>
      </c>
      <c r="C26" s="66">
        <v>20</v>
      </c>
      <c r="D26" s="68">
        <v>22</v>
      </c>
      <c r="E26" s="47" t="s">
        <v>68</v>
      </c>
      <c r="F26" s="7" t="s">
        <v>76</v>
      </c>
      <c r="G26" s="12">
        <v>1</v>
      </c>
      <c r="H26" s="14" t="s">
        <v>57</v>
      </c>
      <c r="I26" s="12">
        <v>1</v>
      </c>
      <c r="J26" s="13" t="s">
        <v>73</v>
      </c>
      <c r="K26" s="105">
        <f>+(1180050*100)/119</f>
        <v>991638.65546218492</v>
      </c>
      <c r="L26" s="146">
        <f t="shared" si="19"/>
        <v>991638.65546218492</v>
      </c>
      <c r="M26" s="105">
        <f>+(2553120*100)/119</f>
        <v>2145478.9915966387</v>
      </c>
      <c r="N26" s="148">
        <f>+M26*I26*G26</f>
        <v>2145478.9915966387</v>
      </c>
      <c r="O26" s="105">
        <f>+(2680000*100)/119</f>
        <v>2252100.8403361347</v>
      </c>
      <c r="P26" s="148">
        <f>+O26*I26*G26</f>
        <v>2252100.8403361347</v>
      </c>
      <c r="Q26" s="165">
        <f t="shared" ref="Q26:Q27" si="29">+AVERAGE(K26,M26,O26)</f>
        <v>1796406.1624649863</v>
      </c>
      <c r="R26" s="166">
        <f t="shared" ref="R26" si="30">+Q26*G26*I26</f>
        <v>1796406.1624649863</v>
      </c>
      <c r="S26" s="222">
        <f t="shared" ref="S26:S27" si="31">_xlfn.STDEV.P(K26,M26,O26)</f>
        <v>570718.90915626951</v>
      </c>
      <c r="T26" s="223">
        <f t="shared" si="27"/>
        <v>0.31770037371344934</v>
      </c>
      <c r="U26" s="224">
        <f t="shared" ref="U26:U27" si="32">+MEDIAN(K26,M26,O26)</f>
        <v>2145478.9915966387</v>
      </c>
      <c r="V26" s="225">
        <f t="shared" ref="V26" si="33">+U26*G26*I26</f>
        <v>2145478.9915966387</v>
      </c>
      <c r="W26" s="149">
        <f t="shared" si="28"/>
        <v>0.26601001985647393</v>
      </c>
      <c r="X26" s="139" t="s">
        <v>913</v>
      </c>
      <c r="Y26" s="138" t="s">
        <v>72</v>
      </c>
      <c r="Z26" s="138" t="s">
        <v>725</v>
      </c>
    </row>
    <row r="27" spans="1:26" ht="255" x14ac:dyDescent="0.2">
      <c r="A27" s="36" t="s">
        <v>54</v>
      </c>
      <c r="B27" s="66">
        <f t="shared" si="8"/>
        <v>3</v>
      </c>
      <c r="C27" s="66">
        <v>21</v>
      </c>
      <c r="D27" s="68">
        <v>23</v>
      </c>
      <c r="E27" s="47" t="s">
        <v>77</v>
      </c>
      <c r="F27" s="395" t="s">
        <v>848</v>
      </c>
      <c r="G27" s="12">
        <v>110</v>
      </c>
      <c r="H27" s="14" t="s">
        <v>57</v>
      </c>
      <c r="I27" s="12"/>
      <c r="J27" s="13"/>
      <c r="K27" s="105">
        <f>+(18000*100)/119</f>
        <v>15126.050420168067</v>
      </c>
      <c r="L27" s="121">
        <f>K27*G27</f>
        <v>1663865.5462184874</v>
      </c>
      <c r="M27" s="105">
        <f>+(19500*100)/119</f>
        <v>16386.55462184874</v>
      </c>
      <c r="N27" s="121">
        <f>G27*M27</f>
        <v>1802521.0084033613</v>
      </c>
      <c r="O27" s="105">
        <f>+(18500*100)/119</f>
        <v>15546.218487394957</v>
      </c>
      <c r="P27" s="121">
        <f>G27*O27</f>
        <v>1710084.0336134452</v>
      </c>
      <c r="Q27" s="165">
        <f t="shared" si="29"/>
        <v>15686.274509803921</v>
      </c>
      <c r="R27" s="166">
        <f>+Q27*G27</f>
        <v>1725490.1960784313</v>
      </c>
      <c r="S27" s="222">
        <f t="shared" si="31"/>
        <v>524.04165080867563</v>
      </c>
      <c r="T27" s="223">
        <f t="shared" si="27"/>
        <v>3.340765523905307E-2</v>
      </c>
      <c r="U27" s="224">
        <f t="shared" si="32"/>
        <v>15546.218487394957</v>
      </c>
      <c r="V27" s="225">
        <f>+U27*G27</f>
        <v>1710084.0336134452</v>
      </c>
      <c r="W27" s="149">
        <f t="shared" si="28"/>
        <v>3.3708625106071567E-2</v>
      </c>
      <c r="X27" s="139" t="s">
        <v>772</v>
      </c>
      <c r="Y27" s="137" t="s">
        <v>773</v>
      </c>
      <c r="Z27" s="138" t="s">
        <v>774</v>
      </c>
    </row>
    <row r="28" spans="1:26" ht="91" thickBot="1" x14ac:dyDescent="0.25">
      <c r="A28" s="36" t="s">
        <v>20</v>
      </c>
      <c r="B28" s="66">
        <f t="shared" si="8"/>
        <v>1</v>
      </c>
      <c r="C28" s="66">
        <v>22</v>
      </c>
      <c r="D28" s="68">
        <v>24</v>
      </c>
      <c r="E28" s="48" t="s">
        <v>78</v>
      </c>
      <c r="F28" s="395" t="s">
        <v>79</v>
      </c>
      <c r="G28" s="12">
        <v>8</v>
      </c>
      <c r="H28" s="28" t="s">
        <v>23</v>
      </c>
      <c r="I28" s="12">
        <v>1</v>
      </c>
      <c r="J28" s="13" t="s">
        <v>73</v>
      </c>
      <c r="K28" s="105">
        <f>+(1602000/30)</f>
        <v>53400</v>
      </c>
      <c r="L28" s="106">
        <f>+K28*G28*I28</f>
        <v>427200</v>
      </c>
      <c r="M28" s="122"/>
      <c r="N28" s="123"/>
      <c r="O28" s="105"/>
      <c r="P28" s="123"/>
      <c r="Q28" s="165">
        <f>+AVERAGE(K28,M28,O28)</f>
        <v>53400</v>
      </c>
      <c r="R28" s="166">
        <f>+Q28*G28*I28</f>
        <v>427200</v>
      </c>
      <c r="S28" s="222">
        <f>_xlfn.STDEV.P(K28,M28,O28)</f>
        <v>0</v>
      </c>
      <c r="T28" s="223">
        <f t="shared" si="27"/>
        <v>0</v>
      </c>
      <c r="U28" s="224">
        <f>+MEDIAN(K28,M28,O28)</f>
        <v>53400</v>
      </c>
      <c r="V28" s="225">
        <f>+U28*G28*I28</f>
        <v>427200</v>
      </c>
      <c r="W28" s="149">
        <f t="shared" si="28"/>
        <v>0</v>
      </c>
      <c r="X28" s="316" t="s">
        <v>819</v>
      </c>
      <c r="Y28" s="137"/>
      <c r="Z28" s="138"/>
    </row>
    <row r="29" spans="1:26" ht="39" thickBot="1" x14ac:dyDescent="0.25">
      <c r="A29" s="431">
        <v>1</v>
      </c>
      <c r="B29" s="432"/>
      <c r="C29" s="440"/>
      <c r="D29" s="433"/>
      <c r="E29" s="191"/>
      <c r="F29" s="392" t="s">
        <v>80</v>
      </c>
      <c r="G29" s="188"/>
      <c r="H29" s="188"/>
      <c r="I29" s="188"/>
      <c r="J29" s="188"/>
      <c r="K29" s="184"/>
      <c r="L29" s="184"/>
      <c r="M29" s="184"/>
      <c r="N29" s="184"/>
      <c r="O29" s="184"/>
      <c r="P29" s="184"/>
      <c r="Q29" s="184"/>
      <c r="R29" s="184"/>
      <c r="S29" s="185"/>
      <c r="T29" s="186"/>
      <c r="U29" s="184"/>
      <c r="V29" s="187"/>
      <c r="W29" s="186"/>
      <c r="X29" s="586"/>
      <c r="Y29" s="586"/>
      <c r="Z29" s="587"/>
    </row>
    <row r="30" spans="1:26" ht="90" x14ac:dyDescent="0.2">
      <c r="A30" s="36" t="s">
        <v>20</v>
      </c>
      <c r="B30" s="66">
        <f t="shared" si="8"/>
        <v>1</v>
      </c>
      <c r="C30" s="66">
        <v>23</v>
      </c>
      <c r="D30" s="68">
        <v>25</v>
      </c>
      <c r="E30" s="48" t="s">
        <v>78</v>
      </c>
      <c r="F30" s="395" t="s">
        <v>79</v>
      </c>
      <c r="G30" s="12">
        <v>4</v>
      </c>
      <c r="H30" s="28" t="s">
        <v>23</v>
      </c>
      <c r="I30" s="12">
        <v>5</v>
      </c>
      <c r="J30" s="13" t="s">
        <v>73</v>
      </c>
      <c r="K30" s="105">
        <f>+(1602000/30)</f>
        <v>53400</v>
      </c>
      <c r="L30" s="106">
        <f>+K30*G30*I30</f>
        <v>1068000</v>
      </c>
      <c r="M30" s="122"/>
      <c r="N30" s="123"/>
      <c r="O30" s="105"/>
      <c r="P30" s="123"/>
      <c r="Q30" s="165">
        <f>+AVERAGE(K30,M30,O30)</f>
        <v>53400</v>
      </c>
      <c r="R30" s="166">
        <f>+Q30*G30*I30</f>
        <v>1068000</v>
      </c>
      <c r="S30" s="222">
        <f>_xlfn.STDEV.P(K30,M30,O30)</f>
        <v>0</v>
      </c>
      <c r="T30" s="223">
        <f t="shared" ref="T30:T48" si="34">+S30/Q30</f>
        <v>0</v>
      </c>
      <c r="U30" s="224">
        <f>+MEDIAN(K30,M30,O30)</f>
        <v>53400</v>
      </c>
      <c r="V30" s="225">
        <f>+U30*G30*I30</f>
        <v>1068000</v>
      </c>
      <c r="W30" s="149">
        <f t="shared" ref="W30:W48" si="35">+S30/U30</f>
        <v>0</v>
      </c>
      <c r="X30" s="316" t="s">
        <v>819</v>
      </c>
      <c r="Y30" s="137"/>
      <c r="Z30" s="138"/>
    </row>
    <row r="31" spans="1:26" ht="105" x14ac:dyDescent="0.2">
      <c r="A31" s="36" t="s">
        <v>20</v>
      </c>
      <c r="B31" s="66">
        <f t="shared" si="8"/>
        <v>1</v>
      </c>
      <c r="C31" s="66">
        <v>24</v>
      </c>
      <c r="D31" s="68">
        <v>26</v>
      </c>
      <c r="E31" s="48" t="s">
        <v>81</v>
      </c>
      <c r="F31" s="395" t="s">
        <v>82</v>
      </c>
      <c r="G31" s="12">
        <v>1</v>
      </c>
      <c r="H31" s="14" t="s">
        <v>57</v>
      </c>
      <c r="I31" s="12">
        <v>3</v>
      </c>
      <c r="J31" s="16" t="s">
        <v>24</v>
      </c>
      <c r="K31" s="105">
        <v>2146001</v>
      </c>
      <c r="L31" s="106">
        <f>+K31*G31*I31</f>
        <v>6438003</v>
      </c>
      <c r="M31" s="122"/>
      <c r="N31" s="123"/>
      <c r="O31" s="105"/>
      <c r="P31" s="123"/>
      <c r="Q31" s="165">
        <f>+AVERAGE(K31,M31,O31)</f>
        <v>2146001</v>
      </c>
      <c r="R31" s="166">
        <f>+Q31*G31*I31</f>
        <v>6438003</v>
      </c>
      <c r="S31" s="222">
        <f>_xlfn.STDEV.P(K31,M31,O31)</f>
        <v>0</v>
      </c>
      <c r="T31" s="223">
        <f t="shared" si="34"/>
        <v>0</v>
      </c>
      <c r="U31" s="224">
        <f>+MEDIAN(K31,M31,O31)</f>
        <v>2146001</v>
      </c>
      <c r="V31" s="225">
        <f>+U31*G31*I31</f>
        <v>6438003</v>
      </c>
      <c r="W31" s="149">
        <f t="shared" si="35"/>
        <v>0</v>
      </c>
      <c r="X31" s="316" t="s">
        <v>819</v>
      </c>
      <c r="Y31" s="137"/>
      <c r="Z31" s="138"/>
    </row>
    <row r="32" spans="1:26" ht="75" x14ac:dyDescent="0.2">
      <c r="A32" s="36" t="s">
        <v>54</v>
      </c>
      <c r="B32" s="66">
        <f t="shared" si="8"/>
        <v>3</v>
      </c>
      <c r="C32" s="66">
        <v>25</v>
      </c>
      <c r="D32" s="68">
        <v>27</v>
      </c>
      <c r="E32" s="47" t="s">
        <v>83</v>
      </c>
      <c r="F32" s="396" t="s">
        <v>84</v>
      </c>
      <c r="G32" s="12">
        <v>100</v>
      </c>
      <c r="H32" s="14" t="s">
        <v>57</v>
      </c>
      <c r="I32" s="12"/>
      <c r="J32" s="13"/>
      <c r="K32" s="105">
        <f>+(595000*100)/119</f>
        <v>500000</v>
      </c>
      <c r="L32" s="121">
        <f>K32*G32</f>
        <v>50000000</v>
      </c>
      <c r="M32" s="105">
        <f>+(595000*100)/119</f>
        <v>500000</v>
      </c>
      <c r="N32" s="121">
        <f>G32*M32</f>
        <v>50000000</v>
      </c>
      <c r="O32" s="105">
        <f>+(595000*100)/119</f>
        <v>500000</v>
      </c>
      <c r="P32" s="121">
        <f>G32*O32</f>
        <v>50000000</v>
      </c>
      <c r="Q32" s="165">
        <f>+AVERAGE(K32,M32,O32)</f>
        <v>500000</v>
      </c>
      <c r="R32" s="166">
        <f>+Q32*G32</f>
        <v>50000000</v>
      </c>
      <c r="S32" s="222">
        <f t="shared" ref="S32" si="36">_xlfn.STDEV.P(K32,M32,O32)</f>
        <v>0</v>
      </c>
      <c r="T32" s="223">
        <f t="shared" si="34"/>
        <v>0</v>
      </c>
      <c r="U32" s="224">
        <f>+MEDIAN(K32,M32,O32)</f>
        <v>500000</v>
      </c>
      <c r="V32" s="225">
        <f>+U32*G32</f>
        <v>50000000</v>
      </c>
      <c r="W32" s="149">
        <f t="shared" si="35"/>
        <v>0</v>
      </c>
      <c r="X32" s="139" t="s">
        <v>58</v>
      </c>
      <c r="Y32" s="138" t="s">
        <v>58</v>
      </c>
      <c r="Z32" s="138" t="s">
        <v>58</v>
      </c>
    </row>
    <row r="33" spans="1:33" ht="75" x14ac:dyDescent="0.2">
      <c r="A33" s="36" t="s">
        <v>54</v>
      </c>
      <c r="B33" s="66">
        <f t="shared" si="8"/>
        <v>3</v>
      </c>
      <c r="C33" s="66">
        <v>26</v>
      </c>
      <c r="D33" s="68">
        <v>28</v>
      </c>
      <c r="E33" s="47" t="s">
        <v>85</v>
      </c>
      <c r="F33" s="7" t="s">
        <v>86</v>
      </c>
      <c r="G33" s="12">
        <v>20</v>
      </c>
      <c r="H33" s="14" t="s">
        <v>57</v>
      </c>
      <c r="I33" s="15">
        <v>5</v>
      </c>
      <c r="J33" s="13" t="s">
        <v>73</v>
      </c>
      <c r="K33" s="105">
        <f>(226100*5.35%)+160000</f>
        <v>172096.35</v>
      </c>
      <c r="L33" s="146">
        <f t="shared" ref="L33:L38" si="37">+K33*G33*I33</f>
        <v>17209635</v>
      </c>
      <c r="M33" s="105">
        <f>+(190400*100)/119</f>
        <v>160000</v>
      </c>
      <c r="N33" s="148">
        <f t="shared" ref="N33:N38" si="38">+M33*I33*G33</f>
        <v>16000000</v>
      </c>
      <c r="O33" s="105">
        <v>109243</v>
      </c>
      <c r="P33" s="148">
        <f t="shared" ref="P33:P38" si="39">+O33*I33*G33</f>
        <v>10924300</v>
      </c>
      <c r="Q33" s="165">
        <f t="shared" ref="Q33:Q38" si="40">+AVERAGE(K33,M33,O33)</f>
        <v>147113.11666666667</v>
      </c>
      <c r="R33" s="166">
        <f t="shared" ref="R33:R38" si="41">+Q33*G33*I33</f>
        <v>14711311.666666668</v>
      </c>
      <c r="S33" s="222">
        <f t="shared" ref="S33:S38" si="42">_xlfn.STDEV.P(K33,M33,O33)</f>
        <v>27229.759738086021</v>
      </c>
      <c r="T33" s="223">
        <f t="shared" si="34"/>
        <v>0.18509403073679712</v>
      </c>
      <c r="U33" s="224">
        <f t="shared" ref="U33:U38" si="43">+MEDIAN(K33,M33,O33)</f>
        <v>160000</v>
      </c>
      <c r="V33" s="225">
        <f t="shared" ref="V33:V38" si="44">+U33*G33*I33</f>
        <v>16000000</v>
      </c>
      <c r="W33" s="149">
        <f t="shared" si="35"/>
        <v>0.17018599836303763</v>
      </c>
      <c r="X33" s="570" t="s">
        <v>88</v>
      </c>
      <c r="Y33" s="576" t="s">
        <v>87</v>
      </c>
      <c r="Z33" s="571" t="s">
        <v>89</v>
      </c>
    </row>
    <row r="34" spans="1:33" ht="153" x14ac:dyDescent="0.2">
      <c r="A34" s="36" t="s">
        <v>54</v>
      </c>
      <c r="B34" s="66">
        <f t="shared" si="8"/>
        <v>3</v>
      </c>
      <c r="C34" s="66">
        <v>27</v>
      </c>
      <c r="D34" s="68">
        <v>29</v>
      </c>
      <c r="E34" s="47" t="s">
        <v>90</v>
      </c>
      <c r="F34" s="397" t="s">
        <v>91</v>
      </c>
      <c r="G34" s="12">
        <v>40</v>
      </c>
      <c r="H34" s="14" t="s">
        <v>57</v>
      </c>
      <c r="I34" s="15">
        <v>5</v>
      </c>
      <c r="J34" s="13" t="s">
        <v>73</v>
      </c>
      <c r="K34" s="105">
        <f>+(2142*100)/119</f>
        <v>1800</v>
      </c>
      <c r="L34" s="146">
        <f t="shared" si="37"/>
        <v>360000</v>
      </c>
      <c r="M34" s="105">
        <f>+(1700.51*100)/119</f>
        <v>1429</v>
      </c>
      <c r="N34" s="148">
        <f t="shared" si="38"/>
        <v>285800</v>
      </c>
      <c r="O34" s="105">
        <f>+(2975*100)/119</f>
        <v>2500</v>
      </c>
      <c r="P34" s="148">
        <f t="shared" si="39"/>
        <v>500000</v>
      </c>
      <c r="Q34" s="165">
        <f t="shared" si="40"/>
        <v>1909.6666666666667</v>
      </c>
      <c r="R34" s="166">
        <f t="shared" si="41"/>
        <v>381933.33333333337</v>
      </c>
      <c r="S34" s="222">
        <f t="shared" si="42"/>
        <v>444.05730360944284</v>
      </c>
      <c r="T34" s="223">
        <f t="shared" si="34"/>
        <v>0.23253131625559931</v>
      </c>
      <c r="U34" s="224">
        <f t="shared" si="43"/>
        <v>1800</v>
      </c>
      <c r="V34" s="225">
        <f t="shared" si="44"/>
        <v>360000</v>
      </c>
      <c r="W34" s="149">
        <f t="shared" si="35"/>
        <v>0.24669850200524601</v>
      </c>
      <c r="X34" s="139" t="s">
        <v>92</v>
      </c>
      <c r="Y34" s="137" t="s">
        <v>93</v>
      </c>
      <c r="Z34" s="138" t="s">
        <v>94</v>
      </c>
    </row>
    <row r="35" spans="1:33" ht="45" x14ac:dyDescent="0.2">
      <c r="A35" s="36" t="s">
        <v>54</v>
      </c>
      <c r="B35" s="66">
        <f t="shared" si="8"/>
        <v>3</v>
      </c>
      <c r="C35" s="66">
        <v>28</v>
      </c>
      <c r="D35" s="68">
        <v>30</v>
      </c>
      <c r="E35" s="47" t="s">
        <v>95</v>
      </c>
      <c r="F35" s="7" t="s">
        <v>96</v>
      </c>
      <c r="G35" s="12">
        <v>20</v>
      </c>
      <c r="H35" s="14" t="s">
        <v>57</v>
      </c>
      <c r="I35" s="15">
        <v>5</v>
      </c>
      <c r="J35" s="13" t="s">
        <v>73</v>
      </c>
      <c r="K35" s="105">
        <f>+(21420*100)/119</f>
        <v>18000</v>
      </c>
      <c r="L35" s="146">
        <f t="shared" si="37"/>
        <v>1800000</v>
      </c>
      <c r="M35" s="105">
        <f>+(12000*100)/119</f>
        <v>10084.033613445377</v>
      </c>
      <c r="N35" s="148">
        <f t="shared" si="38"/>
        <v>1008403.3613445377</v>
      </c>
      <c r="O35" s="105">
        <f>+(22900*100)/119</f>
        <v>19243.697478991595</v>
      </c>
      <c r="P35" s="148">
        <f t="shared" si="39"/>
        <v>1924369.7478991596</v>
      </c>
      <c r="Q35" s="165">
        <f t="shared" si="40"/>
        <v>15775.910364145655</v>
      </c>
      <c r="R35" s="166">
        <f t="shared" si="41"/>
        <v>1577591.0364145655</v>
      </c>
      <c r="S35" s="222">
        <f t="shared" si="42"/>
        <v>4056.6646039724528</v>
      </c>
      <c r="T35" s="223">
        <f t="shared" si="34"/>
        <v>0.25714298004583913</v>
      </c>
      <c r="U35" s="224">
        <f t="shared" si="43"/>
        <v>18000</v>
      </c>
      <c r="V35" s="225">
        <f t="shared" si="44"/>
        <v>1800000</v>
      </c>
      <c r="W35" s="149">
        <f t="shared" si="35"/>
        <v>0.22537025577624739</v>
      </c>
      <c r="X35" s="588" t="s">
        <v>97</v>
      </c>
      <c r="Y35" s="140" t="s">
        <v>94</v>
      </c>
      <c r="Z35" s="504" t="s">
        <v>93</v>
      </c>
      <c r="AA35" s="37"/>
      <c r="AB35" s="37"/>
      <c r="AD35" s="135"/>
      <c r="AE35" s="135"/>
      <c r="AF35" s="135"/>
      <c r="AG35" s="307"/>
    </row>
    <row r="36" spans="1:33" ht="180" x14ac:dyDescent="0.2">
      <c r="A36" s="36" t="s">
        <v>54</v>
      </c>
      <c r="B36" s="66">
        <f t="shared" si="8"/>
        <v>3</v>
      </c>
      <c r="C36" s="66">
        <v>29</v>
      </c>
      <c r="D36" s="68">
        <v>31</v>
      </c>
      <c r="E36" s="47" t="s">
        <v>98</v>
      </c>
      <c r="F36" s="7" t="s">
        <v>99</v>
      </c>
      <c r="G36" s="12">
        <v>2</v>
      </c>
      <c r="H36" s="14" t="s">
        <v>57</v>
      </c>
      <c r="I36" s="15">
        <v>5</v>
      </c>
      <c r="J36" s="13" t="s">
        <v>73</v>
      </c>
      <c r="K36" s="317">
        <f>+(416500*100)/119</f>
        <v>350000</v>
      </c>
      <c r="L36" s="146">
        <f t="shared" si="37"/>
        <v>3500000</v>
      </c>
      <c r="M36" s="105">
        <f>+(571200*100)/119</f>
        <v>480000</v>
      </c>
      <c r="N36" s="148">
        <f t="shared" si="38"/>
        <v>4800000</v>
      </c>
      <c r="O36" s="105">
        <f>+(416500*100)/119</f>
        <v>350000</v>
      </c>
      <c r="P36" s="148">
        <f t="shared" si="39"/>
        <v>3500000</v>
      </c>
      <c r="Q36" s="165">
        <f t="shared" si="40"/>
        <v>393333.33333333331</v>
      </c>
      <c r="R36" s="166">
        <f t="shared" si="41"/>
        <v>3933333.333333333</v>
      </c>
      <c r="S36" s="222">
        <f t="shared" si="42"/>
        <v>61282.58770283412</v>
      </c>
      <c r="T36" s="223">
        <f t="shared" si="34"/>
        <v>0.15580318907500201</v>
      </c>
      <c r="U36" s="224">
        <f t="shared" si="43"/>
        <v>350000</v>
      </c>
      <c r="V36" s="225">
        <f t="shared" si="44"/>
        <v>3500000</v>
      </c>
      <c r="W36" s="149">
        <f t="shared" si="35"/>
        <v>0.17509310772238321</v>
      </c>
      <c r="X36" s="570" t="s">
        <v>100</v>
      </c>
      <c r="Y36" s="576" t="s">
        <v>88</v>
      </c>
      <c r="Z36" s="571" t="s">
        <v>89</v>
      </c>
    </row>
    <row r="37" spans="1:33" ht="30" x14ac:dyDescent="0.2">
      <c r="A37" s="36" t="s">
        <v>54</v>
      </c>
      <c r="B37" s="66">
        <f t="shared" si="8"/>
        <v>3</v>
      </c>
      <c r="C37" s="66">
        <v>30</v>
      </c>
      <c r="D37" s="68">
        <v>32</v>
      </c>
      <c r="E37" s="47" t="s">
        <v>101</v>
      </c>
      <c r="F37" s="7" t="s">
        <v>102</v>
      </c>
      <c r="G37" s="12">
        <v>2</v>
      </c>
      <c r="H37" s="14" t="s">
        <v>57</v>
      </c>
      <c r="I37" s="15">
        <v>1</v>
      </c>
      <c r="J37" s="13"/>
      <c r="K37" s="105">
        <f>+(82999*100)/119</f>
        <v>69747.058823529413</v>
      </c>
      <c r="L37" s="146">
        <f t="shared" si="37"/>
        <v>139494.11764705883</v>
      </c>
      <c r="M37" s="105">
        <f>+(79900*100)/119</f>
        <v>67142.857142857145</v>
      </c>
      <c r="N37" s="148">
        <f t="shared" si="38"/>
        <v>134285.71428571429</v>
      </c>
      <c r="O37" s="105">
        <f>+(129900*100)/119</f>
        <v>109159.66386554622</v>
      </c>
      <c r="P37" s="148">
        <f t="shared" si="39"/>
        <v>218319.32773109243</v>
      </c>
      <c r="Q37" s="165">
        <f t="shared" si="40"/>
        <v>82016.526610644258</v>
      </c>
      <c r="R37" s="166">
        <f t="shared" si="41"/>
        <v>164033.05322128852</v>
      </c>
      <c r="S37" s="222">
        <f t="shared" si="42"/>
        <v>19222.519634138138</v>
      </c>
      <c r="T37" s="223">
        <f t="shared" si="34"/>
        <v>0.23437373452051802</v>
      </c>
      <c r="U37" s="224">
        <f t="shared" si="43"/>
        <v>69747.058823529413</v>
      </c>
      <c r="V37" s="225">
        <f t="shared" si="44"/>
        <v>139494.11764705883</v>
      </c>
      <c r="W37" s="149">
        <f t="shared" si="35"/>
        <v>0.27560330081837592</v>
      </c>
      <c r="X37" s="570" t="s">
        <v>103</v>
      </c>
      <c r="Y37" s="576" t="s">
        <v>104</v>
      </c>
      <c r="Z37" s="571" t="s">
        <v>105</v>
      </c>
    </row>
    <row r="38" spans="1:33" ht="51" x14ac:dyDescent="0.2">
      <c r="A38" s="36" t="s">
        <v>54</v>
      </c>
      <c r="B38" s="66">
        <f t="shared" si="8"/>
        <v>3</v>
      </c>
      <c r="C38" s="66">
        <v>31</v>
      </c>
      <c r="D38" s="68">
        <v>33</v>
      </c>
      <c r="E38" s="48" t="s">
        <v>106</v>
      </c>
      <c r="F38" s="396" t="s">
        <v>107</v>
      </c>
      <c r="G38" s="12">
        <v>1</v>
      </c>
      <c r="H38" s="14" t="s">
        <v>57</v>
      </c>
      <c r="I38" s="15">
        <v>5</v>
      </c>
      <c r="J38" s="13" t="s">
        <v>73</v>
      </c>
      <c r="K38" s="105">
        <f>+(214200*100)/119</f>
        <v>180000</v>
      </c>
      <c r="L38" s="146">
        <f t="shared" si="37"/>
        <v>900000</v>
      </c>
      <c r="M38" s="105">
        <f>+(190400*100)/119</f>
        <v>160000</v>
      </c>
      <c r="N38" s="148">
        <f t="shared" si="38"/>
        <v>800000</v>
      </c>
      <c r="O38" s="105">
        <f>+(238000*100)/119</f>
        <v>200000</v>
      </c>
      <c r="P38" s="148">
        <f t="shared" si="39"/>
        <v>1000000</v>
      </c>
      <c r="Q38" s="165">
        <f t="shared" si="40"/>
        <v>180000</v>
      </c>
      <c r="R38" s="166">
        <f t="shared" si="41"/>
        <v>900000</v>
      </c>
      <c r="S38" s="222">
        <f t="shared" si="42"/>
        <v>16329.931618554519</v>
      </c>
      <c r="T38" s="223">
        <f t="shared" si="34"/>
        <v>9.0721842325302893E-2</v>
      </c>
      <c r="U38" s="224">
        <f t="shared" si="43"/>
        <v>180000</v>
      </c>
      <c r="V38" s="225">
        <f t="shared" si="44"/>
        <v>900000</v>
      </c>
      <c r="W38" s="149">
        <f t="shared" si="35"/>
        <v>9.0721842325302893E-2</v>
      </c>
      <c r="X38" s="570" t="s">
        <v>100</v>
      </c>
      <c r="Y38" s="576" t="s">
        <v>88</v>
      </c>
      <c r="Z38" s="571" t="s">
        <v>89</v>
      </c>
    </row>
    <row r="39" spans="1:33" ht="165" x14ac:dyDescent="0.2">
      <c r="A39" s="36" t="s">
        <v>20</v>
      </c>
      <c r="B39" s="66">
        <f t="shared" si="8"/>
        <v>1</v>
      </c>
      <c r="C39" s="66">
        <v>32</v>
      </c>
      <c r="D39" s="68">
        <v>34</v>
      </c>
      <c r="E39" s="47" t="s">
        <v>108</v>
      </c>
      <c r="F39" s="7" t="s">
        <v>109</v>
      </c>
      <c r="G39" s="12">
        <v>1</v>
      </c>
      <c r="H39" s="28" t="s">
        <v>23</v>
      </c>
      <c r="I39" s="15">
        <v>5</v>
      </c>
      <c r="J39" s="13" t="s">
        <v>73</v>
      </c>
      <c r="K39" s="105">
        <f>+(3224001/30)</f>
        <v>107466.7</v>
      </c>
      <c r="L39" s="106">
        <f t="shared" ref="L39" si="45">+K39*G39*I39</f>
        <v>537333.5</v>
      </c>
      <c r="M39" s="122"/>
      <c r="N39" s="123"/>
      <c r="O39" s="105"/>
      <c r="P39" s="123"/>
      <c r="Q39" s="165">
        <f>+AVERAGE(K39,M39,O39)</f>
        <v>107466.7</v>
      </c>
      <c r="R39" s="166">
        <f>+Q39*G39*I39</f>
        <v>537333.5</v>
      </c>
      <c r="S39" s="222">
        <f>_xlfn.STDEV.P(K39,M39,O39)</f>
        <v>0</v>
      </c>
      <c r="T39" s="223">
        <f t="shared" si="34"/>
        <v>0</v>
      </c>
      <c r="U39" s="224">
        <f>+MEDIAN(K39,M39,O39)</f>
        <v>107466.7</v>
      </c>
      <c r="V39" s="225">
        <f>+U39*G39*I39</f>
        <v>537333.5</v>
      </c>
      <c r="W39" s="149">
        <f t="shared" si="35"/>
        <v>0</v>
      </c>
      <c r="X39" s="316" t="s">
        <v>819</v>
      </c>
      <c r="Y39" s="137"/>
      <c r="Z39" s="138"/>
    </row>
    <row r="40" spans="1:33" ht="45" x14ac:dyDescent="0.2">
      <c r="A40" s="36" t="s">
        <v>54</v>
      </c>
      <c r="B40" s="66">
        <f t="shared" si="8"/>
        <v>3</v>
      </c>
      <c r="C40" s="66">
        <v>33</v>
      </c>
      <c r="D40" s="68">
        <v>35</v>
      </c>
      <c r="E40" s="47" t="s">
        <v>110</v>
      </c>
      <c r="F40" s="7" t="s">
        <v>111</v>
      </c>
      <c r="G40" s="12">
        <v>100</v>
      </c>
      <c r="H40" s="14" t="s">
        <v>57</v>
      </c>
      <c r="I40" s="15"/>
      <c r="J40" s="13"/>
      <c r="K40" s="105">
        <f>+(21658*100)/119</f>
        <v>18200</v>
      </c>
      <c r="L40" s="121">
        <f>K40*G40</f>
        <v>1820000</v>
      </c>
      <c r="M40" s="105">
        <f>+(12495*100)/119</f>
        <v>10500</v>
      </c>
      <c r="N40" s="121">
        <f>G40*M40</f>
        <v>1050000</v>
      </c>
      <c r="O40" s="105">
        <f>+(17255*100)/119</f>
        <v>14500</v>
      </c>
      <c r="P40" s="121">
        <f>G40*O40</f>
        <v>1450000</v>
      </c>
      <c r="Q40" s="165">
        <f t="shared" ref="Q40:Q43" si="46">+AVERAGE(K40,M40,O40)</f>
        <v>14400</v>
      </c>
      <c r="R40" s="166">
        <f>+Q40*G40</f>
        <v>1440000</v>
      </c>
      <c r="S40" s="222">
        <f t="shared" ref="S40:S43" si="47">_xlfn.STDEV.P(K40,M40,O40)</f>
        <v>3144.3070248731542</v>
      </c>
      <c r="T40" s="223">
        <f t="shared" si="34"/>
        <v>0.21835465450508015</v>
      </c>
      <c r="U40" s="224">
        <f t="shared" ref="U40:U43" si="48">+MEDIAN(K40,M40,O40)</f>
        <v>14500</v>
      </c>
      <c r="V40" s="225">
        <f>+U40*G40</f>
        <v>1450000</v>
      </c>
      <c r="W40" s="149">
        <f t="shared" si="35"/>
        <v>0.21684876033607961</v>
      </c>
      <c r="X40" s="570" t="s">
        <v>112</v>
      </c>
      <c r="Y40" s="576" t="s">
        <v>113</v>
      </c>
      <c r="Z40" s="571" t="s">
        <v>114</v>
      </c>
    </row>
    <row r="41" spans="1:33" ht="60" x14ac:dyDescent="0.2">
      <c r="A41" s="36" t="s">
        <v>54</v>
      </c>
      <c r="B41" s="66">
        <f t="shared" si="8"/>
        <v>3</v>
      </c>
      <c r="C41" s="66">
        <v>34</v>
      </c>
      <c r="D41" s="68">
        <v>36</v>
      </c>
      <c r="E41" s="47" t="s">
        <v>110</v>
      </c>
      <c r="F41" s="7" t="s">
        <v>115</v>
      </c>
      <c r="G41" s="12">
        <v>2</v>
      </c>
      <c r="H41" s="14" t="s">
        <v>57</v>
      </c>
      <c r="I41" s="15"/>
      <c r="J41" s="13"/>
      <c r="K41" s="105">
        <f>+(214200*100)/119</f>
        <v>180000</v>
      </c>
      <c r="L41" s="121">
        <f>K41*G41</f>
        <v>360000</v>
      </c>
      <c r="M41" s="105">
        <f>+(226100*100)/119</f>
        <v>190000</v>
      </c>
      <c r="N41" s="121">
        <f>G41*M41</f>
        <v>380000</v>
      </c>
      <c r="O41" s="105">
        <f>+(214200*100)/119</f>
        <v>180000</v>
      </c>
      <c r="P41" s="121">
        <f>G41*O41</f>
        <v>360000</v>
      </c>
      <c r="Q41" s="165">
        <f t="shared" si="46"/>
        <v>183333.33333333334</v>
      </c>
      <c r="R41" s="166">
        <f>+Q41*G41</f>
        <v>366666.66666666669</v>
      </c>
      <c r="S41" s="222">
        <f t="shared" si="47"/>
        <v>4714.045207910317</v>
      </c>
      <c r="T41" s="223">
        <f t="shared" si="34"/>
        <v>2.5712973861329001E-2</v>
      </c>
      <c r="U41" s="224">
        <f t="shared" si="48"/>
        <v>180000</v>
      </c>
      <c r="V41" s="225">
        <f>+U41*G41</f>
        <v>360000</v>
      </c>
      <c r="W41" s="149">
        <f t="shared" si="35"/>
        <v>2.6189140043946204E-2</v>
      </c>
      <c r="X41" s="570" t="s">
        <v>112</v>
      </c>
      <c r="Y41" s="576" t="s">
        <v>113</v>
      </c>
      <c r="Z41" s="571" t="s">
        <v>114</v>
      </c>
    </row>
    <row r="42" spans="1:33" ht="255" x14ac:dyDescent="0.2">
      <c r="A42" s="36" t="s">
        <v>54</v>
      </c>
      <c r="B42" s="66">
        <f t="shared" si="8"/>
        <v>3</v>
      </c>
      <c r="C42" s="66">
        <v>35</v>
      </c>
      <c r="D42" s="68">
        <v>37</v>
      </c>
      <c r="E42" s="47" t="s">
        <v>77</v>
      </c>
      <c r="F42" s="398" t="s">
        <v>848</v>
      </c>
      <c r="G42" s="12">
        <v>20</v>
      </c>
      <c r="H42" s="14" t="s">
        <v>57</v>
      </c>
      <c r="I42" s="12">
        <v>5</v>
      </c>
      <c r="J42" s="13" t="s">
        <v>116</v>
      </c>
      <c r="K42" s="105">
        <f>+(18000*100)/119</f>
        <v>15126.050420168067</v>
      </c>
      <c r="L42" s="146">
        <f t="shared" ref="L42:L43" si="49">+K42*G42*I42</f>
        <v>1512605.0420168065</v>
      </c>
      <c r="M42" s="105">
        <f>+(19500*100)/119</f>
        <v>16386.55462184874</v>
      </c>
      <c r="N42" s="148">
        <f t="shared" ref="N42:N43" si="50">+M42*I42*G42</f>
        <v>1638655.4621848741</v>
      </c>
      <c r="O42" s="105">
        <f>+(18500*100)/119</f>
        <v>15546.218487394957</v>
      </c>
      <c r="P42" s="148">
        <f t="shared" ref="P42:P43" si="51">+O42*I42*G42</f>
        <v>1554621.8487394955</v>
      </c>
      <c r="Q42" s="165">
        <f t="shared" si="46"/>
        <v>15686.274509803921</v>
      </c>
      <c r="R42" s="166">
        <f t="shared" ref="R42:R43" si="52">+Q42*G42*I42</f>
        <v>1568627.4509803923</v>
      </c>
      <c r="S42" s="222">
        <f t="shared" si="47"/>
        <v>524.04165080867563</v>
      </c>
      <c r="T42" s="223">
        <f t="shared" si="34"/>
        <v>3.340765523905307E-2</v>
      </c>
      <c r="U42" s="224">
        <f t="shared" si="48"/>
        <v>15546.218487394957</v>
      </c>
      <c r="V42" s="225">
        <f t="shared" ref="V42:V43" si="53">+U42*G42*I42</f>
        <v>1554621.8487394955</v>
      </c>
      <c r="W42" s="149">
        <f t="shared" si="35"/>
        <v>3.3708625106071567E-2</v>
      </c>
      <c r="X42" s="139" t="s">
        <v>772</v>
      </c>
      <c r="Y42" s="137" t="s">
        <v>773</v>
      </c>
      <c r="Z42" s="138" t="s">
        <v>774</v>
      </c>
    </row>
    <row r="43" spans="1:33" ht="60" x14ac:dyDescent="0.2">
      <c r="A43" s="36" t="s">
        <v>54</v>
      </c>
      <c r="B43" s="66">
        <f t="shared" si="8"/>
        <v>2</v>
      </c>
      <c r="C43" s="66">
        <v>36</v>
      </c>
      <c r="D43" s="68">
        <v>38</v>
      </c>
      <c r="E43" s="47" t="s">
        <v>61</v>
      </c>
      <c r="F43" s="395" t="s">
        <v>62</v>
      </c>
      <c r="G43" s="12">
        <v>1</v>
      </c>
      <c r="H43" s="12" t="s">
        <v>57</v>
      </c>
      <c r="I43" s="12">
        <v>5</v>
      </c>
      <c r="J43" s="13" t="s">
        <v>73</v>
      </c>
      <c r="K43" s="105"/>
      <c r="L43" s="146">
        <f t="shared" si="49"/>
        <v>0</v>
      </c>
      <c r="M43" s="105">
        <v>300000</v>
      </c>
      <c r="N43" s="148">
        <f t="shared" si="50"/>
        <v>1500000</v>
      </c>
      <c r="O43" s="105">
        <v>500000</v>
      </c>
      <c r="P43" s="148">
        <f t="shared" si="51"/>
        <v>2500000</v>
      </c>
      <c r="Q43" s="165">
        <f t="shared" si="46"/>
        <v>400000</v>
      </c>
      <c r="R43" s="166">
        <f t="shared" si="52"/>
        <v>2000000</v>
      </c>
      <c r="S43" s="222">
        <f t="shared" si="47"/>
        <v>100000</v>
      </c>
      <c r="T43" s="223">
        <f t="shared" si="34"/>
        <v>0.25</v>
      </c>
      <c r="U43" s="224">
        <f t="shared" si="48"/>
        <v>400000</v>
      </c>
      <c r="V43" s="225">
        <f t="shared" si="53"/>
        <v>2000000</v>
      </c>
      <c r="W43" s="149">
        <f t="shared" si="35"/>
        <v>0.25</v>
      </c>
      <c r="X43" s="139"/>
      <c r="Y43" s="137" t="s">
        <v>759</v>
      </c>
      <c r="Z43" s="138" t="s">
        <v>752</v>
      </c>
    </row>
    <row r="44" spans="1:33" ht="270" x14ac:dyDescent="0.2">
      <c r="A44" s="36" t="s">
        <v>20</v>
      </c>
      <c r="B44" s="66">
        <f t="shared" si="8"/>
        <v>1</v>
      </c>
      <c r="C44" s="66">
        <v>37</v>
      </c>
      <c r="D44" s="68">
        <v>39</v>
      </c>
      <c r="E44" s="47" t="s">
        <v>65</v>
      </c>
      <c r="F44" s="7" t="s">
        <v>117</v>
      </c>
      <c r="G44" s="15">
        <v>1</v>
      </c>
      <c r="H44" s="14" t="s">
        <v>57</v>
      </c>
      <c r="I44" s="15">
        <v>5</v>
      </c>
      <c r="J44" s="13" t="s">
        <v>67</v>
      </c>
      <c r="K44" s="105">
        <f>+(5860001/30)</f>
        <v>195333.36666666667</v>
      </c>
      <c r="L44" s="106">
        <f>+K44*G44*I44</f>
        <v>976666.83333333337</v>
      </c>
      <c r="M44" s="122"/>
      <c r="N44" s="123"/>
      <c r="O44" s="105"/>
      <c r="P44" s="123"/>
      <c r="Q44" s="165">
        <f>+AVERAGE(K44,M44,O44)</f>
        <v>195333.36666666667</v>
      </c>
      <c r="R44" s="166">
        <f>+Q44*G44*I44</f>
        <v>976666.83333333337</v>
      </c>
      <c r="S44" s="222">
        <f>_xlfn.STDEV.P(K44,M44,O44)</f>
        <v>0</v>
      </c>
      <c r="T44" s="223">
        <f t="shared" si="34"/>
        <v>0</v>
      </c>
      <c r="U44" s="224">
        <f>+MEDIAN(K44,M44,O44)</f>
        <v>195333.36666666667</v>
      </c>
      <c r="V44" s="225">
        <f>+U44*G44*I44</f>
        <v>976666.83333333337</v>
      </c>
      <c r="W44" s="149">
        <f t="shared" si="35"/>
        <v>0</v>
      </c>
      <c r="X44" s="316" t="s">
        <v>819</v>
      </c>
      <c r="Y44" s="137"/>
      <c r="Z44" s="138"/>
    </row>
    <row r="45" spans="1:33" ht="61" thickBot="1" x14ac:dyDescent="0.25">
      <c r="A45" s="84" t="s">
        <v>54</v>
      </c>
      <c r="B45" s="82">
        <f t="shared" si="8"/>
        <v>3</v>
      </c>
      <c r="C45" s="82">
        <v>38</v>
      </c>
      <c r="D45" s="85">
        <v>40</v>
      </c>
      <c r="E45" s="86" t="s">
        <v>68</v>
      </c>
      <c r="F45" s="87" t="s">
        <v>118</v>
      </c>
      <c r="G45" s="417">
        <v>1</v>
      </c>
      <c r="H45" s="441" t="s">
        <v>57</v>
      </c>
      <c r="I45" s="417">
        <v>5</v>
      </c>
      <c r="J45" s="442" t="s">
        <v>73</v>
      </c>
      <c r="K45" s="107">
        <f>+(474691*100)/119</f>
        <v>398900</v>
      </c>
      <c r="L45" s="146">
        <f t="shared" ref="L45" si="54">+K45*G45*I45</f>
        <v>1994500</v>
      </c>
      <c r="M45" s="107">
        <f>+(638280*100)/119</f>
        <v>536369.74789915967</v>
      </c>
      <c r="N45" s="190">
        <f>+M45*I45*G45</f>
        <v>2681848.7394957985</v>
      </c>
      <c r="O45" s="107">
        <f>+(880000*100)/119</f>
        <v>739495.79831932776</v>
      </c>
      <c r="P45" s="190">
        <f>+O45*I45*G45</f>
        <v>3697478.9915966387</v>
      </c>
      <c r="Q45" s="318">
        <f t="shared" ref="Q45:Q48" si="55">+AVERAGE(K45,M45,O45)</f>
        <v>558255.18207282911</v>
      </c>
      <c r="R45" s="310">
        <f t="shared" ref="R45" si="56">+Q45*G45*I45</f>
        <v>2791275.9103641454</v>
      </c>
      <c r="S45" s="311">
        <f t="shared" ref="S45:S48" si="57">_xlfn.STDEV.P(K45,M45,O45)</f>
        <v>139906.16767420113</v>
      </c>
      <c r="T45" s="312">
        <f t="shared" si="34"/>
        <v>0.25061328970511765</v>
      </c>
      <c r="U45" s="313">
        <f t="shared" ref="U45:U48" si="58">+MEDIAN(K45,M45,O45)</f>
        <v>536369.74789915967</v>
      </c>
      <c r="V45" s="314">
        <f t="shared" ref="V45" si="59">+U45*G45*I45</f>
        <v>2681848.7394957985</v>
      </c>
      <c r="W45" s="315">
        <f t="shared" si="35"/>
        <v>0.2608390354269276</v>
      </c>
      <c r="X45" s="141" t="s">
        <v>70</v>
      </c>
      <c r="Y45" s="153" t="s">
        <v>72</v>
      </c>
      <c r="Z45" s="154" t="s">
        <v>71</v>
      </c>
    </row>
    <row r="46" spans="1:33" ht="77" thickBot="1" x14ac:dyDescent="0.25">
      <c r="A46" s="431">
        <v>1</v>
      </c>
      <c r="B46" s="458"/>
      <c r="C46" s="458"/>
      <c r="D46" s="433"/>
      <c r="E46" s="459"/>
      <c r="F46" s="392" t="s">
        <v>853</v>
      </c>
      <c r="G46" s="188"/>
      <c r="H46" s="188"/>
      <c r="I46" s="188"/>
      <c r="J46" s="188"/>
      <c r="K46" s="184"/>
      <c r="L46" s="184"/>
      <c r="M46" s="184"/>
      <c r="N46" s="184"/>
      <c r="O46" s="184"/>
      <c r="P46" s="184"/>
      <c r="Q46" s="184"/>
      <c r="R46" s="184"/>
      <c r="S46" s="185"/>
      <c r="T46" s="186"/>
      <c r="U46" s="184"/>
      <c r="V46" s="187"/>
      <c r="W46" s="186"/>
      <c r="X46" s="586"/>
      <c r="Y46" s="586"/>
      <c r="Z46" s="587"/>
    </row>
    <row r="47" spans="1:33" ht="39" thickBot="1" x14ac:dyDescent="0.25">
      <c r="A47" s="448">
        <v>1</v>
      </c>
      <c r="B47" s="449"/>
      <c r="C47" s="449"/>
      <c r="D47" s="450"/>
      <c r="E47" s="451"/>
      <c r="F47" s="452" t="s">
        <v>854</v>
      </c>
      <c r="G47" s="453"/>
      <c r="H47" s="453"/>
      <c r="I47" s="453"/>
      <c r="J47" s="453"/>
      <c r="K47" s="454"/>
      <c r="L47" s="454"/>
      <c r="M47" s="454"/>
      <c r="N47" s="454"/>
      <c r="O47" s="454"/>
      <c r="P47" s="454"/>
      <c r="Q47" s="454"/>
      <c r="R47" s="454"/>
      <c r="S47" s="455"/>
      <c r="T47" s="456"/>
      <c r="U47" s="454"/>
      <c r="V47" s="457"/>
      <c r="W47" s="456"/>
      <c r="X47" s="589"/>
      <c r="Y47" s="589"/>
      <c r="Z47" s="590"/>
    </row>
    <row r="48" spans="1:33" ht="225" x14ac:dyDescent="0.2">
      <c r="A48" s="35" t="s">
        <v>54</v>
      </c>
      <c r="B48" s="192">
        <f t="shared" si="8"/>
        <v>3</v>
      </c>
      <c r="C48" s="192">
        <v>39</v>
      </c>
      <c r="D48" s="67">
        <v>41</v>
      </c>
      <c r="E48" s="435" t="s">
        <v>859</v>
      </c>
      <c r="F48" s="436" t="s">
        <v>860</v>
      </c>
      <c r="G48" s="418">
        <v>20</v>
      </c>
      <c r="H48" s="437" t="s">
        <v>57</v>
      </c>
      <c r="I48" s="418"/>
      <c r="J48" s="438"/>
      <c r="K48" s="108">
        <f>+(3200000*100)/119</f>
        <v>2689075.630252101</v>
      </c>
      <c r="L48" s="228">
        <f>K48*G48</f>
        <v>53781512.605042018</v>
      </c>
      <c r="M48" s="108">
        <f>+(1590000*100)/119</f>
        <v>1336134.4537815126</v>
      </c>
      <c r="N48" s="228">
        <f>G48*M48</f>
        <v>26722689.075630251</v>
      </c>
      <c r="O48" s="439">
        <f>+(2460000*100)/119</f>
        <v>2067226.8907563025</v>
      </c>
      <c r="P48" s="228">
        <f>G48*O48</f>
        <v>41344537.815126047</v>
      </c>
      <c r="Q48" s="319">
        <f t="shared" si="55"/>
        <v>2030812.3249299719</v>
      </c>
      <c r="R48" s="320">
        <f>+Q48*G48</f>
        <v>40616246.49859944</v>
      </c>
      <c r="S48" s="222">
        <f t="shared" si="57"/>
        <v>552935.78421648394</v>
      </c>
      <c r="T48" s="321">
        <f t="shared" si="34"/>
        <v>0.27227320684866863</v>
      </c>
      <c r="U48" s="322">
        <f t="shared" si="58"/>
        <v>2067226.8907563025</v>
      </c>
      <c r="V48" s="323">
        <f>+U48*G48</f>
        <v>41344537.815126047</v>
      </c>
      <c r="W48" s="324">
        <f t="shared" si="35"/>
        <v>0.26747706634862434</v>
      </c>
      <c r="X48" s="230" t="s">
        <v>795</v>
      </c>
      <c r="Y48" s="231" t="s">
        <v>796</v>
      </c>
      <c r="Z48" s="327" t="s">
        <v>797</v>
      </c>
    </row>
    <row r="49" spans="1:26" ht="60" x14ac:dyDescent="0.2">
      <c r="A49" s="36" t="s">
        <v>54</v>
      </c>
      <c r="B49" s="66">
        <f t="shared" si="8"/>
        <v>2</v>
      </c>
      <c r="C49" s="66">
        <v>40</v>
      </c>
      <c r="D49" s="68">
        <v>42</v>
      </c>
      <c r="E49" s="47" t="s">
        <v>119</v>
      </c>
      <c r="F49" s="399" t="s">
        <v>120</v>
      </c>
      <c r="G49" s="15">
        <v>1</v>
      </c>
      <c r="H49" s="15" t="s">
        <v>57</v>
      </c>
      <c r="I49" s="15">
        <v>1</v>
      </c>
      <c r="J49" s="13" t="s">
        <v>116</v>
      </c>
      <c r="K49" s="105"/>
      <c r="L49" s="146"/>
      <c r="M49" s="105">
        <v>3000000</v>
      </c>
      <c r="N49" s="148">
        <f>+M49*I49*G49</f>
        <v>3000000</v>
      </c>
      <c r="O49" s="105">
        <v>2500000</v>
      </c>
      <c r="P49" s="148">
        <f>+O49*I49*G49</f>
        <v>2500000</v>
      </c>
      <c r="Q49" s="165">
        <f>+AVERAGE(M49,O49)</f>
        <v>2750000</v>
      </c>
      <c r="R49" s="166">
        <f>+Q49*G49*I49</f>
        <v>2750000</v>
      </c>
      <c r="S49" s="222">
        <f>_xlfn.STDEV.P(M49,O49)</f>
        <v>250000</v>
      </c>
      <c r="T49" s="223">
        <f>+S49/Q49</f>
        <v>9.0909090909090912E-2</v>
      </c>
      <c r="U49" s="224">
        <f>+MEDIAN(K49,M49,O49)</f>
        <v>2750000</v>
      </c>
      <c r="V49" s="225">
        <f>+U49*G49*I49</f>
        <v>2750000</v>
      </c>
      <c r="W49" s="149">
        <f>+S49/U49</f>
        <v>9.0909090909090912E-2</v>
      </c>
      <c r="X49" s="139"/>
      <c r="Y49" s="137" t="s">
        <v>759</v>
      </c>
      <c r="Z49" s="138" t="s">
        <v>752</v>
      </c>
    </row>
    <row r="50" spans="1:26" ht="90" x14ac:dyDescent="0.2">
      <c r="A50" s="36" t="s">
        <v>20</v>
      </c>
      <c r="B50" s="66">
        <f t="shared" si="8"/>
        <v>1</v>
      </c>
      <c r="C50" s="66">
        <v>41</v>
      </c>
      <c r="D50" s="68">
        <v>43</v>
      </c>
      <c r="E50" s="47" t="s">
        <v>78</v>
      </c>
      <c r="F50" s="395" t="s">
        <v>79</v>
      </c>
      <c r="G50" s="15">
        <v>8</v>
      </c>
      <c r="H50" s="14" t="s">
        <v>57</v>
      </c>
      <c r="I50" s="15">
        <v>1</v>
      </c>
      <c r="J50" s="13" t="s">
        <v>73</v>
      </c>
      <c r="K50" s="105">
        <f>+(1602000/30)</f>
        <v>53400</v>
      </c>
      <c r="L50" s="106">
        <f>+K50*G50*I50</f>
        <v>427200</v>
      </c>
      <c r="M50" s="122"/>
      <c r="N50" s="123"/>
      <c r="O50" s="105"/>
      <c r="P50" s="123"/>
      <c r="Q50" s="165">
        <f>+AVERAGE(K50,M50,O50)</f>
        <v>53400</v>
      </c>
      <c r="R50" s="166">
        <f>+Q50*G50*I50</f>
        <v>427200</v>
      </c>
      <c r="S50" s="222">
        <f>_xlfn.STDEV.P(K50,M50,O50)</f>
        <v>0</v>
      </c>
      <c r="T50" s="223">
        <f t="shared" ref="T50:T58" si="60">+S50/Q50</f>
        <v>0</v>
      </c>
      <c r="U50" s="224">
        <f>+MEDIAN(K50,M50,O50)</f>
        <v>53400</v>
      </c>
      <c r="V50" s="225">
        <f>+U50*G50*I50</f>
        <v>427200</v>
      </c>
      <c r="W50" s="149">
        <f t="shared" ref="W50:W58" si="61">+S50/U50</f>
        <v>0</v>
      </c>
      <c r="X50" s="316" t="s">
        <v>819</v>
      </c>
      <c r="Y50" s="137"/>
      <c r="Z50" s="138"/>
    </row>
    <row r="51" spans="1:26" ht="255" x14ac:dyDescent="0.2">
      <c r="A51" s="36" t="s">
        <v>54</v>
      </c>
      <c r="B51" s="66">
        <f t="shared" ref="B51:B52" si="62">+COUNT(K51,M51,O51)</f>
        <v>3</v>
      </c>
      <c r="C51" s="66">
        <v>42</v>
      </c>
      <c r="D51" s="68">
        <v>49</v>
      </c>
      <c r="E51" s="47" t="s">
        <v>77</v>
      </c>
      <c r="F51" s="395" t="s">
        <v>848</v>
      </c>
      <c r="G51" s="12">
        <v>45</v>
      </c>
      <c r="H51" s="14" t="s">
        <v>57</v>
      </c>
      <c r="I51" s="12">
        <v>6</v>
      </c>
      <c r="J51" s="90" t="s">
        <v>63</v>
      </c>
      <c r="K51" s="105">
        <f>+(18000*100)/119</f>
        <v>15126.050420168067</v>
      </c>
      <c r="L51" s="121">
        <f>K51*G51</f>
        <v>680672.26890756306</v>
      </c>
      <c r="M51" s="105">
        <f>+(19500*100)/119</f>
        <v>16386.55462184874</v>
      </c>
      <c r="N51" s="121">
        <f>G51*M51</f>
        <v>737394.95798319334</v>
      </c>
      <c r="O51" s="105">
        <f>+(18500*100)/119</f>
        <v>15546.218487394957</v>
      </c>
      <c r="P51" s="121">
        <f>G51*O51</f>
        <v>699579.83193277312</v>
      </c>
      <c r="Q51" s="318">
        <f t="shared" ref="Q51:Q52" si="63">+AVERAGE(K51,M51,O51)</f>
        <v>15686.274509803921</v>
      </c>
      <c r="R51" s="224">
        <f>+Q51*G51*I51</f>
        <v>4235294.1176470593</v>
      </c>
      <c r="S51" s="545">
        <f t="shared" ref="S51:S52" si="64">_xlfn.STDEV.P(K51,M51,O51)</f>
        <v>524.04165080867563</v>
      </c>
      <c r="T51" s="312">
        <f t="shared" ref="T51:T52" si="65">+S51/Q51</f>
        <v>3.340765523905307E-2</v>
      </c>
      <c r="U51" s="313">
        <f t="shared" ref="U51:U52" si="66">+MEDIAN(K51,M51,O51)</f>
        <v>15546.218487394957</v>
      </c>
      <c r="V51" s="225">
        <f>+U51*G51*I51</f>
        <v>4197478.9915966392</v>
      </c>
      <c r="W51" s="315">
        <f t="shared" ref="W51:W52" si="67">+S51/U51</f>
        <v>3.3708625106071567E-2</v>
      </c>
      <c r="X51" s="139" t="s">
        <v>772</v>
      </c>
      <c r="Y51" s="137" t="s">
        <v>773</v>
      </c>
      <c r="Z51" s="138" t="s">
        <v>774</v>
      </c>
    </row>
    <row r="52" spans="1:26" ht="51" x14ac:dyDescent="0.2">
      <c r="A52" s="84" t="s">
        <v>54</v>
      </c>
      <c r="B52" s="82">
        <f t="shared" si="62"/>
        <v>3</v>
      </c>
      <c r="C52" s="66">
        <v>43</v>
      </c>
      <c r="D52" s="334">
        <v>43</v>
      </c>
      <c r="E52" s="335" t="s">
        <v>631</v>
      </c>
      <c r="F52" s="87" t="s">
        <v>632</v>
      </c>
      <c r="G52" s="415">
        <v>30</v>
      </c>
      <c r="H52" s="29" t="s">
        <v>57</v>
      </c>
      <c r="I52" s="89">
        <v>6</v>
      </c>
      <c r="J52" s="90" t="s">
        <v>63</v>
      </c>
      <c r="K52" s="107">
        <v>7100</v>
      </c>
      <c r="L52" s="150">
        <f t="shared" ref="L52" si="68">+K52*G52*I52</f>
        <v>1278000</v>
      </c>
      <c r="M52" s="107">
        <v>4000</v>
      </c>
      <c r="N52" s="190">
        <f t="shared" ref="N52" si="69">+M52*I52*G52</f>
        <v>720000</v>
      </c>
      <c r="O52" s="107">
        <v>8000</v>
      </c>
      <c r="P52" s="190">
        <f t="shared" ref="P52" si="70">+O52*I52*G52</f>
        <v>1440000</v>
      </c>
      <c r="Q52" s="318">
        <f t="shared" si="63"/>
        <v>6366.666666666667</v>
      </c>
      <c r="R52" s="224">
        <f t="shared" ref="R52" si="71">+Q52*G52*I52</f>
        <v>1146000</v>
      </c>
      <c r="S52" s="545">
        <f t="shared" si="64"/>
        <v>1713.3463034528529</v>
      </c>
      <c r="T52" s="312">
        <f t="shared" si="65"/>
        <v>0.26911198483552662</v>
      </c>
      <c r="U52" s="313">
        <f t="shared" si="66"/>
        <v>7100</v>
      </c>
      <c r="V52" s="314">
        <f t="shared" ref="V52" si="72">+U52*G52*I52</f>
        <v>1278000</v>
      </c>
      <c r="W52" s="315">
        <f t="shared" si="67"/>
        <v>0.24131638076800746</v>
      </c>
      <c r="X52" s="141" t="s">
        <v>818</v>
      </c>
      <c r="Y52" s="153" t="s">
        <v>759</v>
      </c>
      <c r="Z52" s="154" t="s">
        <v>752</v>
      </c>
    </row>
    <row r="53" spans="1:26" ht="255" x14ac:dyDescent="0.2">
      <c r="A53" s="36" t="s">
        <v>54</v>
      </c>
      <c r="B53" s="66">
        <f t="shared" si="8"/>
        <v>2</v>
      </c>
      <c r="C53" s="66">
        <v>44</v>
      </c>
      <c r="D53" s="68">
        <v>44</v>
      </c>
      <c r="E53" s="48" t="s">
        <v>121</v>
      </c>
      <c r="F53" s="399" t="s">
        <v>122</v>
      </c>
      <c r="G53" s="12">
        <v>30</v>
      </c>
      <c r="H53" s="14" t="s">
        <v>57</v>
      </c>
      <c r="I53" s="12"/>
      <c r="J53" s="16"/>
      <c r="K53" s="105"/>
      <c r="L53" s="121">
        <f>K53*G53</f>
        <v>0</v>
      </c>
      <c r="M53" s="105">
        <v>29000</v>
      </c>
      <c r="N53" s="121">
        <f>G53*M53</f>
        <v>870000</v>
      </c>
      <c r="O53" s="105">
        <v>30000</v>
      </c>
      <c r="P53" s="121">
        <f>G53*O53</f>
        <v>900000</v>
      </c>
      <c r="Q53" s="165">
        <f t="shared" ref="Q53:Q56" si="73">+AVERAGE(K53,M53,O53)</f>
        <v>29500</v>
      </c>
      <c r="R53" s="224">
        <f>+Q53*G53</f>
        <v>885000</v>
      </c>
      <c r="S53" s="545">
        <f t="shared" ref="S53:S56" si="74">_xlfn.STDEV.P(K53,M53,O53)</f>
        <v>500</v>
      </c>
      <c r="T53" s="223">
        <f t="shared" si="60"/>
        <v>1.6949152542372881E-2</v>
      </c>
      <c r="U53" s="224">
        <f t="shared" ref="U53:U56" si="75">+MEDIAN(K53,M53,O53)</f>
        <v>29500</v>
      </c>
      <c r="V53" s="225">
        <f>+U53*G53</f>
        <v>885000</v>
      </c>
      <c r="W53" s="149">
        <f t="shared" si="61"/>
        <v>1.6949152542372881E-2</v>
      </c>
      <c r="X53" s="139"/>
      <c r="Y53" s="137" t="s">
        <v>759</v>
      </c>
      <c r="Z53" s="138" t="s">
        <v>752</v>
      </c>
    </row>
    <row r="54" spans="1:26" ht="60" x14ac:dyDescent="0.2">
      <c r="A54" s="36" t="s">
        <v>54</v>
      </c>
      <c r="B54" s="66">
        <f t="shared" si="8"/>
        <v>3</v>
      </c>
      <c r="C54" s="66">
        <v>45</v>
      </c>
      <c r="D54" s="68">
        <v>45</v>
      </c>
      <c r="E54" s="48" t="s">
        <v>123</v>
      </c>
      <c r="F54" s="399" t="s">
        <v>124</v>
      </c>
      <c r="G54" s="12">
        <v>30</v>
      </c>
      <c r="H54" s="14" t="s">
        <v>57</v>
      </c>
      <c r="I54" s="12"/>
      <c r="J54" s="16"/>
      <c r="K54" s="105">
        <f>+(2800*100)/119</f>
        <v>2352.9411764705883</v>
      </c>
      <c r="L54" s="121">
        <f>K54*G54</f>
        <v>70588.23529411765</v>
      </c>
      <c r="M54" s="105">
        <f>+(2681*100)/119</f>
        <v>2252.9411764705883</v>
      </c>
      <c r="N54" s="121">
        <f>G54*M54</f>
        <v>67588.23529411765</v>
      </c>
      <c r="O54" s="105">
        <v>2479</v>
      </c>
      <c r="P54" s="121">
        <f>G54*O54</f>
        <v>74370</v>
      </c>
      <c r="Q54" s="165">
        <f t="shared" si="73"/>
        <v>2361.627450980392</v>
      </c>
      <c r="R54" s="166">
        <f>+Q54*G54</f>
        <v>70848.823529411762</v>
      </c>
      <c r="S54" s="222">
        <f>_xlfn.STDEV.P(K54,M54,O54)</f>
        <v>92.492293183523046</v>
      </c>
      <c r="T54" s="223">
        <f>+S54/Q54</f>
        <v>3.9164641800351001E-2</v>
      </c>
      <c r="U54" s="224">
        <f t="shared" si="75"/>
        <v>2352.9411764705883</v>
      </c>
      <c r="V54" s="225">
        <f>+U54*G54</f>
        <v>70588.23529411765</v>
      </c>
      <c r="W54" s="149">
        <f t="shared" si="61"/>
        <v>3.9309224602997295E-2</v>
      </c>
      <c r="X54" s="139" t="s">
        <v>353</v>
      </c>
      <c r="Y54" s="137" t="s">
        <v>739</v>
      </c>
      <c r="Z54" s="138" t="s">
        <v>910</v>
      </c>
    </row>
    <row r="55" spans="1:26" ht="45" x14ac:dyDescent="0.2">
      <c r="A55" s="36" t="s">
        <v>54</v>
      </c>
      <c r="B55" s="66">
        <f t="shared" si="8"/>
        <v>3</v>
      </c>
      <c r="C55" s="66">
        <v>46</v>
      </c>
      <c r="D55" s="68">
        <v>46</v>
      </c>
      <c r="E55" s="48" t="s">
        <v>125</v>
      </c>
      <c r="F55" s="399" t="s">
        <v>126</v>
      </c>
      <c r="G55" s="15">
        <v>15</v>
      </c>
      <c r="H55" s="14" t="s">
        <v>57</v>
      </c>
      <c r="I55" s="12"/>
      <c r="J55" s="16"/>
      <c r="K55" s="105">
        <f>+(218960*100)/119</f>
        <v>184000</v>
      </c>
      <c r="L55" s="121">
        <f>K55*G55</f>
        <v>2760000</v>
      </c>
      <c r="M55" s="105">
        <f>+(111000*5.35%)+111000</f>
        <v>116938.5</v>
      </c>
      <c r="N55" s="121">
        <f>G55*M55</f>
        <v>1754077.5</v>
      </c>
      <c r="O55" s="105">
        <f>+(110000*5.35%)+110000</f>
        <v>115885</v>
      </c>
      <c r="P55" s="121">
        <f>G55*O55</f>
        <v>1738275</v>
      </c>
      <c r="Q55" s="165">
        <f t="shared" si="73"/>
        <v>138941.16666666666</v>
      </c>
      <c r="R55" s="166">
        <f>+Q55*G55</f>
        <v>2084117.4999999998</v>
      </c>
      <c r="S55" s="222">
        <f t="shared" si="74"/>
        <v>31864.309308726937</v>
      </c>
      <c r="T55" s="223">
        <f t="shared" si="60"/>
        <v>0.2293367046871897</v>
      </c>
      <c r="U55" s="224">
        <f t="shared" si="75"/>
        <v>116938.5</v>
      </c>
      <c r="V55" s="225">
        <f>+U55*G55</f>
        <v>1754077.5</v>
      </c>
      <c r="W55" s="149">
        <f t="shared" si="61"/>
        <v>0.27248775474909409</v>
      </c>
      <c r="X55" s="139" t="s">
        <v>729</v>
      </c>
      <c r="Y55" s="137" t="s">
        <v>730</v>
      </c>
      <c r="Z55" s="138" t="s">
        <v>731</v>
      </c>
    </row>
    <row r="56" spans="1:26" ht="34" x14ac:dyDescent="0.2">
      <c r="A56" s="36" t="s">
        <v>54</v>
      </c>
      <c r="B56" s="66">
        <f t="shared" si="8"/>
        <v>3</v>
      </c>
      <c r="C56" s="66">
        <v>47</v>
      </c>
      <c r="D56" s="68">
        <v>47</v>
      </c>
      <c r="E56" s="47" t="s">
        <v>127</v>
      </c>
      <c r="F56" s="399" t="s">
        <v>128</v>
      </c>
      <c r="G56" s="15">
        <v>15</v>
      </c>
      <c r="H56" s="14" t="s">
        <v>57</v>
      </c>
      <c r="I56" s="15"/>
      <c r="J56" s="13"/>
      <c r="K56" s="105">
        <f>+(78000*5.35%)+78000</f>
        <v>82173</v>
      </c>
      <c r="L56" s="121">
        <f>K56*G56</f>
        <v>1232595</v>
      </c>
      <c r="M56" s="105">
        <f>70500</f>
        <v>70500</v>
      </c>
      <c r="N56" s="121">
        <f>G56*M56</f>
        <v>1057500</v>
      </c>
      <c r="O56" s="105">
        <f>+(78000*5.35%)+78000</f>
        <v>82173</v>
      </c>
      <c r="P56" s="121">
        <f>G56*O56</f>
        <v>1232595</v>
      </c>
      <c r="Q56" s="165">
        <f t="shared" si="73"/>
        <v>78282</v>
      </c>
      <c r="R56" s="166">
        <f>+Q56*G56</f>
        <v>1174230</v>
      </c>
      <c r="S56" s="222">
        <f t="shared" si="74"/>
        <v>5502.7049711937125</v>
      </c>
      <c r="T56" s="223">
        <f t="shared" si="60"/>
        <v>7.0293362090821807E-2</v>
      </c>
      <c r="U56" s="224">
        <f t="shared" si="75"/>
        <v>82173</v>
      </c>
      <c r="V56" s="225">
        <f>+U56*G56</f>
        <v>1232595</v>
      </c>
      <c r="W56" s="149">
        <f t="shared" si="61"/>
        <v>6.6964878624289154E-2</v>
      </c>
      <c r="X56" s="139" t="s">
        <v>730</v>
      </c>
      <c r="Y56" s="137" t="s">
        <v>731</v>
      </c>
      <c r="Z56" s="138" t="s">
        <v>821</v>
      </c>
    </row>
    <row r="57" spans="1:26" ht="165" x14ac:dyDescent="0.2">
      <c r="A57" s="36" t="s">
        <v>20</v>
      </c>
      <c r="B57" s="66">
        <f t="shared" si="8"/>
        <v>1</v>
      </c>
      <c r="C57" s="66">
        <v>48</v>
      </c>
      <c r="D57" s="68">
        <v>48</v>
      </c>
      <c r="E57" s="47" t="s">
        <v>129</v>
      </c>
      <c r="F57" s="399" t="s">
        <v>130</v>
      </c>
      <c r="G57" s="15">
        <v>1</v>
      </c>
      <c r="H57" s="15" t="s">
        <v>131</v>
      </c>
      <c r="I57" s="15">
        <v>1</v>
      </c>
      <c r="J57" s="13" t="s">
        <v>132</v>
      </c>
      <c r="K57" s="105">
        <f>+(5860001/30)</f>
        <v>195333.36666666667</v>
      </c>
      <c r="L57" s="106">
        <f>+K57*G57*I57</f>
        <v>195333.36666666667</v>
      </c>
      <c r="M57" s="122"/>
      <c r="N57" s="123"/>
      <c r="O57" s="105"/>
      <c r="P57" s="123"/>
      <c r="Q57" s="165">
        <f>+AVERAGE(K57,M57,O57)</f>
        <v>195333.36666666667</v>
      </c>
      <c r="R57" s="166">
        <f>+Q57*G57*I57</f>
        <v>195333.36666666667</v>
      </c>
      <c r="S57" s="222">
        <f>_xlfn.STDEV.P(K57,M57,O57)</f>
        <v>0</v>
      </c>
      <c r="T57" s="223">
        <f t="shared" si="60"/>
        <v>0</v>
      </c>
      <c r="U57" s="224">
        <f>+MEDIAN(K57,M57,O57)</f>
        <v>195333.36666666667</v>
      </c>
      <c r="V57" s="225">
        <f>+U57*G57*I57</f>
        <v>195333.36666666667</v>
      </c>
      <c r="W57" s="149">
        <f t="shared" si="61"/>
        <v>0</v>
      </c>
      <c r="X57" s="316" t="s">
        <v>819</v>
      </c>
      <c r="Y57" s="137"/>
      <c r="Z57" s="138"/>
    </row>
    <row r="58" spans="1:26" ht="255" x14ac:dyDescent="0.2">
      <c r="A58" s="36" t="s">
        <v>54</v>
      </c>
      <c r="B58" s="66">
        <f t="shared" si="8"/>
        <v>3</v>
      </c>
      <c r="C58" s="66">
        <v>49</v>
      </c>
      <c r="D58" s="68">
        <v>49</v>
      </c>
      <c r="E58" s="47" t="s">
        <v>77</v>
      </c>
      <c r="F58" s="398" t="s">
        <v>848</v>
      </c>
      <c r="G58" s="12">
        <v>30</v>
      </c>
      <c r="H58" s="14" t="s">
        <v>57</v>
      </c>
      <c r="I58" s="12"/>
      <c r="J58" s="13"/>
      <c r="K58" s="105">
        <f>+(18000*100)/119</f>
        <v>15126.050420168067</v>
      </c>
      <c r="L58" s="121">
        <f>K58*G58</f>
        <v>453781.51260504202</v>
      </c>
      <c r="M58" s="105">
        <f>+(19500*100)/119</f>
        <v>16386.55462184874</v>
      </c>
      <c r="N58" s="121">
        <f>G58*M58</f>
        <v>491596.63865546219</v>
      </c>
      <c r="O58" s="105">
        <f>+(18500*100)/119</f>
        <v>15546.218487394957</v>
      </c>
      <c r="P58" s="121">
        <f>G58*O58</f>
        <v>466386.55462184874</v>
      </c>
      <c r="Q58" s="318">
        <f t="shared" ref="Q58" si="76">+AVERAGE(K58,M58,O58)</f>
        <v>15686.274509803921</v>
      </c>
      <c r="R58" s="310">
        <f>+Q58*G58</f>
        <v>470588.23529411765</v>
      </c>
      <c r="S58" s="311">
        <f t="shared" ref="S58" si="77">_xlfn.STDEV.P(K58,M58,O58)</f>
        <v>524.04165080867563</v>
      </c>
      <c r="T58" s="312">
        <f t="shared" si="60"/>
        <v>3.340765523905307E-2</v>
      </c>
      <c r="U58" s="313">
        <f t="shared" ref="U58" si="78">+MEDIAN(K58,M58,O58)</f>
        <v>15546.218487394957</v>
      </c>
      <c r="V58" s="314">
        <f>+U58*G58</f>
        <v>466386.55462184874</v>
      </c>
      <c r="W58" s="315">
        <f t="shared" si="61"/>
        <v>3.3708625106071567E-2</v>
      </c>
      <c r="X58" s="139" t="s">
        <v>772</v>
      </c>
      <c r="Y58" s="137" t="s">
        <v>773</v>
      </c>
      <c r="Z58" s="138" t="s">
        <v>774</v>
      </c>
    </row>
    <row r="59" spans="1:26" ht="19" x14ac:dyDescent="0.2">
      <c r="A59" s="434">
        <v>1</v>
      </c>
      <c r="B59" s="432"/>
      <c r="C59" s="432"/>
      <c r="D59" s="443"/>
      <c r="E59" s="444"/>
      <c r="F59" s="445" t="s">
        <v>855</v>
      </c>
      <c r="G59" s="446"/>
      <c r="H59" s="446"/>
      <c r="I59" s="446"/>
      <c r="J59" s="446"/>
      <c r="K59" s="447"/>
      <c r="L59" s="447"/>
      <c r="M59" s="447"/>
      <c r="N59" s="447"/>
      <c r="O59" s="447"/>
      <c r="P59" s="447"/>
      <c r="Q59" s="447"/>
      <c r="R59" s="447"/>
      <c r="S59" s="181"/>
      <c r="T59" s="182"/>
      <c r="U59" s="447"/>
      <c r="V59" s="183"/>
      <c r="W59" s="182"/>
      <c r="X59" s="591"/>
      <c r="Y59" s="591"/>
      <c r="Z59" s="592"/>
    </row>
    <row r="60" spans="1:26" ht="91" thickBot="1" x14ac:dyDescent="0.25">
      <c r="A60" s="36">
        <v>1</v>
      </c>
      <c r="B60" s="66"/>
      <c r="C60" s="66">
        <v>50</v>
      </c>
      <c r="D60" s="68"/>
      <c r="E60" s="47" t="s">
        <v>857</v>
      </c>
      <c r="F60" s="399" t="s">
        <v>856</v>
      </c>
      <c r="G60" s="15">
        <v>1</v>
      </c>
      <c r="H60" s="28" t="s">
        <v>858</v>
      </c>
      <c r="I60" s="15"/>
      <c r="J60" s="9"/>
      <c r="K60" s="105">
        <f>+(11900000*100)/119</f>
        <v>10000000</v>
      </c>
      <c r="L60" s="121">
        <f>K60*G60</f>
        <v>10000000</v>
      </c>
      <c r="M60" s="105">
        <f>+(11900000*100)/119</f>
        <v>10000000</v>
      </c>
      <c r="N60" s="121">
        <f>M60*G60</f>
        <v>10000000</v>
      </c>
      <c r="O60" s="105">
        <f>+(11900000*100)/119</f>
        <v>10000000</v>
      </c>
      <c r="P60" s="121">
        <f>O60*G60</f>
        <v>10000000</v>
      </c>
      <c r="Q60" s="165">
        <f>+AVERAGE(K60,M60,O60)</f>
        <v>10000000</v>
      </c>
      <c r="R60" s="166">
        <f>+Q60*G60</f>
        <v>10000000</v>
      </c>
      <c r="S60" s="222">
        <f>_xlfn.STDEV.P(K60,M60,O60)</f>
        <v>0</v>
      </c>
      <c r="T60" s="223">
        <f t="shared" ref="T60" si="79">+S60/Q60</f>
        <v>0</v>
      </c>
      <c r="U60" s="224">
        <f>+MEDIAN(K60,M60,O60)</f>
        <v>10000000</v>
      </c>
      <c r="V60" s="225">
        <f>+U60*G60</f>
        <v>10000000</v>
      </c>
      <c r="W60" s="149">
        <f t="shared" ref="W60" si="80">+S60/U60</f>
        <v>0</v>
      </c>
      <c r="X60" s="316"/>
      <c r="Y60" s="139"/>
      <c r="Z60" s="502"/>
    </row>
    <row r="61" spans="1:26" ht="20" thickBot="1" x14ac:dyDescent="0.25">
      <c r="A61" s="431">
        <v>1</v>
      </c>
      <c r="B61" s="432"/>
      <c r="C61" s="432"/>
      <c r="D61" s="433"/>
      <c r="E61" s="191"/>
      <c r="F61" s="392" t="s">
        <v>133</v>
      </c>
      <c r="G61" s="188"/>
      <c r="H61" s="188"/>
      <c r="I61" s="188"/>
      <c r="J61" s="188"/>
      <c r="K61" s="184"/>
      <c r="L61" s="184"/>
      <c r="M61" s="184"/>
      <c r="N61" s="184"/>
      <c r="O61" s="184"/>
      <c r="P61" s="184"/>
      <c r="Q61" s="184"/>
      <c r="R61" s="184"/>
      <c r="S61" s="185"/>
      <c r="T61" s="186"/>
      <c r="U61" s="184"/>
      <c r="V61" s="187"/>
      <c r="W61" s="186"/>
      <c r="X61" s="586"/>
      <c r="Y61" s="586"/>
      <c r="Z61" s="587"/>
    </row>
    <row r="62" spans="1:26" ht="210" x14ac:dyDescent="0.2">
      <c r="A62" s="36" t="s">
        <v>20</v>
      </c>
      <c r="B62" s="66">
        <f t="shared" si="8"/>
        <v>1</v>
      </c>
      <c r="C62" s="66">
        <v>51</v>
      </c>
      <c r="D62" s="68">
        <v>50</v>
      </c>
      <c r="E62" s="47" t="s">
        <v>134</v>
      </c>
      <c r="F62" s="399" t="s">
        <v>135</v>
      </c>
      <c r="G62" s="15">
        <v>3</v>
      </c>
      <c r="H62" s="28" t="s">
        <v>23</v>
      </c>
      <c r="I62" s="15">
        <v>4</v>
      </c>
      <c r="J62" s="9" t="s">
        <v>67</v>
      </c>
      <c r="K62" s="105">
        <f>3224001/30</f>
        <v>107466.7</v>
      </c>
      <c r="L62" s="106">
        <f>+K62*G62*I62</f>
        <v>1289600.3999999999</v>
      </c>
      <c r="M62" s="122"/>
      <c r="N62" s="123"/>
      <c r="O62" s="105"/>
      <c r="P62" s="123"/>
      <c r="Q62" s="319">
        <f>+AVERAGE(K62,M62,O62)</f>
        <v>107466.7</v>
      </c>
      <c r="R62" s="320">
        <f>+Q62*G62*I62</f>
        <v>1289600.3999999999</v>
      </c>
      <c r="S62" s="222">
        <f>_xlfn.STDEV.P(K62,M62,O62)</f>
        <v>0</v>
      </c>
      <c r="T62" s="321">
        <f t="shared" ref="T62:T85" si="81">+S62/Q62</f>
        <v>0</v>
      </c>
      <c r="U62" s="322">
        <f>+MEDIAN(K62,M62,O62)</f>
        <v>107466.7</v>
      </c>
      <c r="V62" s="323">
        <f>+U62*G62*I62</f>
        <v>1289600.3999999999</v>
      </c>
      <c r="W62" s="324">
        <f t="shared" ref="W62:W85" si="82">+S62/U62</f>
        <v>0</v>
      </c>
      <c r="X62" s="316" t="s">
        <v>819</v>
      </c>
      <c r="Y62" s="139"/>
      <c r="Z62" s="502"/>
    </row>
    <row r="63" spans="1:26" ht="150" x14ac:dyDescent="0.2">
      <c r="A63" s="36" t="s">
        <v>54</v>
      </c>
      <c r="B63" s="66">
        <f t="shared" si="8"/>
        <v>3</v>
      </c>
      <c r="C63" s="66">
        <v>52</v>
      </c>
      <c r="D63" s="68">
        <v>51</v>
      </c>
      <c r="E63" s="47" t="s">
        <v>136</v>
      </c>
      <c r="F63" s="399" t="s">
        <v>137</v>
      </c>
      <c r="G63" s="15">
        <v>165</v>
      </c>
      <c r="H63" s="14" t="s">
        <v>57</v>
      </c>
      <c r="I63" s="15"/>
      <c r="J63" s="13"/>
      <c r="K63" s="105">
        <f>+(300000*100)/119</f>
        <v>252100.84033613445</v>
      </c>
      <c r="L63" s="121">
        <f t="shared" ref="L63:L85" si="83">K63*G63</f>
        <v>41596638.655462183</v>
      </c>
      <c r="M63" s="105">
        <f>+(350000*100)/119</f>
        <v>294117.64705882355</v>
      </c>
      <c r="N63" s="121">
        <f t="shared" ref="N63:N85" si="84">G63*M63</f>
        <v>48529411.764705889</v>
      </c>
      <c r="O63" s="105">
        <v>252101</v>
      </c>
      <c r="P63" s="121">
        <f t="shared" ref="P63:P85" si="85">G63*O63</f>
        <v>41596665</v>
      </c>
      <c r="Q63" s="165">
        <f t="shared" ref="Q63:Q85" si="86">+AVERAGE(K63,M63,O63)</f>
        <v>266106.49579831935</v>
      </c>
      <c r="R63" s="166">
        <f>+Q63*G63</f>
        <v>43907571.806722693</v>
      </c>
      <c r="S63" s="222">
        <f t="shared" ref="S63:S85" si="87">_xlfn.STDEV.P(K63,M63,O63)</f>
        <v>19806.875005251895</v>
      </c>
      <c r="T63" s="223">
        <f t="shared" si="81"/>
        <v>7.4432136449098255E-2</v>
      </c>
      <c r="U63" s="224">
        <f t="shared" ref="U63:U85" si="88">+MEDIAN(K63,M63,O63)</f>
        <v>252101</v>
      </c>
      <c r="V63" s="225">
        <f>+U63*G63</f>
        <v>41596665</v>
      </c>
      <c r="W63" s="149">
        <f t="shared" si="82"/>
        <v>7.8567221094925824E-2</v>
      </c>
      <c r="X63" s="139" t="s">
        <v>138</v>
      </c>
      <c r="Y63" s="137" t="s">
        <v>139</v>
      </c>
      <c r="Z63" s="138" t="s">
        <v>925</v>
      </c>
    </row>
    <row r="64" spans="1:26" ht="45" x14ac:dyDescent="0.2">
      <c r="A64" s="36" t="s">
        <v>54</v>
      </c>
      <c r="B64" s="66">
        <f t="shared" si="8"/>
        <v>3</v>
      </c>
      <c r="C64" s="66">
        <v>53</v>
      </c>
      <c r="D64" s="68">
        <v>52</v>
      </c>
      <c r="E64" s="47" t="s">
        <v>140</v>
      </c>
      <c r="F64" s="7" t="s">
        <v>141</v>
      </c>
      <c r="G64" s="15">
        <v>165</v>
      </c>
      <c r="H64" s="14" t="s">
        <v>57</v>
      </c>
      <c r="I64" s="10"/>
      <c r="J64" s="11"/>
      <c r="K64" s="105">
        <f>+(31700*100)/119</f>
        <v>26638.655462184874</v>
      </c>
      <c r="L64" s="121">
        <f t="shared" si="83"/>
        <v>4395378.1512605045</v>
      </c>
      <c r="M64" s="105">
        <f>+(31900*100)/119</f>
        <v>26806.722689075632</v>
      </c>
      <c r="N64" s="121">
        <f t="shared" si="84"/>
        <v>4423109.2436974794</v>
      </c>
      <c r="O64" s="105">
        <f>+(22930*100)/119</f>
        <v>19268.907563025212</v>
      </c>
      <c r="P64" s="121">
        <f t="shared" si="85"/>
        <v>3179369.7478991598</v>
      </c>
      <c r="Q64" s="165">
        <f t="shared" si="86"/>
        <v>24238.095238095237</v>
      </c>
      <c r="R64" s="166">
        <f t="shared" ref="R64:R85" si="89">+Q64*G64</f>
        <v>3999285.7142857141</v>
      </c>
      <c r="S64" s="222">
        <f t="shared" si="87"/>
        <v>3514.4161450364986</v>
      </c>
      <c r="T64" s="223">
        <f t="shared" si="81"/>
        <v>0.14499555804669248</v>
      </c>
      <c r="U64" s="224">
        <f t="shared" si="88"/>
        <v>26638.655462184874</v>
      </c>
      <c r="V64" s="225">
        <f t="shared" ref="V64:V85" si="90">+U64*G64</f>
        <v>4395378.1512605045</v>
      </c>
      <c r="W64" s="149">
        <f t="shared" si="82"/>
        <v>0.131929186517143</v>
      </c>
      <c r="X64" s="139" t="s">
        <v>142</v>
      </c>
      <c r="Y64" s="137" t="s">
        <v>143</v>
      </c>
      <c r="Z64" s="138" t="s">
        <v>144</v>
      </c>
    </row>
    <row r="65" spans="1:26" ht="34" x14ac:dyDescent="0.2">
      <c r="A65" s="36" t="s">
        <v>54</v>
      </c>
      <c r="B65" s="66">
        <f t="shared" si="8"/>
        <v>3</v>
      </c>
      <c r="C65" s="66">
        <v>54</v>
      </c>
      <c r="D65" s="68">
        <v>53</v>
      </c>
      <c r="E65" s="47" t="s">
        <v>145</v>
      </c>
      <c r="F65" s="7" t="s">
        <v>146</v>
      </c>
      <c r="G65" s="15">
        <v>165</v>
      </c>
      <c r="H65" s="14" t="s">
        <v>57</v>
      </c>
      <c r="I65" s="10"/>
      <c r="J65" s="11"/>
      <c r="K65" s="105">
        <f>+(1110*100)/119</f>
        <v>932.77310924369749</v>
      </c>
      <c r="L65" s="121">
        <f t="shared" si="83"/>
        <v>153907.56302521008</v>
      </c>
      <c r="M65" s="105">
        <f>+(1500*100)/119</f>
        <v>1260.5042016806722</v>
      </c>
      <c r="N65" s="121">
        <f t="shared" si="84"/>
        <v>207983.1932773109</v>
      </c>
      <c r="O65" s="105">
        <v>882</v>
      </c>
      <c r="P65" s="121">
        <f t="shared" si="85"/>
        <v>145530</v>
      </c>
      <c r="Q65" s="165">
        <f t="shared" si="86"/>
        <v>1025.09243697479</v>
      </c>
      <c r="R65" s="166">
        <f t="shared" si="89"/>
        <v>169140.25210084036</v>
      </c>
      <c r="S65" s="222">
        <f t="shared" si="87"/>
        <v>167.74683579136203</v>
      </c>
      <c r="T65" s="223">
        <f t="shared" si="81"/>
        <v>0.1636406920398413</v>
      </c>
      <c r="U65" s="224">
        <f t="shared" si="88"/>
        <v>932.77310924369749</v>
      </c>
      <c r="V65" s="225">
        <f t="shared" si="90"/>
        <v>153907.56302521008</v>
      </c>
      <c r="W65" s="149">
        <f t="shared" si="82"/>
        <v>0.17983669783037912</v>
      </c>
      <c r="X65" s="139" t="s">
        <v>144</v>
      </c>
      <c r="Y65" s="137" t="s">
        <v>147</v>
      </c>
      <c r="Z65" s="138" t="s">
        <v>922</v>
      </c>
    </row>
    <row r="66" spans="1:26" ht="45" x14ac:dyDescent="0.2">
      <c r="A66" s="36" t="s">
        <v>54</v>
      </c>
      <c r="B66" s="66">
        <f t="shared" si="8"/>
        <v>3</v>
      </c>
      <c r="C66" s="66">
        <v>55</v>
      </c>
      <c r="D66" s="68">
        <v>54</v>
      </c>
      <c r="E66" s="47" t="s">
        <v>148</v>
      </c>
      <c r="F66" s="7" t="s">
        <v>149</v>
      </c>
      <c r="G66" s="15">
        <v>165</v>
      </c>
      <c r="H66" s="14" t="s">
        <v>57</v>
      </c>
      <c r="I66" s="10"/>
      <c r="J66" s="11"/>
      <c r="K66" s="105">
        <f>+(19378*100)/119</f>
        <v>16284.033613445377</v>
      </c>
      <c r="L66" s="121">
        <f t="shared" si="83"/>
        <v>2686865.5462184874</v>
      </c>
      <c r="M66" s="105">
        <f>+(22630*100)/119</f>
        <v>19016.806722689074</v>
      </c>
      <c r="N66" s="121">
        <f t="shared" si="84"/>
        <v>3137773.1092436975</v>
      </c>
      <c r="O66" s="105">
        <f>+(19000*100)/119</f>
        <v>15966.386554621849</v>
      </c>
      <c r="P66" s="121">
        <f t="shared" si="85"/>
        <v>2634453.781512605</v>
      </c>
      <c r="Q66" s="165">
        <f t="shared" si="86"/>
        <v>17089.0756302521</v>
      </c>
      <c r="R66" s="166">
        <f t="shared" si="89"/>
        <v>2819697.4789915965</v>
      </c>
      <c r="S66" s="222">
        <f t="shared" si="87"/>
        <v>1369.2662967336428</v>
      </c>
      <c r="T66" s="223">
        <f t="shared" si="81"/>
        <v>8.0125240613347512E-2</v>
      </c>
      <c r="U66" s="224">
        <f t="shared" si="88"/>
        <v>16284.033613445377</v>
      </c>
      <c r="V66" s="225">
        <f t="shared" si="90"/>
        <v>2686865.5462184874</v>
      </c>
      <c r="W66" s="149">
        <f t="shared" si="82"/>
        <v>8.408643271302689E-2</v>
      </c>
      <c r="X66" s="139" t="s">
        <v>150</v>
      </c>
      <c r="Y66" s="137" t="s">
        <v>151</v>
      </c>
      <c r="Z66" s="138" t="s">
        <v>152</v>
      </c>
    </row>
    <row r="67" spans="1:26" ht="34" x14ac:dyDescent="0.2">
      <c r="A67" s="36" t="s">
        <v>54</v>
      </c>
      <c r="B67" s="66">
        <f t="shared" si="8"/>
        <v>3</v>
      </c>
      <c r="C67" s="66">
        <v>56</v>
      </c>
      <c r="D67" s="68">
        <v>55</v>
      </c>
      <c r="E67" s="47" t="s">
        <v>153</v>
      </c>
      <c r="F67" s="7" t="s">
        <v>154</v>
      </c>
      <c r="G67" s="15">
        <v>165</v>
      </c>
      <c r="H67" s="14" t="s">
        <v>57</v>
      </c>
      <c r="I67" s="10"/>
      <c r="J67" s="11"/>
      <c r="K67" s="105">
        <f>+(3850*100)/119</f>
        <v>3235.294117647059</v>
      </c>
      <c r="L67" s="121">
        <f t="shared" si="83"/>
        <v>533823.5294117647</v>
      </c>
      <c r="M67" s="105">
        <f>+(4900*100)/119</f>
        <v>4117.6470588235297</v>
      </c>
      <c r="N67" s="121">
        <f t="shared" si="84"/>
        <v>679411.76470588241</v>
      </c>
      <c r="O67" s="105">
        <v>3361</v>
      </c>
      <c r="P67" s="121">
        <f t="shared" si="85"/>
        <v>554565</v>
      </c>
      <c r="Q67" s="165">
        <f t="shared" si="86"/>
        <v>3571.3137254901962</v>
      </c>
      <c r="R67" s="166">
        <f t="shared" si="89"/>
        <v>589266.76470588241</v>
      </c>
      <c r="S67" s="222">
        <f t="shared" si="87"/>
        <v>389.70978565069333</v>
      </c>
      <c r="T67" s="223">
        <f t="shared" si="81"/>
        <v>0.10912224901137803</v>
      </c>
      <c r="U67" s="224">
        <f t="shared" si="88"/>
        <v>3361</v>
      </c>
      <c r="V67" s="225">
        <f t="shared" si="90"/>
        <v>554565</v>
      </c>
      <c r="W67" s="149">
        <f t="shared" si="82"/>
        <v>0.11595054616206288</v>
      </c>
      <c r="X67" s="139" t="s">
        <v>144</v>
      </c>
      <c r="Y67" s="137" t="s">
        <v>155</v>
      </c>
      <c r="Z67" s="138" t="s">
        <v>923</v>
      </c>
    </row>
    <row r="68" spans="1:26" ht="34" x14ac:dyDescent="0.2">
      <c r="A68" s="36" t="s">
        <v>54</v>
      </c>
      <c r="B68" s="66">
        <f t="shared" si="8"/>
        <v>3</v>
      </c>
      <c r="C68" s="66">
        <v>57</v>
      </c>
      <c r="D68" s="68">
        <v>56</v>
      </c>
      <c r="E68" s="47" t="s">
        <v>156</v>
      </c>
      <c r="F68" s="7" t="s">
        <v>157</v>
      </c>
      <c r="G68" s="15">
        <v>165</v>
      </c>
      <c r="H68" s="14" t="s">
        <v>57</v>
      </c>
      <c r="I68" s="10"/>
      <c r="J68" s="11"/>
      <c r="K68" s="105">
        <f>+(27500*100)/119</f>
        <v>23109.243697478993</v>
      </c>
      <c r="L68" s="121">
        <f t="shared" si="83"/>
        <v>3813025.2100840337</v>
      </c>
      <c r="M68" s="105">
        <f>+(30000*100)/119</f>
        <v>25210.084033613446</v>
      </c>
      <c r="N68" s="121">
        <f t="shared" si="84"/>
        <v>4159663.8655462186</v>
      </c>
      <c r="O68" s="105">
        <v>20588</v>
      </c>
      <c r="P68" s="121">
        <f t="shared" si="85"/>
        <v>3397020</v>
      </c>
      <c r="Q68" s="165">
        <f t="shared" si="86"/>
        <v>22969.109243697476</v>
      </c>
      <c r="R68" s="166">
        <f t="shared" si="89"/>
        <v>3789903.0252100835</v>
      </c>
      <c r="S68" s="222">
        <f t="shared" si="87"/>
        <v>1889.5578763824742</v>
      </c>
      <c r="T68" s="223">
        <f t="shared" si="81"/>
        <v>8.2265178694334973E-2</v>
      </c>
      <c r="U68" s="224">
        <f t="shared" si="88"/>
        <v>23109.243697478993</v>
      </c>
      <c r="V68" s="225">
        <f t="shared" si="90"/>
        <v>3813025.2100840337</v>
      </c>
      <c r="W68" s="149">
        <f t="shared" si="82"/>
        <v>8.1766322650732512E-2</v>
      </c>
      <c r="X68" s="139" t="s">
        <v>158</v>
      </c>
      <c r="Y68" s="137" t="s">
        <v>159</v>
      </c>
      <c r="Z68" s="138" t="s">
        <v>924</v>
      </c>
    </row>
    <row r="69" spans="1:26" ht="17" x14ac:dyDescent="0.2">
      <c r="A69" s="36" t="s">
        <v>54</v>
      </c>
      <c r="B69" s="66">
        <f t="shared" si="8"/>
        <v>3</v>
      </c>
      <c r="C69" s="66">
        <v>58</v>
      </c>
      <c r="D69" s="68">
        <v>57</v>
      </c>
      <c r="E69" s="47" t="s">
        <v>160</v>
      </c>
      <c r="F69" s="7" t="s">
        <v>161</v>
      </c>
      <c r="G69" s="15">
        <v>165</v>
      </c>
      <c r="H69" s="14" t="s">
        <v>57</v>
      </c>
      <c r="I69" s="10"/>
      <c r="J69" s="11"/>
      <c r="K69" s="105">
        <f>+(8500*100)/119</f>
        <v>7142.8571428571431</v>
      </c>
      <c r="L69" s="121">
        <f t="shared" si="83"/>
        <v>1178571.4285714286</v>
      </c>
      <c r="M69" s="105">
        <f>+(9200*100)/119</f>
        <v>7731.09243697479</v>
      </c>
      <c r="N69" s="121">
        <f t="shared" si="84"/>
        <v>1275630.2521008404</v>
      </c>
      <c r="O69" s="105">
        <f>+(8400*100)/119</f>
        <v>7058.8235294117649</v>
      </c>
      <c r="P69" s="121">
        <f t="shared" si="85"/>
        <v>1164705.8823529412</v>
      </c>
      <c r="Q69" s="165">
        <f t="shared" si="86"/>
        <v>7310.9243697478996</v>
      </c>
      <c r="R69" s="166">
        <f t="shared" si="89"/>
        <v>1206302.5210084035</v>
      </c>
      <c r="S69" s="222">
        <f t="shared" si="87"/>
        <v>299.0778221857509</v>
      </c>
      <c r="T69" s="223">
        <f t="shared" si="81"/>
        <v>4.0908345793223395E-2</v>
      </c>
      <c r="U69" s="224">
        <f t="shared" si="88"/>
        <v>7142.8571428571431</v>
      </c>
      <c r="V69" s="225">
        <f t="shared" si="90"/>
        <v>1178571.4285714286</v>
      </c>
      <c r="W69" s="149">
        <f t="shared" si="82"/>
        <v>4.1870895106005127E-2</v>
      </c>
      <c r="X69" s="139" t="s">
        <v>162</v>
      </c>
      <c r="Y69" s="137" t="s">
        <v>163</v>
      </c>
      <c r="Z69" s="138" t="s">
        <v>164</v>
      </c>
    </row>
    <row r="70" spans="1:26" ht="17" x14ac:dyDescent="0.2">
      <c r="A70" s="36" t="s">
        <v>54</v>
      </c>
      <c r="B70" s="66">
        <f t="shared" si="8"/>
        <v>3</v>
      </c>
      <c r="C70" s="66">
        <v>59</v>
      </c>
      <c r="D70" s="68">
        <v>58</v>
      </c>
      <c r="E70" s="47" t="s">
        <v>165</v>
      </c>
      <c r="F70" s="7" t="s">
        <v>166</v>
      </c>
      <c r="G70" s="15">
        <v>165</v>
      </c>
      <c r="H70" s="8" t="s">
        <v>57</v>
      </c>
      <c r="I70" s="10"/>
      <c r="J70" s="11"/>
      <c r="K70" s="105">
        <f>+(13000*100)/119</f>
        <v>10924.36974789916</v>
      </c>
      <c r="L70" s="121">
        <f t="shared" si="83"/>
        <v>1802521.0084033613</v>
      </c>
      <c r="M70" s="105">
        <f>+(11300*100)/119</f>
        <v>9495.7983193277305</v>
      </c>
      <c r="N70" s="121">
        <f t="shared" si="84"/>
        <v>1566806.7226890756</v>
      </c>
      <c r="O70" s="105">
        <f>+(13000*100)/119</f>
        <v>10924.36974789916</v>
      </c>
      <c r="P70" s="121">
        <f t="shared" si="85"/>
        <v>1802521.0084033613</v>
      </c>
      <c r="Q70" s="165">
        <f t="shared" si="86"/>
        <v>10448.179271708685</v>
      </c>
      <c r="R70" s="166">
        <f t="shared" si="89"/>
        <v>1723949.5798319329</v>
      </c>
      <c r="S70" s="222">
        <f t="shared" si="87"/>
        <v>673.43502970147415</v>
      </c>
      <c r="T70" s="223">
        <f t="shared" si="81"/>
        <v>6.445477362022152E-2</v>
      </c>
      <c r="U70" s="224">
        <f t="shared" si="88"/>
        <v>10924.36974789916</v>
      </c>
      <c r="V70" s="225">
        <f t="shared" si="90"/>
        <v>1802521.0084033613</v>
      </c>
      <c r="W70" s="149">
        <f t="shared" si="82"/>
        <v>6.1645206564981098E-2</v>
      </c>
      <c r="X70" s="139" t="s">
        <v>167</v>
      </c>
      <c r="Y70" s="137" t="s">
        <v>164</v>
      </c>
      <c r="Z70" s="138" t="s">
        <v>168</v>
      </c>
    </row>
    <row r="71" spans="1:26" ht="30" x14ac:dyDescent="0.2">
      <c r="A71" s="36" t="s">
        <v>54</v>
      </c>
      <c r="B71" s="66">
        <f t="shared" si="8"/>
        <v>3</v>
      </c>
      <c r="C71" s="66">
        <v>60</v>
      </c>
      <c r="D71" s="68">
        <v>59</v>
      </c>
      <c r="E71" s="47" t="s">
        <v>169</v>
      </c>
      <c r="F71" s="7" t="s">
        <v>170</v>
      </c>
      <c r="G71" s="15">
        <v>165</v>
      </c>
      <c r="H71" s="14" t="s">
        <v>57</v>
      </c>
      <c r="I71" s="10"/>
      <c r="J71" s="11"/>
      <c r="K71" s="105">
        <f>+(13500*100)/119</f>
        <v>11344.53781512605</v>
      </c>
      <c r="L71" s="121">
        <f t="shared" si="83"/>
        <v>1871848.7394957982</v>
      </c>
      <c r="M71" s="105">
        <f>+(14000*100)/119</f>
        <v>11764.705882352941</v>
      </c>
      <c r="N71" s="121">
        <f t="shared" si="84"/>
        <v>1941176.4705882352</v>
      </c>
      <c r="O71" s="105">
        <f>+(14900*100)/119</f>
        <v>12521.008403361344</v>
      </c>
      <c r="P71" s="121">
        <f t="shared" si="85"/>
        <v>2065966.3865546216</v>
      </c>
      <c r="Q71" s="165">
        <f t="shared" si="86"/>
        <v>11876.750700280112</v>
      </c>
      <c r="R71" s="166">
        <f t="shared" si="89"/>
        <v>1959663.8655462186</v>
      </c>
      <c r="S71" s="222">
        <f t="shared" si="87"/>
        <v>486.78283464937709</v>
      </c>
      <c r="T71" s="223">
        <f t="shared" si="81"/>
        <v>4.098619621929897E-2</v>
      </c>
      <c r="U71" s="224">
        <f t="shared" si="88"/>
        <v>11764.705882352941</v>
      </c>
      <c r="V71" s="225">
        <f t="shared" si="90"/>
        <v>1941176.4705882352</v>
      </c>
      <c r="W71" s="149">
        <f t="shared" si="82"/>
        <v>4.1376540945197056E-2</v>
      </c>
      <c r="X71" s="139" t="s">
        <v>158</v>
      </c>
      <c r="Y71" s="137" t="s">
        <v>159</v>
      </c>
      <c r="Z71" s="138" t="s">
        <v>171</v>
      </c>
    </row>
    <row r="72" spans="1:26" ht="51" x14ac:dyDescent="0.2">
      <c r="A72" s="36" t="s">
        <v>54</v>
      </c>
      <c r="B72" s="66">
        <f t="shared" si="8"/>
        <v>3</v>
      </c>
      <c r="C72" s="66">
        <v>61</v>
      </c>
      <c r="D72" s="68">
        <v>60</v>
      </c>
      <c r="E72" s="47" t="s">
        <v>172</v>
      </c>
      <c r="F72" s="7" t="s">
        <v>173</v>
      </c>
      <c r="G72" s="15">
        <v>165</v>
      </c>
      <c r="H72" s="14" t="s">
        <v>57</v>
      </c>
      <c r="I72" s="10"/>
      <c r="J72" s="11"/>
      <c r="K72" s="105">
        <f>+(77500*100)/119</f>
        <v>65126.050420168067</v>
      </c>
      <c r="L72" s="121">
        <f t="shared" si="83"/>
        <v>10745798.319327731</v>
      </c>
      <c r="M72" s="105">
        <f>+(77500*100)/119</f>
        <v>65126.050420168067</v>
      </c>
      <c r="N72" s="121">
        <f t="shared" si="84"/>
        <v>10745798.319327731</v>
      </c>
      <c r="O72" s="105">
        <f>+(102500*100)/119</f>
        <v>86134.45378151261</v>
      </c>
      <c r="P72" s="121">
        <f t="shared" si="85"/>
        <v>14212184.87394958</v>
      </c>
      <c r="Q72" s="165">
        <f t="shared" si="86"/>
        <v>72128.851540616248</v>
      </c>
      <c r="R72" s="166">
        <f t="shared" si="89"/>
        <v>11901260.50420168</v>
      </c>
      <c r="S72" s="222">
        <f t="shared" si="87"/>
        <v>9903.4563191393318</v>
      </c>
      <c r="T72" s="223">
        <f t="shared" si="81"/>
        <v>0.13730228760903851</v>
      </c>
      <c r="U72" s="224">
        <f t="shared" si="88"/>
        <v>65126.050420168067</v>
      </c>
      <c r="V72" s="225">
        <f t="shared" si="90"/>
        <v>10745798.319327731</v>
      </c>
      <c r="W72" s="149">
        <f t="shared" si="82"/>
        <v>0.15206597444872005</v>
      </c>
      <c r="X72" s="139" t="s">
        <v>158</v>
      </c>
      <c r="Y72" s="137" t="s">
        <v>159</v>
      </c>
      <c r="Z72" s="138" t="s">
        <v>162</v>
      </c>
    </row>
    <row r="73" spans="1:26" ht="17" x14ac:dyDescent="0.2">
      <c r="A73" s="36" t="s">
        <v>54</v>
      </c>
      <c r="B73" s="66">
        <f t="shared" ref="B73:B135" si="91">+COUNT(K73,M73,O73)</f>
        <v>3</v>
      </c>
      <c r="C73" s="66">
        <v>62</v>
      </c>
      <c r="D73" s="68">
        <v>61</v>
      </c>
      <c r="E73" s="47" t="s">
        <v>174</v>
      </c>
      <c r="F73" s="7" t="s">
        <v>175</v>
      </c>
      <c r="G73" s="15">
        <v>165</v>
      </c>
      <c r="H73" s="14" t="s">
        <v>57</v>
      </c>
      <c r="I73" s="10"/>
      <c r="J73" s="11"/>
      <c r="K73" s="105">
        <f>+(10000*100)/119</f>
        <v>8403.361344537816</v>
      </c>
      <c r="L73" s="121">
        <f t="shared" si="83"/>
        <v>1386554.6218487397</v>
      </c>
      <c r="M73" s="105">
        <f>+(7500*100)/119</f>
        <v>6302.5210084033615</v>
      </c>
      <c r="N73" s="121">
        <f t="shared" si="84"/>
        <v>1039915.9663865546</v>
      </c>
      <c r="O73" s="105">
        <f>+(4500*100)/119</f>
        <v>3781.5126050420167</v>
      </c>
      <c r="P73" s="121">
        <f t="shared" si="85"/>
        <v>623949.57983193279</v>
      </c>
      <c r="Q73" s="165">
        <f t="shared" si="86"/>
        <v>6162.4649859943993</v>
      </c>
      <c r="R73" s="166">
        <f t="shared" si="89"/>
        <v>1016806.7226890759</v>
      </c>
      <c r="S73" s="222">
        <f t="shared" si="87"/>
        <v>1889.4590424694695</v>
      </c>
      <c r="T73" s="223">
        <f t="shared" si="81"/>
        <v>0.30660767189163657</v>
      </c>
      <c r="U73" s="224">
        <f t="shared" si="88"/>
        <v>6302.5210084033615</v>
      </c>
      <c r="V73" s="225">
        <f t="shared" si="90"/>
        <v>1039915.9663865546</v>
      </c>
      <c r="W73" s="149">
        <f t="shared" si="82"/>
        <v>0.29979416807182246</v>
      </c>
      <c r="X73" s="139" t="s">
        <v>176</v>
      </c>
      <c r="Y73" s="137" t="s">
        <v>177</v>
      </c>
      <c r="Z73" s="138" t="s">
        <v>178</v>
      </c>
    </row>
    <row r="74" spans="1:26" ht="34" x14ac:dyDescent="0.2">
      <c r="A74" s="36" t="s">
        <v>54</v>
      </c>
      <c r="B74" s="66">
        <f t="shared" si="91"/>
        <v>3</v>
      </c>
      <c r="C74" s="66">
        <v>63</v>
      </c>
      <c r="D74" s="68">
        <v>62</v>
      </c>
      <c r="E74" s="47" t="s">
        <v>179</v>
      </c>
      <c r="F74" s="7" t="s">
        <v>180</v>
      </c>
      <c r="G74" s="15">
        <v>165</v>
      </c>
      <c r="H74" s="8" t="s">
        <v>57</v>
      </c>
      <c r="I74" s="10"/>
      <c r="J74" s="11"/>
      <c r="K74" s="105">
        <f>+(43125*100)/119</f>
        <v>36239.495798319331</v>
      </c>
      <c r="L74" s="121">
        <f t="shared" si="83"/>
        <v>5979516.8067226894</v>
      </c>
      <c r="M74" s="105">
        <f>+(31680*100)/119</f>
        <v>26621.848739495799</v>
      </c>
      <c r="N74" s="121">
        <f t="shared" si="84"/>
        <v>4392605.042016807</v>
      </c>
      <c r="O74" s="105">
        <f>+(40900*100)/119</f>
        <v>34369.747899159665</v>
      </c>
      <c r="P74" s="121">
        <f t="shared" si="85"/>
        <v>5671008.4033613447</v>
      </c>
      <c r="Q74" s="165">
        <f t="shared" si="86"/>
        <v>32410.364145658266</v>
      </c>
      <c r="R74" s="166">
        <f t="shared" si="89"/>
        <v>5347710.084033614</v>
      </c>
      <c r="S74" s="222">
        <f t="shared" si="87"/>
        <v>4163.6660334484277</v>
      </c>
      <c r="T74" s="223">
        <f t="shared" si="81"/>
        <v>0.12846711671415137</v>
      </c>
      <c r="U74" s="224">
        <f t="shared" si="88"/>
        <v>34369.747899159665</v>
      </c>
      <c r="V74" s="225">
        <f t="shared" si="90"/>
        <v>5671008.4033613447</v>
      </c>
      <c r="W74" s="149">
        <f t="shared" si="82"/>
        <v>0.12114333935950193</v>
      </c>
      <c r="X74" s="139" t="s">
        <v>150</v>
      </c>
      <c r="Y74" s="137" t="s">
        <v>181</v>
      </c>
      <c r="Z74" s="138" t="s">
        <v>171</v>
      </c>
    </row>
    <row r="75" spans="1:26" ht="34" x14ac:dyDescent="0.2">
      <c r="A75" s="36" t="s">
        <v>54</v>
      </c>
      <c r="B75" s="66">
        <f t="shared" si="91"/>
        <v>3</v>
      </c>
      <c r="C75" s="66">
        <v>64</v>
      </c>
      <c r="D75" s="68">
        <v>63</v>
      </c>
      <c r="E75" s="47" t="s">
        <v>182</v>
      </c>
      <c r="F75" s="7" t="s">
        <v>183</v>
      </c>
      <c r="G75" s="15">
        <v>165</v>
      </c>
      <c r="H75" s="8" t="s">
        <v>57</v>
      </c>
      <c r="I75" s="10"/>
      <c r="J75" s="11"/>
      <c r="K75" s="105">
        <f>+(26000*100)/119</f>
        <v>21848.73949579832</v>
      </c>
      <c r="L75" s="121">
        <f t="shared" si="83"/>
        <v>3605042.0168067226</v>
      </c>
      <c r="M75" s="105">
        <f>+(24840*100)/119</f>
        <v>20873.949579831933</v>
      </c>
      <c r="N75" s="121">
        <f t="shared" si="84"/>
        <v>3444201.6806722688</v>
      </c>
      <c r="O75" s="105">
        <f>+(32430*100)/119</f>
        <v>27252.100840336134</v>
      </c>
      <c r="P75" s="121">
        <f t="shared" si="85"/>
        <v>4496596.6386554623</v>
      </c>
      <c r="Q75" s="165">
        <f t="shared" si="86"/>
        <v>23324.929971988797</v>
      </c>
      <c r="R75" s="166">
        <f t="shared" si="89"/>
        <v>3848613.4453781513</v>
      </c>
      <c r="S75" s="222">
        <f t="shared" si="87"/>
        <v>2805.2994037433677</v>
      </c>
      <c r="T75" s="223">
        <f t="shared" si="81"/>
        <v>0.12027043198467421</v>
      </c>
      <c r="U75" s="224">
        <f t="shared" si="88"/>
        <v>21848.73949579832</v>
      </c>
      <c r="V75" s="225">
        <f t="shared" si="90"/>
        <v>3605042.0168067226</v>
      </c>
      <c r="W75" s="149">
        <f t="shared" si="82"/>
        <v>0.12839639578671569</v>
      </c>
      <c r="X75" s="139" t="s">
        <v>184</v>
      </c>
      <c r="Y75" s="137" t="s">
        <v>185</v>
      </c>
      <c r="Z75" s="138" t="s">
        <v>150</v>
      </c>
    </row>
    <row r="76" spans="1:26" ht="17" x14ac:dyDescent="0.2">
      <c r="A76" s="36" t="s">
        <v>54</v>
      </c>
      <c r="B76" s="66">
        <f t="shared" si="91"/>
        <v>3</v>
      </c>
      <c r="C76" s="66">
        <v>65</v>
      </c>
      <c r="D76" s="68">
        <v>64</v>
      </c>
      <c r="E76" s="47" t="s">
        <v>169</v>
      </c>
      <c r="F76" s="387" t="s">
        <v>186</v>
      </c>
      <c r="G76" s="15">
        <v>165</v>
      </c>
      <c r="H76" s="8" t="s">
        <v>57</v>
      </c>
      <c r="I76" s="10"/>
      <c r="J76" s="11"/>
      <c r="K76" s="105">
        <f>+(24000*100)/119</f>
        <v>20168.067226890755</v>
      </c>
      <c r="L76" s="121">
        <f t="shared" si="83"/>
        <v>3327731.0924369744</v>
      </c>
      <c r="M76" s="105">
        <f>+(28800*100)/119</f>
        <v>24201.680672268907</v>
      </c>
      <c r="N76" s="121">
        <f t="shared" si="84"/>
        <v>3993277.3109243698</v>
      </c>
      <c r="O76" s="105">
        <f>+(21500*100)/119</f>
        <v>18067.226890756301</v>
      </c>
      <c r="P76" s="121">
        <f t="shared" si="85"/>
        <v>2981092.4369747895</v>
      </c>
      <c r="Q76" s="165">
        <f t="shared" si="86"/>
        <v>20812.324929971986</v>
      </c>
      <c r="R76" s="166">
        <f t="shared" si="89"/>
        <v>3434033.6134453779</v>
      </c>
      <c r="S76" s="222">
        <f t="shared" si="87"/>
        <v>2545.4772689829351</v>
      </c>
      <c r="T76" s="223">
        <f t="shared" si="81"/>
        <v>0.12230624293767267</v>
      </c>
      <c r="U76" s="224">
        <f t="shared" si="88"/>
        <v>20168.067226890755</v>
      </c>
      <c r="V76" s="225">
        <f t="shared" si="90"/>
        <v>3327731.0924369744</v>
      </c>
      <c r="W76" s="149">
        <f t="shared" si="82"/>
        <v>0.12621324792040386</v>
      </c>
      <c r="X76" s="139" t="s">
        <v>178</v>
      </c>
      <c r="Y76" s="137" t="s">
        <v>187</v>
      </c>
      <c r="Z76" s="138" t="s">
        <v>188</v>
      </c>
    </row>
    <row r="77" spans="1:26" ht="17" x14ac:dyDescent="0.2">
      <c r="A77" s="36" t="s">
        <v>54</v>
      </c>
      <c r="B77" s="66">
        <f t="shared" si="91"/>
        <v>3</v>
      </c>
      <c r="C77" s="66">
        <v>66</v>
      </c>
      <c r="D77" s="68">
        <v>65</v>
      </c>
      <c r="E77" s="47" t="s">
        <v>189</v>
      </c>
      <c r="F77" s="388" t="s">
        <v>190</v>
      </c>
      <c r="G77" s="15">
        <v>165</v>
      </c>
      <c r="H77" s="14" t="s">
        <v>57</v>
      </c>
      <c r="I77" s="10"/>
      <c r="J77" s="11"/>
      <c r="K77" s="105">
        <f>+(30000*100)/119</f>
        <v>25210.084033613446</v>
      </c>
      <c r="L77" s="121">
        <f t="shared" si="83"/>
        <v>4159663.8655462186</v>
      </c>
      <c r="M77" s="105">
        <f>+(27700*100)/119</f>
        <v>23277.310924369747</v>
      </c>
      <c r="N77" s="121">
        <f t="shared" si="84"/>
        <v>3840756.3025210081</v>
      </c>
      <c r="O77" s="105">
        <f>+(27850*100)/119</f>
        <v>23403.361344537814</v>
      </c>
      <c r="P77" s="121">
        <f t="shared" si="85"/>
        <v>3861554.6218487392</v>
      </c>
      <c r="Q77" s="165">
        <f t="shared" si="86"/>
        <v>23963.58543417367</v>
      </c>
      <c r="R77" s="166">
        <f t="shared" si="89"/>
        <v>3953991.5966386558</v>
      </c>
      <c r="S77" s="222">
        <f t="shared" si="87"/>
        <v>882.90854411621842</v>
      </c>
      <c r="T77" s="223">
        <f t="shared" si="81"/>
        <v>3.6843758065399176E-2</v>
      </c>
      <c r="U77" s="224">
        <f t="shared" si="88"/>
        <v>23403.361344537814</v>
      </c>
      <c r="V77" s="225">
        <f t="shared" si="90"/>
        <v>3861554.6218487392</v>
      </c>
      <c r="W77" s="149">
        <f t="shared" si="82"/>
        <v>3.7725715170495513E-2</v>
      </c>
      <c r="X77" s="139" t="s">
        <v>191</v>
      </c>
      <c r="Y77" s="137" t="s">
        <v>192</v>
      </c>
      <c r="Z77" s="138" t="s">
        <v>193</v>
      </c>
    </row>
    <row r="78" spans="1:26" ht="17" x14ac:dyDescent="0.2">
      <c r="A78" s="36" t="s">
        <v>54</v>
      </c>
      <c r="B78" s="66">
        <f t="shared" si="91"/>
        <v>3</v>
      </c>
      <c r="C78" s="66">
        <v>67</v>
      </c>
      <c r="D78" s="68">
        <v>66</v>
      </c>
      <c r="E78" s="47" t="s">
        <v>194</v>
      </c>
      <c r="F78" s="7" t="s">
        <v>195</v>
      </c>
      <c r="G78" s="15">
        <v>165</v>
      </c>
      <c r="H78" s="12" t="s">
        <v>57</v>
      </c>
      <c r="I78" s="10"/>
      <c r="J78" s="11"/>
      <c r="K78" s="105">
        <f>+(35500*100)/119</f>
        <v>29831.932773109245</v>
      </c>
      <c r="L78" s="121">
        <f t="shared" si="83"/>
        <v>4922268.9075630251</v>
      </c>
      <c r="M78" s="105">
        <f>+(35710*100)/119</f>
        <v>30008.403361344539</v>
      </c>
      <c r="N78" s="121">
        <f t="shared" si="84"/>
        <v>4951386.5546218492</v>
      </c>
      <c r="O78" s="105">
        <f>+(32000*100)/119</f>
        <v>26890.756302521007</v>
      </c>
      <c r="P78" s="121">
        <f t="shared" si="85"/>
        <v>4436974.7899159659</v>
      </c>
      <c r="Q78" s="165">
        <f t="shared" si="86"/>
        <v>28910.364145658266</v>
      </c>
      <c r="R78" s="166">
        <f t="shared" si="89"/>
        <v>4770210.084033614</v>
      </c>
      <c r="S78" s="222">
        <f t="shared" si="87"/>
        <v>1429.8944826278077</v>
      </c>
      <c r="T78" s="223">
        <f t="shared" si="81"/>
        <v>4.9459580495894516E-2</v>
      </c>
      <c r="U78" s="224">
        <f t="shared" si="88"/>
        <v>29831.932773109245</v>
      </c>
      <c r="V78" s="225">
        <f t="shared" si="90"/>
        <v>4922268.9075630251</v>
      </c>
      <c r="W78" s="149">
        <f t="shared" si="82"/>
        <v>4.7931674206396935E-2</v>
      </c>
      <c r="X78" s="139" t="s">
        <v>196</v>
      </c>
      <c r="Y78" s="137" t="s">
        <v>151</v>
      </c>
      <c r="Z78" s="138" t="s">
        <v>197</v>
      </c>
    </row>
    <row r="79" spans="1:26" ht="34" x14ac:dyDescent="0.2">
      <c r="A79" s="36" t="s">
        <v>54</v>
      </c>
      <c r="B79" s="66">
        <f t="shared" si="91"/>
        <v>3</v>
      </c>
      <c r="C79" s="66">
        <v>68</v>
      </c>
      <c r="D79" s="68">
        <v>67</v>
      </c>
      <c r="E79" s="47" t="s">
        <v>198</v>
      </c>
      <c r="F79" s="7" t="s">
        <v>199</v>
      </c>
      <c r="G79" s="15">
        <v>165</v>
      </c>
      <c r="H79" s="12" t="s">
        <v>57</v>
      </c>
      <c r="I79" s="10"/>
      <c r="J79" s="11"/>
      <c r="K79" s="105">
        <f>+(22000*100)/119</f>
        <v>18487.394957983193</v>
      </c>
      <c r="L79" s="121">
        <f t="shared" si="83"/>
        <v>3050420.1680672271</v>
      </c>
      <c r="M79" s="105">
        <f>+(21500*100)/119</f>
        <v>18067.226890756301</v>
      </c>
      <c r="N79" s="121">
        <f t="shared" si="84"/>
        <v>2981092.4369747895</v>
      </c>
      <c r="O79" s="105">
        <f>+(19900*100)/119</f>
        <v>16722.689075630253</v>
      </c>
      <c r="P79" s="121">
        <f t="shared" si="85"/>
        <v>2759243.6974789919</v>
      </c>
      <c r="Q79" s="165">
        <f t="shared" si="86"/>
        <v>17759.103641456582</v>
      </c>
      <c r="R79" s="166">
        <f t="shared" si="89"/>
        <v>2930252.1008403362</v>
      </c>
      <c r="S79" s="222">
        <f t="shared" si="87"/>
        <v>752.66268025458794</v>
      </c>
      <c r="T79" s="223">
        <f t="shared" si="81"/>
        <v>4.2381794455976007E-2</v>
      </c>
      <c r="U79" s="224">
        <f t="shared" si="88"/>
        <v>18067.226890756301</v>
      </c>
      <c r="V79" s="225">
        <f t="shared" si="90"/>
        <v>2981092.4369747895</v>
      </c>
      <c r="W79" s="149">
        <f t="shared" si="82"/>
        <v>4.1659004162928358E-2</v>
      </c>
      <c r="X79" s="139" t="s">
        <v>200</v>
      </c>
      <c r="Y79" s="137" t="s">
        <v>201</v>
      </c>
      <c r="Z79" s="138" t="s">
        <v>202</v>
      </c>
    </row>
    <row r="80" spans="1:26" ht="17" x14ac:dyDescent="0.2">
      <c r="A80" s="36" t="s">
        <v>54</v>
      </c>
      <c r="B80" s="66">
        <f t="shared" si="91"/>
        <v>3</v>
      </c>
      <c r="C80" s="66">
        <v>69</v>
      </c>
      <c r="D80" s="68">
        <v>68</v>
      </c>
      <c r="E80" s="47" t="s">
        <v>203</v>
      </c>
      <c r="F80" s="7" t="s">
        <v>204</v>
      </c>
      <c r="G80" s="15">
        <v>165</v>
      </c>
      <c r="H80" s="12" t="s">
        <v>57</v>
      </c>
      <c r="I80" s="10"/>
      <c r="J80" s="11"/>
      <c r="K80" s="105">
        <f>+(12000*100)/119</f>
        <v>10084.033613445377</v>
      </c>
      <c r="L80" s="121">
        <f t="shared" si="83"/>
        <v>1663865.5462184872</v>
      </c>
      <c r="M80" s="105">
        <f>+(12000*100)/119</f>
        <v>10084.033613445377</v>
      </c>
      <c r="N80" s="121">
        <f t="shared" si="84"/>
        <v>1663865.5462184872</v>
      </c>
      <c r="O80" s="105">
        <f>+(18000*100)/119</f>
        <v>15126.050420168067</v>
      </c>
      <c r="P80" s="121">
        <f t="shared" si="85"/>
        <v>2495798.3193277312</v>
      </c>
      <c r="Q80" s="165">
        <f t="shared" si="86"/>
        <v>11764.705882352942</v>
      </c>
      <c r="R80" s="166">
        <f t="shared" si="89"/>
        <v>1941176.4705882354</v>
      </c>
      <c r="S80" s="222">
        <f t="shared" si="87"/>
        <v>2376.8295165934301</v>
      </c>
      <c r="T80" s="223">
        <f t="shared" si="81"/>
        <v>0.20203050891044153</v>
      </c>
      <c r="U80" s="224">
        <f t="shared" si="88"/>
        <v>10084.033613445377</v>
      </c>
      <c r="V80" s="225">
        <f t="shared" si="90"/>
        <v>1663865.5462184872</v>
      </c>
      <c r="W80" s="149">
        <f t="shared" si="82"/>
        <v>0.23570226039551517</v>
      </c>
      <c r="X80" s="139" t="s">
        <v>205</v>
      </c>
      <c r="Y80" s="137" t="s">
        <v>206</v>
      </c>
      <c r="Z80" s="138" t="s">
        <v>200</v>
      </c>
    </row>
    <row r="81" spans="1:16383" ht="34" x14ac:dyDescent="0.2">
      <c r="A81" s="36" t="s">
        <v>54</v>
      </c>
      <c r="B81" s="66">
        <f t="shared" si="91"/>
        <v>3</v>
      </c>
      <c r="C81" s="66">
        <v>70</v>
      </c>
      <c r="D81" s="68">
        <v>69</v>
      </c>
      <c r="E81" s="47" t="s">
        <v>207</v>
      </c>
      <c r="F81" s="7" t="s">
        <v>208</v>
      </c>
      <c r="G81" s="15">
        <v>165</v>
      </c>
      <c r="H81" s="12" t="s">
        <v>57</v>
      </c>
      <c r="I81" s="10"/>
      <c r="J81" s="11"/>
      <c r="K81" s="105">
        <f>+(34079*100)/119</f>
        <v>28637.81512605042</v>
      </c>
      <c r="L81" s="121">
        <f t="shared" si="83"/>
        <v>4725239.4957983196</v>
      </c>
      <c r="M81" s="105">
        <f>+(22000*100)/119</f>
        <v>18487.394957983193</v>
      </c>
      <c r="N81" s="121">
        <f t="shared" si="84"/>
        <v>3050420.1680672271</v>
      </c>
      <c r="O81" s="105">
        <f>+(33650*100)/119</f>
        <v>28277.310924369747</v>
      </c>
      <c r="P81" s="121">
        <f t="shared" si="85"/>
        <v>4665756.3025210081</v>
      </c>
      <c r="Q81" s="165">
        <f t="shared" si="86"/>
        <v>25134.173669467786</v>
      </c>
      <c r="R81" s="166">
        <f t="shared" si="89"/>
        <v>4147138.6554621845</v>
      </c>
      <c r="S81" s="222">
        <f t="shared" si="87"/>
        <v>4702.2860574718216</v>
      </c>
      <c r="T81" s="223">
        <f t="shared" si="81"/>
        <v>0.18708735442470553</v>
      </c>
      <c r="U81" s="224">
        <f t="shared" si="88"/>
        <v>28277.310924369747</v>
      </c>
      <c r="V81" s="225">
        <f t="shared" si="90"/>
        <v>4665756.3025210081</v>
      </c>
      <c r="W81" s="149">
        <f t="shared" si="82"/>
        <v>0.16629183977389206</v>
      </c>
      <c r="X81" s="139" t="s">
        <v>209</v>
      </c>
      <c r="Y81" s="137" t="s">
        <v>210</v>
      </c>
      <c r="Z81" s="138" t="s">
        <v>211</v>
      </c>
    </row>
    <row r="82" spans="1:16383" ht="17" x14ac:dyDescent="0.2">
      <c r="A82" s="36" t="s">
        <v>54</v>
      </c>
      <c r="B82" s="66">
        <f t="shared" si="91"/>
        <v>3</v>
      </c>
      <c r="C82" s="66">
        <v>71</v>
      </c>
      <c r="D82" s="68">
        <v>70</v>
      </c>
      <c r="E82" s="47" t="s">
        <v>212</v>
      </c>
      <c r="F82" s="7" t="s">
        <v>213</v>
      </c>
      <c r="G82" s="15">
        <v>165</v>
      </c>
      <c r="H82" s="12" t="s">
        <v>57</v>
      </c>
      <c r="I82" s="10"/>
      <c r="J82" s="11"/>
      <c r="K82" s="105">
        <f>+(16400*100)/119</f>
        <v>13781.512605042017</v>
      </c>
      <c r="L82" s="121">
        <f t="shared" si="83"/>
        <v>2273949.5798319327</v>
      </c>
      <c r="M82" s="105">
        <f>+(14950*100)/119</f>
        <v>12563.025210084033</v>
      </c>
      <c r="N82" s="121">
        <f t="shared" si="84"/>
        <v>2072899.1596638656</v>
      </c>
      <c r="O82" s="105">
        <f>+(16000*100)/119</f>
        <v>13445.378151260504</v>
      </c>
      <c r="P82" s="121">
        <f t="shared" si="85"/>
        <v>2218487.3949579829</v>
      </c>
      <c r="Q82" s="165">
        <f t="shared" si="86"/>
        <v>13263.305322128852</v>
      </c>
      <c r="R82" s="166">
        <f t="shared" si="89"/>
        <v>2188445.3781512608</v>
      </c>
      <c r="S82" s="222">
        <f t="shared" si="87"/>
        <v>513.83575148022805</v>
      </c>
      <c r="T82" s="223">
        <f t="shared" si="81"/>
        <v>3.8741153807484989E-2</v>
      </c>
      <c r="U82" s="224">
        <f t="shared" si="88"/>
        <v>13445.378151260504</v>
      </c>
      <c r="V82" s="225">
        <f t="shared" si="90"/>
        <v>2218487.3949579829</v>
      </c>
      <c r="W82" s="149">
        <f t="shared" si="82"/>
        <v>3.8216534016341966E-2</v>
      </c>
      <c r="X82" s="139" t="s">
        <v>214</v>
      </c>
      <c r="Y82" s="137" t="s">
        <v>150</v>
      </c>
      <c r="Z82" s="138" t="s">
        <v>215</v>
      </c>
    </row>
    <row r="83" spans="1:16383" ht="17" x14ac:dyDescent="0.2">
      <c r="A83" s="36" t="s">
        <v>54</v>
      </c>
      <c r="B83" s="66">
        <f t="shared" si="91"/>
        <v>3</v>
      </c>
      <c r="C83" s="66">
        <v>72</v>
      </c>
      <c r="D83" s="68">
        <v>71</v>
      </c>
      <c r="E83" s="47" t="s">
        <v>216</v>
      </c>
      <c r="F83" s="7" t="s">
        <v>217</v>
      </c>
      <c r="G83" s="15">
        <v>165</v>
      </c>
      <c r="H83" s="12" t="s">
        <v>57</v>
      </c>
      <c r="I83" s="10"/>
      <c r="J83" s="11"/>
      <c r="K83" s="105">
        <f>+(26000*100)/119</f>
        <v>21848.73949579832</v>
      </c>
      <c r="L83" s="121">
        <f t="shared" si="83"/>
        <v>3605042.0168067226</v>
      </c>
      <c r="M83" s="105">
        <f>+(20843*100)/119</f>
        <v>17515.126050420167</v>
      </c>
      <c r="N83" s="121">
        <f t="shared" si="84"/>
        <v>2889995.7983193276</v>
      </c>
      <c r="O83" s="105">
        <f>+(26500*100)/119</f>
        <v>22268.907563025212</v>
      </c>
      <c r="P83" s="121">
        <f t="shared" si="85"/>
        <v>3674369.7478991598</v>
      </c>
      <c r="Q83" s="165">
        <f t="shared" si="86"/>
        <v>20544.257703081232</v>
      </c>
      <c r="R83" s="166">
        <f t="shared" si="89"/>
        <v>3389802.521008403</v>
      </c>
      <c r="S83" s="222">
        <f t="shared" si="87"/>
        <v>2148.7770518823449</v>
      </c>
      <c r="T83" s="223">
        <f t="shared" si="81"/>
        <v>0.10459258654840914</v>
      </c>
      <c r="U83" s="224">
        <f t="shared" si="88"/>
        <v>21848.73949579832</v>
      </c>
      <c r="V83" s="225">
        <f t="shared" si="90"/>
        <v>3605042.0168067226</v>
      </c>
      <c r="W83" s="149">
        <f t="shared" si="82"/>
        <v>9.8347872759230404E-2</v>
      </c>
      <c r="X83" s="139" t="s">
        <v>218</v>
      </c>
      <c r="Y83" s="137" t="s">
        <v>219</v>
      </c>
      <c r="Z83" s="138" t="s">
        <v>192</v>
      </c>
    </row>
    <row r="84" spans="1:16383" ht="75" x14ac:dyDescent="0.2">
      <c r="A84" s="36" t="s">
        <v>54</v>
      </c>
      <c r="B84" s="66">
        <f t="shared" si="91"/>
        <v>3</v>
      </c>
      <c r="C84" s="66">
        <v>73</v>
      </c>
      <c r="D84" s="68">
        <v>72</v>
      </c>
      <c r="E84" s="47" t="s">
        <v>220</v>
      </c>
      <c r="F84" s="7" t="s">
        <v>221</v>
      </c>
      <c r="G84" s="15">
        <v>165</v>
      </c>
      <c r="H84" s="12" t="s">
        <v>57</v>
      </c>
      <c r="I84" s="10"/>
      <c r="J84" s="11"/>
      <c r="K84" s="105">
        <f>+(189000*100)/119</f>
        <v>158823.5294117647</v>
      </c>
      <c r="L84" s="121">
        <f t="shared" si="83"/>
        <v>26205882.352941174</v>
      </c>
      <c r="M84" s="105">
        <f>+(169000*100)/119</f>
        <v>142016.80672268907</v>
      </c>
      <c r="N84" s="121">
        <f t="shared" si="84"/>
        <v>23432773.109243698</v>
      </c>
      <c r="O84" s="105">
        <f>+(113600*100)/119</f>
        <v>95462.184873949576</v>
      </c>
      <c r="P84" s="121">
        <f t="shared" si="85"/>
        <v>15751260.50420168</v>
      </c>
      <c r="Q84" s="165">
        <f t="shared" si="86"/>
        <v>132100.84033613445</v>
      </c>
      <c r="R84" s="166">
        <f t="shared" si="89"/>
        <v>21796638.655462183</v>
      </c>
      <c r="S84" s="222">
        <f t="shared" si="87"/>
        <v>26800.619239666732</v>
      </c>
      <c r="T84" s="223">
        <f t="shared" si="81"/>
        <v>0.20288000569467818</v>
      </c>
      <c r="U84" s="224">
        <f t="shared" si="88"/>
        <v>142016.80672268907</v>
      </c>
      <c r="V84" s="225">
        <f t="shared" si="90"/>
        <v>23432773.109243698</v>
      </c>
      <c r="W84" s="149">
        <f t="shared" si="82"/>
        <v>0.18871441949824505</v>
      </c>
      <c r="X84" s="139" t="s">
        <v>222</v>
      </c>
      <c r="Y84" s="137" t="s">
        <v>152</v>
      </c>
      <c r="Z84" s="138" t="s">
        <v>152</v>
      </c>
    </row>
    <row r="85" spans="1:16383" ht="196" thickBot="1" x14ac:dyDescent="0.25">
      <c r="A85" s="84" t="s">
        <v>54</v>
      </c>
      <c r="B85" s="82">
        <f t="shared" si="91"/>
        <v>3</v>
      </c>
      <c r="C85" s="66">
        <v>74</v>
      </c>
      <c r="D85" s="85">
        <v>73</v>
      </c>
      <c r="E85" s="86" t="s">
        <v>223</v>
      </c>
      <c r="F85" s="87" t="s">
        <v>224</v>
      </c>
      <c r="G85" s="15">
        <v>165</v>
      </c>
      <c r="H85" s="88" t="s">
        <v>57</v>
      </c>
      <c r="I85" s="89"/>
      <c r="J85" s="90"/>
      <c r="K85" s="107">
        <f>+(293532*100)/119</f>
        <v>246665.5462184874</v>
      </c>
      <c r="L85" s="150">
        <f t="shared" si="83"/>
        <v>40699815.12605042</v>
      </c>
      <c r="M85" s="107">
        <f>+(249900*100)/119</f>
        <v>210000</v>
      </c>
      <c r="N85" s="150">
        <f t="shared" si="84"/>
        <v>34650000</v>
      </c>
      <c r="O85" s="107">
        <f>+(245000*100)/119</f>
        <v>205882.35294117648</v>
      </c>
      <c r="P85" s="150">
        <f t="shared" si="85"/>
        <v>33970588.235294119</v>
      </c>
      <c r="Q85" s="318">
        <f t="shared" si="86"/>
        <v>220849.29971988799</v>
      </c>
      <c r="R85" s="310">
        <f t="shared" si="89"/>
        <v>36440134.453781515</v>
      </c>
      <c r="S85" s="311">
        <f t="shared" si="87"/>
        <v>18332.079201636232</v>
      </c>
      <c r="T85" s="312">
        <f t="shared" si="81"/>
        <v>8.3007187366623048E-2</v>
      </c>
      <c r="U85" s="313">
        <f t="shared" si="88"/>
        <v>210000</v>
      </c>
      <c r="V85" s="314">
        <f t="shared" si="90"/>
        <v>34650000</v>
      </c>
      <c r="W85" s="315">
        <f t="shared" si="82"/>
        <v>8.7295615245886818E-2</v>
      </c>
      <c r="X85" s="141" t="s">
        <v>222</v>
      </c>
      <c r="Y85" s="153" t="s">
        <v>152</v>
      </c>
      <c r="Z85" s="154" t="s">
        <v>225</v>
      </c>
    </row>
    <row r="86" spans="1:16383" ht="77" thickBot="1" x14ac:dyDescent="0.25">
      <c r="A86" s="49">
        <v>1</v>
      </c>
      <c r="B86" s="193"/>
      <c r="C86" s="193"/>
      <c r="D86" s="69"/>
      <c r="E86" s="50"/>
      <c r="F86" s="400" t="s">
        <v>226</v>
      </c>
      <c r="G86" s="30"/>
      <c r="H86" s="30"/>
      <c r="I86" s="30"/>
      <c r="J86" s="30"/>
      <c r="K86" s="109"/>
      <c r="L86" s="110"/>
      <c r="M86" s="110"/>
      <c r="N86" s="110"/>
      <c r="O86" s="109"/>
      <c r="P86" s="110"/>
      <c r="Q86" s="194"/>
      <c r="R86" s="194"/>
      <c r="S86" s="195"/>
      <c r="T86" s="196"/>
      <c r="U86" s="194"/>
      <c r="V86" s="197"/>
      <c r="W86" s="196"/>
      <c r="X86" s="593"/>
      <c r="Y86" s="593"/>
      <c r="Z86" s="594"/>
    </row>
    <row r="87" spans="1:16383" ht="39" thickBot="1" x14ac:dyDescent="0.25">
      <c r="A87" s="49">
        <v>1</v>
      </c>
      <c r="B87" s="193"/>
      <c r="C87" s="193"/>
      <c r="D87" s="69"/>
      <c r="E87" s="50"/>
      <c r="F87" s="400" t="s">
        <v>227</v>
      </c>
      <c r="G87" s="30"/>
      <c r="H87" s="30"/>
      <c r="I87" s="30"/>
      <c r="J87" s="30"/>
      <c r="K87" s="109"/>
      <c r="L87" s="110"/>
      <c r="M87" s="110"/>
      <c r="N87" s="110"/>
      <c r="O87" s="109"/>
      <c r="P87" s="110"/>
      <c r="Q87" s="194"/>
      <c r="R87" s="194"/>
      <c r="S87" s="195"/>
      <c r="T87" s="196"/>
      <c r="U87" s="194"/>
      <c r="V87" s="197"/>
      <c r="W87" s="196"/>
      <c r="X87" s="593"/>
      <c r="Y87" s="593"/>
      <c r="Z87" s="594"/>
      <c r="AA87" s="199"/>
      <c r="AB87" s="200"/>
      <c r="AC87" s="201"/>
      <c r="AD87" s="202"/>
      <c r="AE87" s="202"/>
      <c r="AF87" s="202"/>
      <c r="AG87" s="202"/>
      <c r="AH87" s="203"/>
      <c r="AI87" s="204"/>
      <c r="AJ87" s="204"/>
      <c r="AK87" s="204"/>
      <c r="AL87" s="205"/>
      <c r="AM87" s="206"/>
      <c r="AN87" s="207"/>
      <c r="AO87" s="207"/>
      <c r="AP87" s="208"/>
      <c r="AQ87" s="209"/>
      <c r="AR87" s="207"/>
      <c r="AS87" s="210"/>
      <c r="AT87" s="209"/>
      <c r="AU87" s="204"/>
      <c r="AV87" s="204"/>
      <c r="AW87" s="204"/>
      <c r="AX87" s="199"/>
      <c r="AY87" s="167"/>
      <c r="AZ87" s="199"/>
      <c r="BA87" s="200"/>
      <c r="BB87" s="201"/>
      <c r="BC87" s="202"/>
      <c r="BD87" s="202"/>
      <c r="BE87" s="202"/>
      <c r="BF87" s="202"/>
      <c r="BG87" s="203"/>
      <c r="BH87" s="204"/>
      <c r="BI87" s="204"/>
      <c r="BJ87" s="204"/>
      <c r="BK87" s="205"/>
      <c r="BL87" s="206"/>
      <c r="BM87" s="207"/>
      <c r="BN87" s="207"/>
      <c r="BO87" s="208"/>
      <c r="BP87" s="209"/>
      <c r="BQ87" s="207"/>
      <c r="BR87" s="210"/>
      <c r="BS87" s="209"/>
      <c r="BT87" s="204"/>
      <c r="BU87" s="204"/>
      <c r="BV87" s="204"/>
      <c r="BW87" s="199"/>
      <c r="BX87" s="167"/>
      <c r="BY87" s="199"/>
      <c r="BZ87" s="200"/>
      <c r="CA87" s="201"/>
      <c r="CB87" s="202"/>
      <c r="CC87" s="202"/>
      <c r="CD87" s="202"/>
      <c r="CE87" s="202"/>
      <c r="CF87" s="203"/>
      <c r="CG87" s="204"/>
      <c r="CH87" s="204"/>
      <c r="CI87" s="204"/>
      <c r="CJ87" s="205"/>
      <c r="CK87" s="206"/>
      <c r="CL87" s="207"/>
      <c r="CM87" s="207"/>
      <c r="CN87" s="208"/>
      <c r="CO87" s="209"/>
      <c r="CP87" s="207"/>
      <c r="CQ87" s="210"/>
      <c r="CR87" s="209"/>
      <c r="CS87" s="204"/>
      <c r="CT87" s="204"/>
      <c r="CU87" s="204"/>
      <c r="CV87" s="199"/>
      <c r="CW87" s="167"/>
      <c r="CX87" s="199"/>
      <c r="CY87" s="200"/>
      <c r="CZ87" s="201"/>
      <c r="DA87" s="202"/>
      <c r="DB87" s="202"/>
      <c r="DC87" s="202"/>
      <c r="DD87" s="202"/>
      <c r="DE87" s="203"/>
      <c r="DF87" s="204"/>
      <c r="DG87" s="204"/>
      <c r="DH87" s="204"/>
      <c r="DI87" s="205"/>
      <c r="DJ87" s="206"/>
      <c r="DK87" s="207"/>
      <c r="DL87" s="207"/>
      <c r="DM87" s="208"/>
      <c r="DN87" s="209"/>
      <c r="DO87" s="207"/>
      <c r="DP87" s="210"/>
      <c r="DQ87" s="209"/>
      <c r="DR87" s="204"/>
      <c r="DS87" s="204"/>
      <c r="DT87" s="204"/>
      <c r="DU87" s="199"/>
      <c r="DV87" s="167"/>
      <c r="DW87" s="199"/>
      <c r="DX87" s="200"/>
      <c r="DY87" s="201"/>
      <c r="DZ87" s="202"/>
      <c r="EA87" s="202"/>
      <c r="EB87" s="202"/>
      <c r="EC87" s="202"/>
      <c r="ED87" s="203"/>
      <c r="EE87" s="204"/>
      <c r="EF87" s="204"/>
      <c r="EG87" s="204"/>
      <c r="EH87" s="205"/>
      <c r="EI87" s="206"/>
      <c r="EJ87" s="207"/>
      <c r="EK87" s="207"/>
      <c r="EL87" s="208"/>
      <c r="EM87" s="209"/>
      <c r="EN87" s="207"/>
      <c r="EO87" s="210"/>
      <c r="EP87" s="209"/>
      <c r="EQ87" s="204"/>
      <c r="ER87" s="204"/>
      <c r="ES87" s="204"/>
      <c r="ET87" s="199"/>
      <c r="EU87" s="167"/>
      <c r="EV87" s="199"/>
      <c r="EW87" s="200"/>
      <c r="EX87" s="201"/>
      <c r="EY87" s="202"/>
      <c r="EZ87" s="202"/>
      <c r="FA87" s="202"/>
      <c r="FB87" s="202"/>
      <c r="FC87" s="203"/>
      <c r="FD87" s="204"/>
      <c r="FE87" s="204"/>
      <c r="FF87" s="204"/>
      <c r="FG87" s="205"/>
      <c r="FH87" s="206"/>
      <c r="FI87" s="207"/>
      <c r="FJ87" s="207"/>
      <c r="FK87" s="208"/>
      <c r="FL87" s="209"/>
      <c r="FM87" s="207"/>
      <c r="FN87" s="210"/>
      <c r="FO87" s="209"/>
      <c r="FP87" s="204"/>
      <c r="FQ87" s="204"/>
      <c r="FR87" s="204"/>
      <c r="FS87" s="199"/>
      <c r="FT87" s="167"/>
      <c r="FU87" s="199"/>
      <c r="FV87" s="200"/>
      <c r="FW87" s="201"/>
      <c r="FX87" s="202"/>
      <c r="FY87" s="202"/>
      <c r="FZ87" s="202"/>
      <c r="GA87" s="202"/>
      <c r="GB87" s="203"/>
      <c r="GC87" s="204"/>
      <c r="GD87" s="204"/>
      <c r="GE87" s="204"/>
      <c r="GF87" s="205"/>
      <c r="GG87" s="206"/>
      <c r="GH87" s="207"/>
      <c r="GI87" s="207"/>
      <c r="GJ87" s="208"/>
      <c r="GK87" s="209"/>
      <c r="GL87" s="207"/>
      <c r="GM87" s="210"/>
      <c r="GN87" s="209"/>
      <c r="GO87" s="204"/>
      <c r="GP87" s="204"/>
      <c r="GQ87" s="204"/>
      <c r="GR87" s="199"/>
      <c r="GS87" s="167"/>
      <c r="GT87" s="199"/>
      <c r="GU87" s="200"/>
      <c r="GV87" s="201"/>
      <c r="GW87" s="202"/>
      <c r="GX87" s="202"/>
      <c r="GY87" s="202"/>
      <c r="GZ87" s="202"/>
      <c r="HA87" s="203"/>
      <c r="HB87" s="204"/>
      <c r="HC87" s="204"/>
      <c r="HD87" s="204"/>
      <c r="HE87" s="205"/>
      <c r="HF87" s="206"/>
      <c r="HG87" s="207"/>
      <c r="HH87" s="207"/>
      <c r="HI87" s="208"/>
      <c r="HJ87" s="209"/>
      <c r="HK87" s="207"/>
      <c r="HL87" s="210"/>
      <c r="HM87" s="209"/>
      <c r="HN87" s="204"/>
      <c r="HO87" s="204"/>
      <c r="HP87" s="204"/>
      <c r="HQ87" s="199"/>
      <c r="HR87" s="167"/>
      <c r="HS87" s="199"/>
      <c r="HT87" s="200"/>
      <c r="HU87" s="201"/>
      <c r="HV87" s="202"/>
      <c r="HW87" s="202"/>
      <c r="HX87" s="202"/>
      <c r="HY87" s="202"/>
      <c r="HZ87" s="203"/>
      <c r="IA87" s="204"/>
      <c r="IB87" s="204"/>
      <c r="IC87" s="204"/>
      <c r="ID87" s="205"/>
      <c r="IE87" s="206"/>
      <c r="IF87" s="207"/>
      <c r="IG87" s="207"/>
      <c r="IH87" s="208"/>
      <c r="II87" s="209"/>
      <c r="IJ87" s="207"/>
      <c r="IK87" s="210"/>
      <c r="IL87" s="209"/>
      <c r="IM87" s="204"/>
      <c r="IN87" s="204"/>
      <c r="IO87" s="204"/>
      <c r="IP87" s="199"/>
      <c r="IQ87" s="167"/>
      <c r="IR87" s="199"/>
      <c r="IS87" s="200"/>
      <c r="IT87" s="201"/>
      <c r="IU87" s="202"/>
      <c r="IV87" s="202"/>
      <c r="IW87" s="202"/>
      <c r="IX87" s="202"/>
      <c r="IY87" s="203"/>
      <c r="IZ87" s="204"/>
      <c r="JA87" s="204"/>
      <c r="JB87" s="204"/>
      <c r="JC87" s="205"/>
      <c r="JD87" s="206"/>
      <c r="JE87" s="207"/>
      <c r="JF87" s="207"/>
      <c r="JG87" s="208"/>
      <c r="JH87" s="209"/>
      <c r="JI87" s="207"/>
      <c r="JJ87" s="210"/>
      <c r="JK87" s="209"/>
      <c r="JL87" s="204"/>
      <c r="JM87" s="204"/>
      <c r="JN87" s="204"/>
      <c r="JO87" s="199"/>
      <c r="JP87" s="167"/>
      <c r="JQ87" s="199"/>
      <c r="JR87" s="200"/>
      <c r="JS87" s="201"/>
      <c r="JT87" s="202"/>
      <c r="JU87" s="202"/>
      <c r="JV87" s="202"/>
      <c r="JW87" s="202"/>
      <c r="JX87" s="203"/>
      <c r="JY87" s="204"/>
      <c r="JZ87" s="204"/>
      <c r="KA87" s="204"/>
      <c r="KB87" s="205"/>
      <c r="KC87" s="206"/>
      <c r="KD87" s="207"/>
      <c r="KE87" s="207"/>
      <c r="KF87" s="208"/>
      <c r="KG87" s="209"/>
      <c r="KH87" s="207"/>
      <c r="KI87" s="210"/>
      <c r="KJ87" s="209"/>
      <c r="KK87" s="204"/>
      <c r="KL87" s="204"/>
      <c r="KM87" s="204"/>
      <c r="KN87" s="199"/>
      <c r="KO87" s="167"/>
      <c r="KP87" s="199"/>
      <c r="KQ87" s="200"/>
      <c r="KR87" s="201"/>
      <c r="KS87" s="202"/>
      <c r="KT87" s="202"/>
      <c r="KU87" s="202"/>
      <c r="KV87" s="202"/>
      <c r="KW87" s="203"/>
      <c r="KX87" s="204"/>
      <c r="KY87" s="204"/>
      <c r="KZ87" s="204"/>
      <c r="LA87" s="205"/>
      <c r="LB87" s="206"/>
      <c r="LC87" s="207"/>
      <c r="LD87" s="207"/>
      <c r="LE87" s="208"/>
      <c r="LF87" s="209"/>
      <c r="LG87" s="207"/>
      <c r="LH87" s="210"/>
      <c r="LI87" s="209"/>
      <c r="LJ87" s="204"/>
      <c r="LK87" s="204"/>
      <c r="LL87" s="204"/>
      <c r="LM87" s="199"/>
      <c r="LN87" s="167"/>
      <c r="LO87" s="199"/>
      <c r="LP87" s="200"/>
      <c r="LQ87" s="201"/>
      <c r="LR87" s="202"/>
      <c r="LS87" s="202"/>
      <c r="LT87" s="202"/>
      <c r="LU87" s="202"/>
      <c r="LV87" s="203"/>
      <c r="LW87" s="204"/>
      <c r="LX87" s="204"/>
      <c r="LY87" s="204"/>
      <c r="LZ87" s="205"/>
      <c r="MA87" s="206"/>
      <c r="MB87" s="207"/>
      <c r="MC87" s="207"/>
      <c r="MD87" s="208"/>
      <c r="ME87" s="209"/>
      <c r="MF87" s="207"/>
      <c r="MG87" s="210"/>
      <c r="MH87" s="209"/>
      <c r="MI87" s="204"/>
      <c r="MJ87" s="204"/>
      <c r="MK87" s="204"/>
      <c r="ML87" s="199"/>
      <c r="MM87" s="167"/>
      <c r="MN87" s="199"/>
      <c r="MO87" s="200"/>
      <c r="MP87" s="201"/>
      <c r="MQ87" s="202"/>
      <c r="MR87" s="202"/>
      <c r="MS87" s="202"/>
      <c r="MT87" s="202"/>
      <c r="MU87" s="203"/>
      <c r="MV87" s="204"/>
      <c r="MW87" s="204"/>
      <c r="MX87" s="204"/>
      <c r="MY87" s="205"/>
      <c r="MZ87" s="206"/>
      <c r="NA87" s="207"/>
      <c r="NB87" s="207"/>
      <c r="NC87" s="208"/>
      <c r="ND87" s="209"/>
      <c r="NE87" s="207"/>
      <c r="NF87" s="210"/>
      <c r="NG87" s="209"/>
      <c r="NH87" s="204"/>
      <c r="NI87" s="204"/>
      <c r="NJ87" s="204"/>
      <c r="NK87" s="199"/>
      <c r="NL87" s="167"/>
      <c r="NM87" s="199"/>
      <c r="NN87" s="200"/>
      <c r="NO87" s="201"/>
      <c r="NP87" s="202"/>
      <c r="NQ87" s="202"/>
      <c r="NR87" s="202"/>
      <c r="NS87" s="202"/>
      <c r="NT87" s="203"/>
      <c r="NU87" s="204"/>
      <c r="NV87" s="204"/>
      <c r="NW87" s="204"/>
      <c r="NX87" s="205"/>
      <c r="NY87" s="206"/>
      <c r="NZ87" s="207"/>
      <c r="OA87" s="207"/>
      <c r="OB87" s="208"/>
      <c r="OC87" s="209"/>
      <c r="OD87" s="207"/>
      <c r="OE87" s="210"/>
      <c r="OF87" s="209"/>
      <c r="OG87" s="204"/>
      <c r="OH87" s="204"/>
      <c r="OI87" s="204"/>
      <c r="OJ87" s="199"/>
      <c r="OK87" s="167"/>
      <c r="OL87" s="199"/>
      <c r="OM87" s="200"/>
      <c r="ON87" s="201"/>
      <c r="OO87" s="202"/>
      <c r="OP87" s="202"/>
      <c r="OQ87" s="202"/>
      <c r="OR87" s="202"/>
      <c r="OS87" s="203"/>
      <c r="OT87" s="204"/>
      <c r="OU87" s="204"/>
      <c r="OV87" s="204"/>
      <c r="OW87" s="205"/>
      <c r="OX87" s="206"/>
      <c r="OY87" s="207"/>
      <c r="OZ87" s="207"/>
      <c r="PA87" s="208"/>
      <c r="PB87" s="209"/>
      <c r="PC87" s="207"/>
      <c r="PD87" s="210"/>
      <c r="PE87" s="209"/>
      <c r="PF87" s="204"/>
      <c r="PG87" s="204"/>
      <c r="PH87" s="204"/>
      <c r="PI87" s="199"/>
      <c r="PJ87" s="167"/>
      <c r="PK87" s="199"/>
      <c r="PL87" s="200"/>
      <c r="PM87" s="201"/>
      <c r="PN87" s="202"/>
      <c r="PO87" s="202"/>
      <c r="PP87" s="202"/>
      <c r="PQ87" s="202"/>
      <c r="PR87" s="203"/>
      <c r="PS87" s="204"/>
      <c r="PT87" s="204"/>
      <c r="PU87" s="204"/>
      <c r="PV87" s="205"/>
      <c r="PW87" s="206"/>
      <c r="PX87" s="207"/>
      <c r="PY87" s="207"/>
      <c r="PZ87" s="208"/>
      <c r="QA87" s="209"/>
      <c r="QB87" s="207"/>
      <c r="QC87" s="210"/>
      <c r="QD87" s="209"/>
      <c r="QE87" s="204"/>
      <c r="QF87" s="204"/>
      <c r="QG87" s="204"/>
      <c r="QH87" s="199"/>
      <c r="QI87" s="167"/>
      <c r="QJ87" s="199"/>
      <c r="QK87" s="200"/>
      <c r="QL87" s="201"/>
      <c r="QM87" s="202"/>
      <c r="QN87" s="202"/>
      <c r="QO87" s="202"/>
      <c r="QP87" s="202"/>
      <c r="QQ87" s="203"/>
      <c r="QR87" s="204"/>
      <c r="QS87" s="204"/>
      <c r="QT87" s="204"/>
      <c r="QU87" s="205"/>
      <c r="QV87" s="206"/>
      <c r="QW87" s="207"/>
      <c r="QX87" s="207"/>
      <c r="QY87" s="208"/>
      <c r="QZ87" s="209"/>
      <c r="RA87" s="207"/>
      <c r="RB87" s="210"/>
      <c r="RC87" s="209"/>
      <c r="RD87" s="204"/>
      <c r="RE87" s="204"/>
      <c r="RF87" s="204"/>
      <c r="RG87" s="199"/>
      <c r="RH87" s="167"/>
      <c r="RI87" s="199"/>
      <c r="RJ87" s="200"/>
      <c r="RK87" s="201"/>
      <c r="RL87" s="202"/>
      <c r="RM87" s="202"/>
      <c r="RN87" s="202"/>
      <c r="RO87" s="202"/>
      <c r="RP87" s="203"/>
      <c r="RQ87" s="204"/>
      <c r="RR87" s="204"/>
      <c r="RS87" s="204"/>
      <c r="RT87" s="205"/>
      <c r="RU87" s="206"/>
      <c r="RV87" s="207"/>
      <c r="RW87" s="207"/>
      <c r="RX87" s="208"/>
      <c r="RY87" s="209"/>
      <c r="RZ87" s="207"/>
      <c r="SA87" s="210"/>
      <c r="SB87" s="209"/>
      <c r="SC87" s="204"/>
      <c r="SD87" s="204"/>
      <c r="SE87" s="204"/>
      <c r="SF87" s="199"/>
      <c r="SG87" s="167"/>
      <c r="SH87" s="199"/>
      <c r="SI87" s="200"/>
      <c r="SJ87" s="201"/>
      <c r="SK87" s="202"/>
      <c r="SL87" s="202"/>
      <c r="SM87" s="202"/>
      <c r="SN87" s="202"/>
      <c r="SO87" s="203"/>
      <c r="SP87" s="204"/>
      <c r="SQ87" s="204"/>
      <c r="SR87" s="204"/>
      <c r="SS87" s="205"/>
      <c r="ST87" s="206"/>
      <c r="SU87" s="207"/>
      <c r="SV87" s="207"/>
      <c r="SW87" s="208"/>
      <c r="SX87" s="209"/>
      <c r="SY87" s="207"/>
      <c r="SZ87" s="210"/>
      <c r="TA87" s="209"/>
      <c r="TB87" s="204"/>
      <c r="TC87" s="204"/>
      <c r="TD87" s="204"/>
      <c r="TE87" s="199"/>
      <c r="TF87" s="167"/>
      <c r="TG87" s="199"/>
      <c r="TH87" s="200"/>
      <c r="TI87" s="201"/>
      <c r="TJ87" s="202"/>
      <c r="TK87" s="202"/>
      <c r="TL87" s="202"/>
      <c r="TM87" s="202"/>
      <c r="TN87" s="203"/>
      <c r="TO87" s="204"/>
      <c r="TP87" s="204"/>
      <c r="TQ87" s="204"/>
      <c r="TR87" s="205"/>
      <c r="TS87" s="206"/>
      <c r="TT87" s="207"/>
      <c r="TU87" s="207"/>
      <c r="TV87" s="208"/>
      <c r="TW87" s="209"/>
      <c r="TX87" s="207"/>
      <c r="TY87" s="210"/>
      <c r="TZ87" s="209"/>
      <c r="UA87" s="204"/>
      <c r="UB87" s="204"/>
      <c r="UC87" s="204"/>
      <c r="UD87" s="199"/>
      <c r="UE87" s="167"/>
      <c r="UF87" s="199"/>
      <c r="UG87" s="200"/>
      <c r="UH87" s="201"/>
      <c r="UI87" s="202"/>
      <c r="UJ87" s="202"/>
      <c r="UK87" s="202"/>
      <c r="UL87" s="202"/>
      <c r="UM87" s="203"/>
      <c r="UN87" s="204"/>
      <c r="UO87" s="204"/>
      <c r="UP87" s="204"/>
      <c r="UQ87" s="205"/>
      <c r="UR87" s="206"/>
      <c r="US87" s="207"/>
      <c r="UT87" s="207"/>
      <c r="UU87" s="208"/>
      <c r="UV87" s="209"/>
      <c r="UW87" s="207"/>
      <c r="UX87" s="210"/>
      <c r="UY87" s="209"/>
      <c r="UZ87" s="204"/>
      <c r="VA87" s="204"/>
      <c r="VB87" s="204"/>
      <c r="VC87" s="199"/>
      <c r="VD87" s="167"/>
      <c r="VE87" s="199"/>
      <c r="VF87" s="200"/>
      <c r="VG87" s="201"/>
      <c r="VH87" s="202"/>
      <c r="VI87" s="202"/>
      <c r="VJ87" s="202"/>
      <c r="VK87" s="202"/>
      <c r="VL87" s="203"/>
      <c r="VM87" s="204"/>
      <c r="VN87" s="204"/>
      <c r="VO87" s="204"/>
      <c r="VP87" s="205"/>
      <c r="VQ87" s="206"/>
      <c r="VR87" s="207"/>
      <c r="VS87" s="207"/>
      <c r="VT87" s="208"/>
      <c r="VU87" s="209"/>
      <c r="VV87" s="207"/>
      <c r="VW87" s="210"/>
      <c r="VX87" s="209"/>
      <c r="VY87" s="204"/>
      <c r="VZ87" s="204"/>
      <c r="WA87" s="204"/>
      <c r="WB87" s="199"/>
      <c r="WC87" s="167"/>
      <c r="WD87" s="199"/>
      <c r="WE87" s="200"/>
      <c r="WF87" s="201"/>
      <c r="WG87" s="202"/>
      <c r="WH87" s="202"/>
      <c r="WI87" s="202"/>
      <c r="WJ87" s="202"/>
      <c r="WK87" s="203"/>
      <c r="WL87" s="204"/>
      <c r="WM87" s="204"/>
      <c r="WN87" s="204"/>
      <c r="WO87" s="205"/>
      <c r="WP87" s="206"/>
      <c r="WQ87" s="207"/>
      <c r="WR87" s="207"/>
      <c r="WS87" s="208"/>
      <c r="WT87" s="209"/>
      <c r="WU87" s="207"/>
      <c r="WV87" s="210"/>
      <c r="WW87" s="209"/>
      <c r="WX87" s="204"/>
      <c r="WY87" s="204"/>
      <c r="WZ87" s="204"/>
      <c r="XA87" s="199"/>
      <c r="XB87" s="167"/>
      <c r="XC87" s="199"/>
      <c r="XD87" s="200"/>
      <c r="XE87" s="201"/>
      <c r="XF87" s="202"/>
      <c r="XG87" s="202"/>
      <c r="XH87" s="202"/>
      <c r="XI87" s="202"/>
      <c r="XJ87" s="203"/>
      <c r="XK87" s="204"/>
      <c r="XL87" s="204"/>
      <c r="XM87" s="204"/>
      <c r="XN87" s="205"/>
      <c r="XO87" s="206"/>
      <c r="XP87" s="207"/>
      <c r="XQ87" s="207"/>
      <c r="XR87" s="208"/>
      <c r="XS87" s="209"/>
      <c r="XT87" s="207"/>
      <c r="XU87" s="210"/>
      <c r="XV87" s="209"/>
      <c r="XW87" s="204"/>
      <c r="XX87" s="204"/>
      <c r="XY87" s="204"/>
      <c r="XZ87" s="199"/>
      <c r="YA87" s="167"/>
      <c r="YB87" s="199"/>
      <c r="YC87" s="200"/>
      <c r="YD87" s="201"/>
      <c r="YE87" s="202"/>
      <c r="YF87" s="202"/>
      <c r="YG87" s="202"/>
      <c r="YH87" s="202"/>
      <c r="YI87" s="203"/>
      <c r="YJ87" s="204"/>
      <c r="YK87" s="204"/>
      <c r="YL87" s="204"/>
      <c r="YM87" s="205"/>
      <c r="YN87" s="206"/>
      <c r="YO87" s="207"/>
      <c r="YP87" s="207"/>
      <c r="YQ87" s="208"/>
      <c r="YR87" s="209"/>
      <c r="YS87" s="207"/>
      <c r="YT87" s="210"/>
      <c r="YU87" s="209"/>
      <c r="YV87" s="204"/>
      <c r="YW87" s="204"/>
      <c r="YX87" s="204"/>
      <c r="YY87" s="199"/>
      <c r="YZ87" s="167"/>
      <c r="ZA87" s="199"/>
      <c r="ZB87" s="200"/>
      <c r="ZC87" s="201"/>
      <c r="ZD87" s="202"/>
      <c r="ZE87" s="202"/>
      <c r="ZF87" s="202"/>
      <c r="ZG87" s="202"/>
      <c r="ZH87" s="203"/>
      <c r="ZI87" s="204"/>
      <c r="ZJ87" s="204"/>
      <c r="ZK87" s="204"/>
      <c r="ZL87" s="205"/>
      <c r="ZM87" s="206"/>
      <c r="ZN87" s="207"/>
      <c r="ZO87" s="207"/>
      <c r="ZP87" s="208"/>
      <c r="ZQ87" s="209"/>
      <c r="ZR87" s="207"/>
      <c r="ZS87" s="210"/>
      <c r="ZT87" s="209"/>
      <c r="ZU87" s="204"/>
      <c r="ZV87" s="204"/>
      <c r="ZW87" s="204"/>
      <c r="ZX87" s="199"/>
      <c r="ZY87" s="167"/>
      <c r="ZZ87" s="199"/>
      <c r="AAA87" s="200"/>
      <c r="AAB87" s="201"/>
      <c r="AAC87" s="202"/>
      <c r="AAD87" s="202"/>
      <c r="AAE87" s="202"/>
      <c r="AAF87" s="202"/>
      <c r="AAG87" s="203"/>
      <c r="AAH87" s="204"/>
      <c r="AAI87" s="204"/>
      <c r="AAJ87" s="204"/>
      <c r="AAK87" s="205"/>
      <c r="AAL87" s="206"/>
      <c r="AAM87" s="207"/>
      <c r="AAN87" s="207"/>
      <c r="AAO87" s="208"/>
      <c r="AAP87" s="209"/>
      <c r="AAQ87" s="207"/>
      <c r="AAR87" s="210"/>
      <c r="AAS87" s="209"/>
      <c r="AAT87" s="204"/>
      <c r="AAU87" s="204"/>
      <c r="AAV87" s="204"/>
      <c r="AAW87" s="199"/>
      <c r="AAX87" s="167"/>
      <c r="AAY87" s="199"/>
      <c r="AAZ87" s="200"/>
      <c r="ABA87" s="201"/>
      <c r="ABB87" s="202"/>
      <c r="ABC87" s="202"/>
      <c r="ABD87" s="202"/>
      <c r="ABE87" s="202"/>
      <c r="ABF87" s="203"/>
      <c r="ABG87" s="204"/>
      <c r="ABH87" s="204"/>
      <c r="ABI87" s="204"/>
      <c r="ABJ87" s="205"/>
      <c r="ABK87" s="206"/>
      <c r="ABL87" s="207"/>
      <c r="ABM87" s="207"/>
      <c r="ABN87" s="208"/>
      <c r="ABO87" s="209"/>
      <c r="ABP87" s="207"/>
      <c r="ABQ87" s="210"/>
      <c r="ABR87" s="209"/>
      <c r="ABS87" s="204"/>
      <c r="ABT87" s="204"/>
      <c r="ABU87" s="204"/>
      <c r="ABV87" s="199"/>
      <c r="ABW87" s="167"/>
      <c r="ABX87" s="199"/>
      <c r="ABY87" s="200"/>
      <c r="ABZ87" s="201"/>
      <c r="ACA87" s="202"/>
      <c r="ACB87" s="202"/>
      <c r="ACC87" s="202"/>
      <c r="ACD87" s="202"/>
      <c r="ACE87" s="203"/>
      <c r="ACF87" s="204"/>
      <c r="ACG87" s="204"/>
      <c r="ACH87" s="204"/>
      <c r="ACI87" s="205"/>
      <c r="ACJ87" s="206"/>
      <c r="ACK87" s="207"/>
      <c r="ACL87" s="207"/>
      <c r="ACM87" s="208"/>
      <c r="ACN87" s="209"/>
      <c r="ACO87" s="207"/>
      <c r="ACP87" s="210"/>
      <c r="ACQ87" s="209"/>
      <c r="ACR87" s="204"/>
      <c r="ACS87" s="204"/>
      <c r="ACT87" s="204"/>
      <c r="ACU87" s="199"/>
      <c r="ACV87" s="167"/>
      <c r="ACW87" s="199"/>
      <c r="ACX87" s="200"/>
      <c r="ACY87" s="201"/>
      <c r="ACZ87" s="202"/>
      <c r="ADA87" s="202"/>
      <c r="ADB87" s="202"/>
      <c r="ADC87" s="202"/>
      <c r="ADD87" s="203"/>
      <c r="ADE87" s="204"/>
      <c r="ADF87" s="204"/>
      <c r="ADG87" s="204"/>
      <c r="ADH87" s="205"/>
      <c r="ADI87" s="206"/>
      <c r="ADJ87" s="207"/>
      <c r="ADK87" s="207"/>
      <c r="ADL87" s="208"/>
      <c r="ADM87" s="209"/>
      <c r="ADN87" s="207"/>
      <c r="ADO87" s="210"/>
      <c r="ADP87" s="209"/>
      <c r="ADQ87" s="204"/>
      <c r="ADR87" s="204"/>
      <c r="ADS87" s="204"/>
      <c r="ADT87" s="199"/>
      <c r="ADU87" s="167"/>
      <c r="ADV87" s="199"/>
      <c r="ADW87" s="200"/>
      <c r="ADX87" s="201"/>
      <c r="ADY87" s="202"/>
      <c r="ADZ87" s="202"/>
      <c r="AEA87" s="202"/>
      <c r="AEB87" s="202"/>
      <c r="AEC87" s="203"/>
      <c r="AED87" s="204"/>
      <c r="AEE87" s="204"/>
      <c r="AEF87" s="204"/>
      <c r="AEG87" s="205"/>
      <c r="AEH87" s="206"/>
      <c r="AEI87" s="207"/>
      <c r="AEJ87" s="207"/>
      <c r="AEK87" s="208"/>
      <c r="AEL87" s="209"/>
      <c r="AEM87" s="207"/>
      <c r="AEN87" s="210"/>
      <c r="AEO87" s="209"/>
      <c r="AEP87" s="204"/>
      <c r="AEQ87" s="204"/>
      <c r="AER87" s="204"/>
      <c r="AES87" s="199"/>
      <c r="AET87" s="167"/>
      <c r="AEU87" s="199"/>
      <c r="AEV87" s="200"/>
      <c r="AEW87" s="201"/>
      <c r="AEX87" s="202"/>
      <c r="AEY87" s="202"/>
      <c r="AEZ87" s="202"/>
      <c r="AFA87" s="202"/>
      <c r="AFB87" s="203"/>
      <c r="AFC87" s="204"/>
      <c r="AFD87" s="204"/>
      <c r="AFE87" s="204"/>
      <c r="AFF87" s="205"/>
      <c r="AFG87" s="206"/>
      <c r="AFH87" s="207"/>
      <c r="AFI87" s="207"/>
      <c r="AFJ87" s="208"/>
      <c r="AFK87" s="209"/>
      <c r="AFL87" s="207"/>
      <c r="AFM87" s="210"/>
      <c r="AFN87" s="209"/>
      <c r="AFO87" s="204"/>
      <c r="AFP87" s="204"/>
      <c r="AFQ87" s="204"/>
      <c r="AFR87" s="199"/>
      <c r="AFS87" s="167"/>
      <c r="AFT87" s="199"/>
      <c r="AFU87" s="200"/>
      <c r="AFV87" s="201"/>
      <c r="AFW87" s="202"/>
      <c r="AFX87" s="202"/>
      <c r="AFY87" s="202"/>
      <c r="AFZ87" s="202"/>
      <c r="AGA87" s="203"/>
      <c r="AGB87" s="204"/>
      <c r="AGC87" s="204"/>
      <c r="AGD87" s="204"/>
      <c r="AGE87" s="205"/>
      <c r="AGF87" s="206"/>
      <c r="AGG87" s="207"/>
      <c r="AGH87" s="207"/>
      <c r="AGI87" s="208"/>
      <c r="AGJ87" s="209"/>
      <c r="AGK87" s="207"/>
      <c r="AGL87" s="210"/>
      <c r="AGM87" s="209"/>
      <c r="AGN87" s="204"/>
      <c r="AGO87" s="204"/>
      <c r="AGP87" s="204"/>
      <c r="AGQ87" s="199"/>
      <c r="AGR87" s="167"/>
      <c r="AGS87" s="199"/>
      <c r="AGT87" s="200"/>
      <c r="AGU87" s="201"/>
      <c r="AGV87" s="202"/>
      <c r="AGW87" s="202"/>
      <c r="AGX87" s="202"/>
      <c r="AGY87" s="202"/>
      <c r="AGZ87" s="203"/>
      <c r="AHA87" s="204"/>
      <c r="AHB87" s="204"/>
      <c r="AHC87" s="204"/>
      <c r="AHD87" s="205"/>
      <c r="AHE87" s="206"/>
      <c r="AHF87" s="207"/>
      <c r="AHG87" s="207"/>
      <c r="AHH87" s="208"/>
      <c r="AHI87" s="209"/>
      <c r="AHJ87" s="207"/>
      <c r="AHK87" s="210"/>
      <c r="AHL87" s="209"/>
      <c r="AHM87" s="204"/>
      <c r="AHN87" s="204"/>
      <c r="AHO87" s="204"/>
      <c r="AHP87" s="199"/>
      <c r="AHQ87" s="167"/>
      <c r="AHR87" s="199"/>
      <c r="AHS87" s="200"/>
      <c r="AHT87" s="201"/>
      <c r="AHU87" s="202"/>
      <c r="AHV87" s="202"/>
      <c r="AHW87" s="202"/>
      <c r="AHX87" s="202"/>
      <c r="AHY87" s="203"/>
      <c r="AHZ87" s="204"/>
      <c r="AIA87" s="204"/>
      <c r="AIB87" s="204"/>
      <c r="AIC87" s="205"/>
      <c r="AID87" s="206"/>
      <c r="AIE87" s="207"/>
      <c r="AIF87" s="207"/>
      <c r="AIG87" s="208"/>
      <c r="AIH87" s="209"/>
      <c r="AII87" s="207"/>
      <c r="AIJ87" s="210"/>
      <c r="AIK87" s="209"/>
      <c r="AIL87" s="204"/>
      <c r="AIM87" s="204"/>
      <c r="AIN87" s="204"/>
      <c r="AIO87" s="199"/>
      <c r="AIP87" s="167"/>
      <c r="AIQ87" s="199"/>
      <c r="AIR87" s="200"/>
      <c r="AIS87" s="201"/>
      <c r="AIT87" s="202"/>
      <c r="AIU87" s="202"/>
      <c r="AIV87" s="202"/>
      <c r="AIW87" s="202"/>
      <c r="AIX87" s="203"/>
      <c r="AIY87" s="204"/>
      <c r="AIZ87" s="204"/>
      <c r="AJA87" s="204"/>
      <c r="AJB87" s="205"/>
      <c r="AJC87" s="206"/>
      <c r="AJD87" s="207"/>
      <c r="AJE87" s="207"/>
      <c r="AJF87" s="208"/>
      <c r="AJG87" s="209"/>
      <c r="AJH87" s="207"/>
      <c r="AJI87" s="210"/>
      <c r="AJJ87" s="209"/>
      <c r="AJK87" s="204"/>
      <c r="AJL87" s="204"/>
      <c r="AJM87" s="204"/>
      <c r="AJN87" s="199"/>
      <c r="AJO87" s="167"/>
      <c r="AJP87" s="199"/>
      <c r="AJQ87" s="200"/>
      <c r="AJR87" s="201"/>
      <c r="AJS87" s="202"/>
      <c r="AJT87" s="202"/>
      <c r="AJU87" s="202"/>
      <c r="AJV87" s="202"/>
      <c r="AJW87" s="203"/>
      <c r="AJX87" s="204"/>
      <c r="AJY87" s="204"/>
      <c r="AJZ87" s="204"/>
      <c r="AKA87" s="205"/>
      <c r="AKB87" s="206"/>
      <c r="AKC87" s="207"/>
      <c r="AKD87" s="207"/>
      <c r="AKE87" s="208"/>
      <c r="AKF87" s="209"/>
      <c r="AKG87" s="207"/>
      <c r="AKH87" s="210"/>
      <c r="AKI87" s="209"/>
      <c r="AKJ87" s="204"/>
      <c r="AKK87" s="204"/>
      <c r="AKL87" s="204"/>
      <c r="AKM87" s="199"/>
      <c r="AKN87" s="167"/>
      <c r="AKO87" s="199"/>
      <c r="AKP87" s="200"/>
      <c r="AKQ87" s="201"/>
      <c r="AKR87" s="202"/>
      <c r="AKS87" s="202"/>
      <c r="AKT87" s="202"/>
      <c r="AKU87" s="202"/>
      <c r="AKV87" s="203"/>
      <c r="AKW87" s="204"/>
      <c r="AKX87" s="204"/>
      <c r="AKY87" s="204"/>
      <c r="AKZ87" s="205"/>
      <c r="ALA87" s="206"/>
      <c r="ALB87" s="207"/>
      <c r="ALC87" s="207"/>
      <c r="ALD87" s="208"/>
      <c r="ALE87" s="209"/>
      <c r="ALF87" s="207"/>
      <c r="ALG87" s="210"/>
      <c r="ALH87" s="209"/>
      <c r="ALI87" s="204"/>
      <c r="ALJ87" s="204"/>
      <c r="ALK87" s="204"/>
      <c r="ALL87" s="199"/>
      <c r="ALM87" s="167"/>
      <c r="ALN87" s="199"/>
      <c r="ALO87" s="200"/>
      <c r="ALP87" s="201"/>
      <c r="ALQ87" s="202"/>
      <c r="ALR87" s="202"/>
      <c r="ALS87" s="202"/>
      <c r="ALT87" s="202"/>
      <c r="ALU87" s="203"/>
      <c r="ALV87" s="204"/>
      <c r="ALW87" s="204"/>
      <c r="ALX87" s="204"/>
      <c r="ALY87" s="205"/>
      <c r="ALZ87" s="206"/>
      <c r="AMA87" s="207"/>
      <c r="AMB87" s="207"/>
      <c r="AMC87" s="208"/>
      <c r="AMD87" s="209"/>
      <c r="AME87" s="207"/>
      <c r="AMF87" s="210"/>
      <c r="AMG87" s="209"/>
      <c r="AMH87" s="204"/>
      <c r="AMI87" s="204"/>
      <c r="AMJ87" s="204"/>
      <c r="AMK87" s="199"/>
      <c r="AML87" s="167"/>
      <c r="AMM87" s="199"/>
      <c r="AMN87" s="200"/>
      <c r="AMO87" s="201"/>
      <c r="AMP87" s="202"/>
      <c r="AMQ87" s="202"/>
      <c r="AMR87" s="202"/>
      <c r="AMS87" s="202"/>
      <c r="AMT87" s="203"/>
      <c r="AMU87" s="204"/>
      <c r="AMV87" s="204"/>
      <c r="AMW87" s="204"/>
      <c r="AMX87" s="205"/>
      <c r="AMY87" s="206"/>
      <c r="AMZ87" s="207"/>
      <c r="ANA87" s="207"/>
      <c r="ANB87" s="208"/>
      <c r="ANC87" s="209"/>
      <c r="AND87" s="207"/>
      <c r="ANE87" s="210"/>
      <c r="ANF87" s="209"/>
      <c r="ANG87" s="204"/>
      <c r="ANH87" s="204"/>
      <c r="ANI87" s="204"/>
      <c r="ANJ87" s="199"/>
      <c r="ANK87" s="167"/>
      <c r="ANL87" s="199"/>
      <c r="ANM87" s="200"/>
      <c r="ANN87" s="201"/>
      <c r="ANO87" s="202"/>
      <c r="ANP87" s="202"/>
      <c r="ANQ87" s="202"/>
      <c r="ANR87" s="202"/>
      <c r="ANS87" s="203"/>
      <c r="ANT87" s="204"/>
      <c r="ANU87" s="204"/>
      <c r="ANV87" s="204"/>
      <c r="ANW87" s="205"/>
      <c r="ANX87" s="206"/>
      <c r="ANY87" s="207"/>
      <c r="ANZ87" s="207"/>
      <c r="AOA87" s="208"/>
      <c r="AOB87" s="209"/>
      <c r="AOC87" s="207"/>
      <c r="AOD87" s="210"/>
      <c r="AOE87" s="209"/>
      <c r="AOF87" s="204"/>
      <c r="AOG87" s="204"/>
      <c r="AOH87" s="204"/>
      <c r="AOI87" s="199"/>
      <c r="AOJ87" s="167"/>
      <c r="AOK87" s="199"/>
      <c r="AOL87" s="200"/>
      <c r="AOM87" s="201"/>
      <c r="AON87" s="202"/>
      <c r="AOO87" s="202"/>
      <c r="AOP87" s="202"/>
      <c r="AOQ87" s="202"/>
      <c r="AOR87" s="203"/>
      <c r="AOS87" s="204"/>
      <c r="AOT87" s="204"/>
      <c r="AOU87" s="204"/>
      <c r="AOV87" s="205"/>
      <c r="AOW87" s="206"/>
      <c r="AOX87" s="207"/>
      <c r="AOY87" s="207"/>
      <c r="AOZ87" s="208"/>
      <c r="APA87" s="209"/>
      <c r="APB87" s="207"/>
      <c r="APC87" s="210"/>
      <c r="APD87" s="209"/>
      <c r="APE87" s="204"/>
      <c r="APF87" s="204"/>
      <c r="APG87" s="204"/>
      <c r="APH87" s="199"/>
      <c r="API87" s="167"/>
      <c r="APJ87" s="199"/>
      <c r="APK87" s="200"/>
      <c r="APL87" s="201"/>
      <c r="APM87" s="202"/>
      <c r="APN87" s="202"/>
      <c r="APO87" s="202"/>
      <c r="APP87" s="202"/>
      <c r="APQ87" s="203"/>
      <c r="APR87" s="204"/>
      <c r="APS87" s="204"/>
      <c r="APT87" s="204"/>
      <c r="APU87" s="205"/>
      <c r="APV87" s="206"/>
      <c r="APW87" s="207"/>
      <c r="APX87" s="207"/>
      <c r="APY87" s="208"/>
      <c r="APZ87" s="209"/>
      <c r="AQA87" s="207"/>
      <c r="AQB87" s="210"/>
      <c r="AQC87" s="209"/>
      <c r="AQD87" s="204"/>
      <c r="AQE87" s="204"/>
      <c r="AQF87" s="204"/>
      <c r="AQG87" s="199"/>
      <c r="AQH87" s="167"/>
      <c r="AQI87" s="199"/>
      <c r="AQJ87" s="200"/>
      <c r="AQK87" s="201"/>
      <c r="AQL87" s="202"/>
      <c r="AQM87" s="202"/>
      <c r="AQN87" s="202"/>
      <c r="AQO87" s="202"/>
      <c r="AQP87" s="203"/>
      <c r="AQQ87" s="204"/>
      <c r="AQR87" s="204"/>
      <c r="AQS87" s="204"/>
      <c r="AQT87" s="205"/>
      <c r="AQU87" s="206"/>
      <c r="AQV87" s="207"/>
      <c r="AQW87" s="207"/>
      <c r="AQX87" s="208"/>
      <c r="AQY87" s="209"/>
      <c r="AQZ87" s="207"/>
      <c r="ARA87" s="210"/>
      <c r="ARB87" s="209"/>
      <c r="ARC87" s="204"/>
      <c r="ARD87" s="204"/>
      <c r="ARE87" s="204"/>
      <c r="ARF87" s="199"/>
      <c r="ARG87" s="167"/>
      <c r="ARH87" s="199"/>
      <c r="ARI87" s="200"/>
      <c r="ARJ87" s="201"/>
      <c r="ARK87" s="202"/>
      <c r="ARL87" s="202"/>
      <c r="ARM87" s="202"/>
      <c r="ARN87" s="202"/>
      <c r="ARO87" s="203"/>
      <c r="ARP87" s="204"/>
      <c r="ARQ87" s="204"/>
      <c r="ARR87" s="204"/>
      <c r="ARS87" s="205"/>
      <c r="ART87" s="206"/>
      <c r="ARU87" s="207"/>
      <c r="ARV87" s="207"/>
      <c r="ARW87" s="208"/>
      <c r="ARX87" s="209"/>
      <c r="ARY87" s="207"/>
      <c r="ARZ87" s="210"/>
      <c r="ASA87" s="209"/>
      <c r="ASB87" s="204"/>
      <c r="ASC87" s="204"/>
      <c r="ASD87" s="204"/>
      <c r="ASE87" s="199"/>
      <c r="ASF87" s="167"/>
      <c r="ASG87" s="199"/>
      <c r="ASH87" s="200"/>
      <c r="ASI87" s="201"/>
      <c r="ASJ87" s="202"/>
      <c r="ASK87" s="202"/>
      <c r="ASL87" s="202"/>
      <c r="ASM87" s="202"/>
      <c r="ASN87" s="203"/>
      <c r="ASO87" s="204"/>
      <c r="ASP87" s="204"/>
      <c r="ASQ87" s="204"/>
      <c r="ASR87" s="205"/>
      <c r="ASS87" s="206"/>
      <c r="AST87" s="207"/>
      <c r="ASU87" s="207"/>
      <c r="ASV87" s="208"/>
      <c r="ASW87" s="209"/>
      <c r="ASX87" s="207"/>
      <c r="ASY87" s="210"/>
      <c r="ASZ87" s="209"/>
      <c r="ATA87" s="204"/>
      <c r="ATB87" s="204"/>
      <c r="ATC87" s="204"/>
      <c r="ATD87" s="199"/>
      <c r="ATE87" s="167"/>
      <c r="ATF87" s="199"/>
      <c r="ATG87" s="200"/>
      <c r="ATH87" s="201"/>
      <c r="ATI87" s="202"/>
      <c r="ATJ87" s="202"/>
      <c r="ATK87" s="202"/>
      <c r="ATL87" s="202"/>
      <c r="ATM87" s="203"/>
      <c r="ATN87" s="204"/>
      <c r="ATO87" s="204"/>
      <c r="ATP87" s="204"/>
      <c r="ATQ87" s="205"/>
      <c r="ATR87" s="206"/>
      <c r="ATS87" s="207"/>
      <c r="ATT87" s="207"/>
      <c r="ATU87" s="208"/>
      <c r="ATV87" s="209"/>
      <c r="ATW87" s="207"/>
      <c r="ATX87" s="210"/>
      <c r="ATY87" s="209"/>
      <c r="ATZ87" s="204"/>
      <c r="AUA87" s="204"/>
      <c r="AUB87" s="204"/>
      <c r="AUC87" s="199"/>
      <c r="AUD87" s="167"/>
      <c r="AUE87" s="199"/>
      <c r="AUF87" s="200"/>
      <c r="AUG87" s="201"/>
      <c r="AUH87" s="202"/>
      <c r="AUI87" s="202"/>
      <c r="AUJ87" s="202"/>
      <c r="AUK87" s="202"/>
      <c r="AUL87" s="203"/>
      <c r="AUM87" s="204"/>
      <c r="AUN87" s="204"/>
      <c r="AUO87" s="204"/>
      <c r="AUP87" s="205"/>
      <c r="AUQ87" s="206"/>
      <c r="AUR87" s="207"/>
      <c r="AUS87" s="207"/>
      <c r="AUT87" s="208"/>
      <c r="AUU87" s="209"/>
      <c r="AUV87" s="207"/>
      <c r="AUW87" s="210"/>
      <c r="AUX87" s="209"/>
      <c r="AUY87" s="204"/>
      <c r="AUZ87" s="204"/>
      <c r="AVA87" s="204"/>
      <c r="AVB87" s="199"/>
      <c r="AVC87" s="167"/>
      <c r="AVD87" s="199"/>
      <c r="AVE87" s="200"/>
      <c r="AVF87" s="201"/>
      <c r="AVG87" s="202"/>
      <c r="AVH87" s="202"/>
      <c r="AVI87" s="202"/>
      <c r="AVJ87" s="202"/>
      <c r="AVK87" s="203"/>
      <c r="AVL87" s="204"/>
      <c r="AVM87" s="204"/>
      <c r="AVN87" s="204"/>
      <c r="AVO87" s="205"/>
      <c r="AVP87" s="206"/>
      <c r="AVQ87" s="207"/>
      <c r="AVR87" s="207"/>
      <c r="AVS87" s="208"/>
      <c r="AVT87" s="209"/>
      <c r="AVU87" s="207"/>
      <c r="AVV87" s="210"/>
      <c r="AVW87" s="209"/>
      <c r="AVX87" s="204"/>
      <c r="AVY87" s="204"/>
      <c r="AVZ87" s="204"/>
      <c r="AWA87" s="199"/>
      <c r="AWB87" s="167"/>
      <c r="AWC87" s="199"/>
      <c r="AWD87" s="200"/>
      <c r="AWE87" s="201"/>
      <c r="AWF87" s="202"/>
      <c r="AWG87" s="202"/>
      <c r="AWH87" s="202"/>
      <c r="AWI87" s="202"/>
      <c r="AWJ87" s="203"/>
      <c r="AWK87" s="204"/>
      <c r="AWL87" s="204"/>
      <c r="AWM87" s="204"/>
      <c r="AWN87" s="205"/>
      <c r="AWO87" s="206"/>
      <c r="AWP87" s="207"/>
      <c r="AWQ87" s="207"/>
      <c r="AWR87" s="208"/>
      <c r="AWS87" s="209"/>
      <c r="AWT87" s="207"/>
      <c r="AWU87" s="210"/>
      <c r="AWV87" s="209"/>
      <c r="AWW87" s="204"/>
      <c r="AWX87" s="204"/>
      <c r="AWY87" s="204"/>
      <c r="AWZ87" s="199"/>
      <c r="AXA87" s="167"/>
      <c r="AXB87" s="199"/>
      <c r="AXC87" s="200"/>
      <c r="AXD87" s="201"/>
      <c r="AXE87" s="202"/>
      <c r="AXF87" s="202"/>
      <c r="AXG87" s="202"/>
      <c r="AXH87" s="202"/>
      <c r="AXI87" s="203"/>
      <c r="AXJ87" s="204"/>
      <c r="AXK87" s="204"/>
      <c r="AXL87" s="204"/>
      <c r="AXM87" s="205"/>
      <c r="AXN87" s="206"/>
      <c r="AXO87" s="207"/>
      <c r="AXP87" s="207"/>
      <c r="AXQ87" s="208"/>
      <c r="AXR87" s="209"/>
      <c r="AXS87" s="207"/>
      <c r="AXT87" s="210"/>
      <c r="AXU87" s="209"/>
      <c r="AXV87" s="204"/>
      <c r="AXW87" s="204"/>
      <c r="AXX87" s="204"/>
      <c r="AXY87" s="199"/>
      <c r="AXZ87" s="167"/>
      <c r="AYA87" s="199"/>
      <c r="AYB87" s="200"/>
      <c r="AYC87" s="201"/>
      <c r="AYD87" s="202"/>
      <c r="AYE87" s="202"/>
      <c r="AYF87" s="202"/>
      <c r="AYG87" s="202"/>
      <c r="AYH87" s="203"/>
      <c r="AYI87" s="204"/>
      <c r="AYJ87" s="204"/>
      <c r="AYK87" s="204"/>
      <c r="AYL87" s="205"/>
      <c r="AYM87" s="206"/>
      <c r="AYN87" s="207"/>
      <c r="AYO87" s="207"/>
      <c r="AYP87" s="208"/>
      <c r="AYQ87" s="209"/>
      <c r="AYR87" s="207"/>
      <c r="AYS87" s="210"/>
      <c r="AYT87" s="209"/>
      <c r="AYU87" s="204"/>
      <c r="AYV87" s="204"/>
      <c r="AYW87" s="204"/>
      <c r="AYX87" s="199"/>
      <c r="AYY87" s="167"/>
      <c r="AYZ87" s="199"/>
      <c r="AZA87" s="200"/>
      <c r="AZB87" s="201"/>
      <c r="AZC87" s="202"/>
      <c r="AZD87" s="202"/>
      <c r="AZE87" s="202"/>
      <c r="AZF87" s="202"/>
      <c r="AZG87" s="203"/>
      <c r="AZH87" s="204"/>
      <c r="AZI87" s="204"/>
      <c r="AZJ87" s="204"/>
      <c r="AZK87" s="205"/>
      <c r="AZL87" s="206"/>
      <c r="AZM87" s="207"/>
      <c r="AZN87" s="207"/>
      <c r="AZO87" s="208"/>
      <c r="AZP87" s="209"/>
      <c r="AZQ87" s="207"/>
      <c r="AZR87" s="210"/>
      <c r="AZS87" s="209"/>
      <c r="AZT87" s="204"/>
      <c r="AZU87" s="204"/>
      <c r="AZV87" s="204"/>
      <c r="AZW87" s="199"/>
      <c r="AZX87" s="167"/>
      <c r="AZY87" s="199"/>
      <c r="AZZ87" s="200"/>
      <c r="BAA87" s="201"/>
      <c r="BAB87" s="202"/>
      <c r="BAC87" s="202"/>
      <c r="BAD87" s="202"/>
      <c r="BAE87" s="202"/>
      <c r="BAF87" s="203"/>
      <c r="BAG87" s="204"/>
      <c r="BAH87" s="204"/>
      <c r="BAI87" s="204"/>
      <c r="BAJ87" s="205"/>
      <c r="BAK87" s="206"/>
      <c r="BAL87" s="207"/>
      <c r="BAM87" s="207"/>
      <c r="BAN87" s="208"/>
      <c r="BAO87" s="209"/>
      <c r="BAP87" s="207"/>
      <c r="BAQ87" s="210"/>
      <c r="BAR87" s="209"/>
      <c r="BAS87" s="204"/>
      <c r="BAT87" s="204"/>
      <c r="BAU87" s="204"/>
      <c r="BAV87" s="199"/>
      <c r="BAW87" s="167"/>
      <c r="BAX87" s="199"/>
      <c r="BAY87" s="200"/>
      <c r="BAZ87" s="201"/>
      <c r="BBA87" s="202"/>
      <c r="BBB87" s="202"/>
      <c r="BBC87" s="202"/>
      <c r="BBD87" s="202"/>
      <c r="BBE87" s="203"/>
      <c r="BBF87" s="204"/>
      <c r="BBG87" s="204"/>
      <c r="BBH87" s="204"/>
      <c r="BBI87" s="205"/>
      <c r="BBJ87" s="206"/>
      <c r="BBK87" s="207"/>
      <c r="BBL87" s="207"/>
      <c r="BBM87" s="208"/>
      <c r="BBN87" s="209"/>
      <c r="BBO87" s="207"/>
      <c r="BBP87" s="210"/>
      <c r="BBQ87" s="209"/>
      <c r="BBR87" s="204"/>
      <c r="BBS87" s="204"/>
      <c r="BBT87" s="204"/>
      <c r="BBU87" s="199"/>
      <c r="BBV87" s="167"/>
      <c r="BBW87" s="199"/>
      <c r="BBX87" s="200"/>
      <c r="BBY87" s="201"/>
      <c r="BBZ87" s="202"/>
      <c r="BCA87" s="202"/>
      <c r="BCB87" s="202"/>
      <c r="BCC87" s="202"/>
      <c r="BCD87" s="203"/>
      <c r="BCE87" s="204"/>
      <c r="BCF87" s="204"/>
      <c r="BCG87" s="204"/>
      <c r="BCH87" s="205"/>
      <c r="BCI87" s="206"/>
      <c r="BCJ87" s="207"/>
      <c r="BCK87" s="207"/>
      <c r="BCL87" s="208"/>
      <c r="BCM87" s="209"/>
      <c r="BCN87" s="207"/>
      <c r="BCO87" s="210"/>
      <c r="BCP87" s="209"/>
      <c r="BCQ87" s="204"/>
      <c r="BCR87" s="204"/>
      <c r="BCS87" s="204"/>
      <c r="BCT87" s="199"/>
      <c r="BCU87" s="167"/>
      <c r="BCV87" s="199"/>
      <c r="BCW87" s="200"/>
      <c r="BCX87" s="201"/>
      <c r="BCY87" s="202"/>
      <c r="BCZ87" s="202"/>
      <c r="BDA87" s="202"/>
      <c r="BDB87" s="202"/>
      <c r="BDC87" s="203"/>
      <c r="BDD87" s="204"/>
      <c r="BDE87" s="204"/>
      <c r="BDF87" s="204"/>
      <c r="BDG87" s="205"/>
      <c r="BDH87" s="206"/>
      <c r="BDI87" s="207"/>
      <c r="BDJ87" s="207"/>
      <c r="BDK87" s="208"/>
      <c r="BDL87" s="209"/>
      <c r="BDM87" s="207"/>
      <c r="BDN87" s="210"/>
      <c r="BDO87" s="209"/>
      <c r="BDP87" s="204"/>
      <c r="BDQ87" s="204"/>
      <c r="BDR87" s="204"/>
      <c r="BDS87" s="199"/>
      <c r="BDT87" s="167"/>
      <c r="BDU87" s="199"/>
      <c r="BDV87" s="200"/>
      <c r="BDW87" s="201"/>
      <c r="BDX87" s="202"/>
      <c r="BDY87" s="202"/>
      <c r="BDZ87" s="202"/>
      <c r="BEA87" s="202"/>
      <c r="BEB87" s="203"/>
      <c r="BEC87" s="204"/>
      <c r="BED87" s="204"/>
      <c r="BEE87" s="204"/>
      <c r="BEF87" s="205"/>
      <c r="BEG87" s="206"/>
      <c r="BEH87" s="207"/>
      <c r="BEI87" s="207"/>
      <c r="BEJ87" s="208"/>
      <c r="BEK87" s="209"/>
      <c r="BEL87" s="207"/>
      <c r="BEM87" s="210"/>
      <c r="BEN87" s="209"/>
      <c r="BEO87" s="204"/>
      <c r="BEP87" s="204"/>
      <c r="BEQ87" s="204"/>
      <c r="BER87" s="199"/>
      <c r="BES87" s="167"/>
      <c r="BET87" s="199"/>
      <c r="BEU87" s="200"/>
      <c r="BEV87" s="201"/>
      <c r="BEW87" s="202"/>
      <c r="BEX87" s="202"/>
      <c r="BEY87" s="202"/>
      <c r="BEZ87" s="202"/>
      <c r="BFA87" s="203"/>
      <c r="BFB87" s="204"/>
      <c r="BFC87" s="204"/>
      <c r="BFD87" s="204"/>
      <c r="BFE87" s="205"/>
      <c r="BFF87" s="206"/>
      <c r="BFG87" s="207"/>
      <c r="BFH87" s="207"/>
      <c r="BFI87" s="208"/>
      <c r="BFJ87" s="209"/>
      <c r="BFK87" s="207"/>
      <c r="BFL87" s="210"/>
      <c r="BFM87" s="209"/>
      <c r="BFN87" s="204"/>
      <c r="BFO87" s="204"/>
      <c r="BFP87" s="204"/>
      <c r="BFQ87" s="199"/>
      <c r="BFR87" s="167"/>
      <c r="BFS87" s="199"/>
      <c r="BFT87" s="200"/>
      <c r="BFU87" s="201"/>
      <c r="BFV87" s="202"/>
      <c r="BFW87" s="202"/>
      <c r="BFX87" s="202"/>
      <c r="BFY87" s="202"/>
      <c r="BFZ87" s="203"/>
      <c r="BGA87" s="204"/>
      <c r="BGB87" s="204"/>
      <c r="BGC87" s="204"/>
      <c r="BGD87" s="205"/>
      <c r="BGE87" s="206"/>
      <c r="BGF87" s="207"/>
      <c r="BGG87" s="207"/>
      <c r="BGH87" s="208"/>
      <c r="BGI87" s="209"/>
      <c r="BGJ87" s="207"/>
      <c r="BGK87" s="210"/>
      <c r="BGL87" s="209"/>
      <c r="BGM87" s="204"/>
      <c r="BGN87" s="204"/>
      <c r="BGO87" s="204"/>
      <c r="BGP87" s="199"/>
      <c r="BGQ87" s="167"/>
      <c r="BGR87" s="199"/>
      <c r="BGS87" s="200"/>
      <c r="BGT87" s="201"/>
      <c r="BGU87" s="202"/>
      <c r="BGV87" s="202"/>
      <c r="BGW87" s="202"/>
      <c r="BGX87" s="202"/>
      <c r="BGY87" s="203"/>
      <c r="BGZ87" s="204"/>
      <c r="BHA87" s="204"/>
      <c r="BHB87" s="204"/>
      <c r="BHC87" s="205"/>
      <c r="BHD87" s="206"/>
      <c r="BHE87" s="207"/>
      <c r="BHF87" s="207"/>
      <c r="BHG87" s="208"/>
      <c r="BHH87" s="209"/>
      <c r="BHI87" s="207"/>
      <c r="BHJ87" s="210"/>
      <c r="BHK87" s="209"/>
      <c r="BHL87" s="204"/>
      <c r="BHM87" s="204"/>
      <c r="BHN87" s="204"/>
      <c r="BHO87" s="199"/>
      <c r="BHP87" s="167"/>
      <c r="BHQ87" s="199"/>
      <c r="BHR87" s="200"/>
      <c r="BHS87" s="201"/>
      <c r="BHT87" s="202"/>
      <c r="BHU87" s="202"/>
      <c r="BHV87" s="202"/>
      <c r="BHW87" s="202"/>
      <c r="BHX87" s="203"/>
      <c r="BHY87" s="204"/>
      <c r="BHZ87" s="204"/>
      <c r="BIA87" s="204"/>
      <c r="BIB87" s="205"/>
      <c r="BIC87" s="206"/>
      <c r="BID87" s="207"/>
      <c r="BIE87" s="207"/>
      <c r="BIF87" s="208"/>
      <c r="BIG87" s="209"/>
      <c r="BIH87" s="207"/>
      <c r="BII87" s="210"/>
      <c r="BIJ87" s="209"/>
      <c r="BIK87" s="204"/>
      <c r="BIL87" s="204"/>
      <c r="BIM87" s="204"/>
      <c r="BIN87" s="199"/>
      <c r="BIO87" s="167"/>
      <c r="BIP87" s="199"/>
      <c r="BIQ87" s="200"/>
      <c r="BIR87" s="201"/>
      <c r="BIS87" s="202"/>
      <c r="BIT87" s="202"/>
      <c r="BIU87" s="202"/>
      <c r="BIV87" s="202"/>
      <c r="BIW87" s="203"/>
      <c r="BIX87" s="204"/>
      <c r="BIY87" s="204"/>
      <c r="BIZ87" s="204"/>
      <c r="BJA87" s="205"/>
      <c r="BJB87" s="206"/>
      <c r="BJC87" s="207"/>
      <c r="BJD87" s="207"/>
      <c r="BJE87" s="208"/>
      <c r="BJF87" s="209"/>
      <c r="BJG87" s="207"/>
      <c r="BJH87" s="210"/>
      <c r="BJI87" s="209"/>
      <c r="BJJ87" s="204"/>
      <c r="BJK87" s="204"/>
      <c r="BJL87" s="204"/>
      <c r="BJM87" s="199"/>
      <c r="BJN87" s="167"/>
      <c r="BJO87" s="199"/>
      <c r="BJP87" s="200"/>
      <c r="BJQ87" s="201"/>
      <c r="BJR87" s="202"/>
      <c r="BJS87" s="202"/>
      <c r="BJT87" s="202"/>
      <c r="BJU87" s="202"/>
      <c r="BJV87" s="203"/>
      <c r="BJW87" s="204"/>
      <c r="BJX87" s="204"/>
      <c r="BJY87" s="204"/>
      <c r="BJZ87" s="205"/>
      <c r="BKA87" s="206"/>
      <c r="BKB87" s="207"/>
      <c r="BKC87" s="207"/>
      <c r="BKD87" s="208"/>
      <c r="BKE87" s="209"/>
      <c r="BKF87" s="207"/>
      <c r="BKG87" s="210"/>
      <c r="BKH87" s="209"/>
      <c r="BKI87" s="204"/>
      <c r="BKJ87" s="204"/>
      <c r="BKK87" s="204"/>
      <c r="BKL87" s="199"/>
      <c r="BKM87" s="167"/>
      <c r="BKN87" s="199"/>
      <c r="BKO87" s="200"/>
      <c r="BKP87" s="201"/>
      <c r="BKQ87" s="202"/>
      <c r="BKR87" s="202"/>
      <c r="BKS87" s="202"/>
      <c r="BKT87" s="202"/>
      <c r="BKU87" s="203"/>
      <c r="BKV87" s="204"/>
      <c r="BKW87" s="204"/>
      <c r="BKX87" s="204"/>
      <c r="BKY87" s="205"/>
      <c r="BKZ87" s="206"/>
      <c r="BLA87" s="207"/>
      <c r="BLB87" s="207"/>
      <c r="BLC87" s="208"/>
      <c r="BLD87" s="209"/>
      <c r="BLE87" s="207"/>
      <c r="BLF87" s="210"/>
      <c r="BLG87" s="209"/>
      <c r="BLH87" s="204"/>
      <c r="BLI87" s="204"/>
      <c r="BLJ87" s="204"/>
      <c r="BLK87" s="199"/>
      <c r="BLL87" s="167"/>
      <c r="BLM87" s="199"/>
      <c r="BLN87" s="200"/>
      <c r="BLO87" s="201"/>
      <c r="BLP87" s="202"/>
      <c r="BLQ87" s="202"/>
      <c r="BLR87" s="202"/>
      <c r="BLS87" s="202"/>
      <c r="BLT87" s="203"/>
      <c r="BLU87" s="204"/>
      <c r="BLV87" s="204"/>
      <c r="BLW87" s="204"/>
      <c r="BLX87" s="205"/>
      <c r="BLY87" s="206"/>
      <c r="BLZ87" s="207"/>
      <c r="BMA87" s="207"/>
      <c r="BMB87" s="208"/>
      <c r="BMC87" s="209"/>
      <c r="BMD87" s="207"/>
      <c r="BME87" s="210"/>
      <c r="BMF87" s="209"/>
      <c r="BMG87" s="204"/>
      <c r="BMH87" s="204"/>
      <c r="BMI87" s="204"/>
      <c r="BMJ87" s="199"/>
      <c r="BMK87" s="167"/>
      <c r="BML87" s="199"/>
      <c r="BMM87" s="200"/>
      <c r="BMN87" s="201"/>
      <c r="BMO87" s="202"/>
      <c r="BMP87" s="202"/>
      <c r="BMQ87" s="202"/>
      <c r="BMR87" s="202"/>
      <c r="BMS87" s="203"/>
      <c r="BMT87" s="204"/>
      <c r="BMU87" s="204"/>
      <c r="BMV87" s="204"/>
      <c r="BMW87" s="205"/>
      <c r="BMX87" s="206"/>
      <c r="BMY87" s="207"/>
      <c r="BMZ87" s="207"/>
      <c r="BNA87" s="208"/>
      <c r="BNB87" s="209"/>
      <c r="BNC87" s="207"/>
      <c r="BND87" s="210"/>
      <c r="BNE87" s="209"/>
      <c r="BNF87" s="204"/>
      <c r="BNG87" s="204"/>
      <c r="BNH87" s="204"/>
      <c r="BNI87" s="199"/>
      <c r="BNJ87" s="167"/>
      <c r="BNK87" s="199"/>
      <c r="BNL87" s="200"/>
      <c r="BNM87" s="201"/>
      <c r="BNN87" s="202"/>
      <c r="BNO87" s="202"/>
      <c r="BNP87" s="202"/>
      <c r="BNQ87" s="202"/>
      <c r="BNR87" s="203"/>
      <c r="BNS87" s="204"/>
      <c r="BNT87" s="204"/>
      <c r="BNU87" s="204"/>
      <c r="BNV87" s="205"/>
      <c r="BNW87" s="206"/>
      <c r="BNX87" s="207"/>
      <c r="BNY87" s="207"/>
      <c r="BNZ87" s="208"/>
      <c r="BOA87" s="209"/>
      <c r="BOB87" s="207"/>
      <c r="BOC87" s="210"/>
      <c r="BOD87" s="209"/>
      <c r="BOE87" s="204"/>
      <c r="BOF87" s="204"/>
      <c r="BOG87" s="204"/>
      <c r="BOH87" s="199"/>
      <c r="BOI87" s="167"/>
      <c r="BOJ87" s="199"/>
      <c r="BOK87" s="200"/>
      <c r="BOL87" s="201"/>
      <c r="BOM87" s="202"/>
      <c r="BON87" s="202"/>
      <c r="BOO87" s="202"/>
      <c r="BOP87" s="202"/>
      <c r="BOQ87" s="203"/>
      <c r="BOR87" s="204"/>
      <c r="BOS87" s="204"/>
      <c r="BOT87" s="204"/>
      <c r="BOU87" s="205"/>
      <c r="BOV87" s="206"/>
      <c r="BOW87" s="207"/>
      <c r="BOX87" s="207"/>
      <c r="BOY87" s="208"/>
      <c r="BOZ87" s="209"/>
      <c r="BPA87" s="207"/>
      <c r="BPB87" s="210"/>
      <c r="BPC87" s="209"/>
      <c r="BPD87" s="204"/>
      <c r="BPE87" s="204"/>
      <c r="BPF87" s="204"/>
      <c r="BPG87" s="199"/>
      <c r="BPH87" s="167"/>
      <c r="BPI87" s="199"/>
      <c r="BPJ87" s="200"/>
      <c r="BPK87" s="201"/>
      <c r="BPL87" s="202"/>
      <c r="BPM87" s="202"/>
      <c r="BPN87" s="202"/>
      <c r="BPO87" s="202"/>
      <c r="BPP87" s="203"/>
      <c r="BPQ87" s="204"/>
      <c r="BPR87" s="204"/>
      <c r="BPS87" s="204"/>
      <c r="BPT87" s="205"/>
      <c r="BPU87" s="206"/>
      <c r="BPV87" s="207"/>
      <c r="BPW87" s="207"/>
      <c r="BPX87" s="208"/>
      <c r="BPY87" s="209"/>
      <c r="BPZ87" s="207"/>
      <c r="BQA87" s="210"/>
      <c r="BQB87" s="209"/>
      <c r="BQC87" s="204"/>
      <c r="BQD87" s="204"/>
      <c r="BQE87" s="204"/>
      <c r="BQF87" s="199"/>
      <c r="BQG87" s="167"/>
      <c r="BQH87" s="199"/>
      <c r="BQI87" s="200"/>
      <c r="BQJ87" s="201"/>
      <c r="BQK87" s="202"/>
      <c r="BQL87" s="202"/>
      <c r="BQM87" s="202"/>
      <c r="BQN87" s="202"/>
      <c r="BQO87" s="203"/>
      <c r="BQP87" s="204"/>
      <c r="BQQ87" s="204"/>
      <c r="BQR87" s="204"/>
      <c r="BQS87" s="205"/>
      <c r="BQT87" s="206"/>
      <c r="BQU87" s="207"/>
      <c r="BQV87" s="207"/>
      <c r="BQW87" s="208"/>
      <c r="BQX87" s="209"/>
      <c r="BQY87" s="207"/>
      <c r="BQZ87" s="210"/>
      <c r="BRA87" s="209"/>
      <c r="BRB87" s="204"/>
      <c r="BRC87" s="204"/>
      <c r="BRD87" s="204"/>
      <c r="BRE87" s="199"/>
      <c r="BRF87" s="167"/>
      <c r="BRG87" s="199"/>
      <c r="BRH87" s="200"/>
      <c r="BRI87" s="201"/>
      <c r="BRJ87" s="202"/>
      <c r="BRK87" s="202"/>
      <c r="BRL87" s="202"/>
      <c r="BRM87" s="202"/>
      <c r="BRN87" s="203"/>
      <c r="BRO87" s="204"/>
      <c r="BRP87" s="204"/>
      <c r="BRQ87" s="204"/>
      <c r="BRR87" s="205"/>
      <c r="BRS87" s="206"/>
      <c r="BRT87" s="207"/>
      <c r="BRU87" s="207"/>
      <c r="BRV87" s="208"/>
      <c r="BRW87" s="209"/>
      <c r="BRX87" s="207"/>
      <c r="BRY87" s="210"/>
      <c r="BRZ87" s="209"/>
      <c r="BSA87" s="204"/>
      <c r="BSB87" s="204"/>
      <c r="BSC87" s="204"/>
      <c r="BSD87" s="199"/>
      <c r="BSE87" s="167"/>
      <c r="BSF87" s="199"/>
      <c r="BSG87" s="200"/>
      <c r="BSH87" s="201"/>
      <c r="BSI87" s="202"/>
      <c r="BSJ87" s="202"/>
      <c r="BSK87" s="202"/>
      <c r="BSL87" s="202"/>
      <c r="BSM87" s="203"/>
      <c r="BSN87" s="204"/>
      <c r="BSO87" s="204"/>
      <c r="BSP87" s="204"/>
      <c r="BSQ87" s="205"/>
      <c r="BSR87" s="206"/>
      <c r="BSS87" s="207"/>
      <c r="BST87" s="207"/>
      <c r="BSU87" s="208"/>
      <c r="BSV87" s="209"/>
      <c r="BSW87" s="207"/>
      <c r="BSX87" s="210"/>
      <c r="BSY87" s="209"/>
      <c r="BSZ87" s="204"/>
      <c r="BTA87" s="204"/>
      <c r="BTB87" s="204"/>
      <c r="BTC87" s="199"/>
      <c r="BTD87" s="167"/>
      <c r="BTE87" s="199"/>
      <c r="BTF87" s="200"/>
      <c r="BTG87" s="201"/>
      <c r="BTH87" s="202"/>
      <c r="BTI87" s="202"/>
      <c r="BTJ87" s="202"/>
      <c r="BTK87" s="202"/>
      <c r="BTL87" s="203"/>
      <c r="BTM87" s="204"/>
      <c r="BTN87" s="204"/>
      <c r="BTO87" s="204"/>
      <c r="BTP87" s="205"/>
      <c r="BTQ87" s="206"/>
      <c r="BTR87" s="207"/>
      <c r="BTS87" s="207"/>
      <c r="BTT87" s="208"/>
      <c r="BTU87" s="209"/>
      <c r="BTV87" s="207"/>
      <c r="BTW87" s="210"/>
      <c r="BTX87" s="209"/>
      <c r="BTY87" s="204"/>
      <c r="BTZ87" s="204"/>
      <c r="BUA87" s="204"/>
      <c r="BUB87" s="199"/>
      <c r="BUC87" s="167"/>
      <c r="BUD87" s="199"/>
      <c r="BUE87" s="200"/>
      <c r="BUF87" s="201"/>
      <c r="BUG87" s="202"/>
      <c r="BUH87" s="202"/>
      <c r="BUI87" s="202"/>
      <c r="BUJ87" s="202"/>
      <c r="BUK87" s="203"/>
      <c r="BUL87" s="204"/>
      <c r="BUM87" s="204"/>
      <c r="BUN87" s="204"/>
      <c r="BUO87" s="205"/>
      <c r="BUP87" s="206"/>
      <c r="BUQ87" s="207"/>
      <c r="BUR87" s="207"/>
      <c r="BUS87" s="208"/>
      <c r="BUT87" s="209"/>
      <c r="BUU87" s="207"/>
      <c r="BUV87" s="210"/>
      <c r="BUW87" s="209"/>
      <c r="BUX87" s="204"/>
      <c r="BUY87" s="204"/>
      <c r="BUZ87" s="204"/>
      <c r="BVA87" s="199"/>
      <c r="BVB87" s="167"/>
      <c r="BVC87" s="199"/>
      <c r="BVD87" s="200"/>
      <c r="BVE87" s="201"/>
      <c r="BVF87" s="202"/>
      <c r="BVG87" s="202"/>
      <c r="BVH87" s="202"/>
      <c r="BVI87" s="202"/>
      <c r="BVJ87" s="203"/>
      <c r="BVK87" s="204"/>
      <c r="BVL87" s="204"/>
      <c r="BVM87" s="204"/>
      <c r="BVN87" s="205"/>
      <c r="BVO87" s="206"/>
      <c r="BVP87" s="207"/>
      <c r="BVQ87" s="207"/>
      <c r="BVR87" s="208"/>
      <c r="BVS87" s="209"/>
      <c r="BVT87" s="207"/>
      <c r="BVU87" s="210"/>
      <c r="BVV87" s="209"/>
      <c r="BVW87" s="204"/>
      <c r="BVX87" s="204"/>
      <c r="BVY87" s="204"/>
      <c r="BVZ87" s="199"/>
      <c r="BWA87" s="167"/>
      <c r="BWB87" s="199"/>
      <c r="BWC87" s="200"/>
      <c r="BWD87" s="201"/>
      <c r="BWE87" s="202"/>
      <c r="BWF87" s="202"/>
      <c r="BWG87" s="202"/>
      <c r="BWH87" s="202"/>
      <c r="BWI87" s="203"/>
      <c r="BWJ87" s="204"/>
      <c r="BWK87" s="204"/>
      <c r="BWL87" s="204"/>
      <c r="BWM87" s="205"/>
      <c r="BWN87" s="206"/>
      <c r="BWO87" s="207"/>
      <c r="BWP87" s="207"/>
      <c r="BWQ87" s="208"/>
      <c r="BWR87" s="209"/>
      <c r="BWS87" s="207"/>
      <c r="BWT87" s="210"/>
      <c r="BWU87" s="209"/>
      <c r="BWV87" s="204"/>
      <c r="BWW87" s="204"/>
      <c r="BWX87" s="204"/>
      <c r="BWY87" s="199"/>
      <c r="BWZ87" s="167"/>
      <c r="BXA87" s="199"/>
      <c r="BXB87" s="200"/>
      <c r="BXC87" s="201"/>
      <c r="BXD87" s="202"/>
      <c r="BXE87" s="202"/>
      <c r="BXF87" s="202"/>
      <c r="BXG87" s="202"/>
      <c r="BXH87" s="203"/>
      <c r="BXI87" s="204"/>
      <c r="BXJ87" s="204"/>
      <c r="BXK87" s="204"/>
      <c r="BXL87" s="205"/>
      <c r="BXM87" s="206"/>
      <c r="BXN87" s="207"/>
      <c r="BXO87" s="207"/>
      <c r="BXP87" s="208"/>
      <c r="BXQ87" s="209"/>
      <c r="BXR87" s="207"/>
      <c r="BXS87" s="210"/>
      <c r="BXT87" s="209"/>
      <c r="BXU87" s="204"/>
      <c r="BXV87" s="204"/>
      <c r="BXW87" s="204"/>
      <c r="BXX87" s="199"/>
      <c r="BXY87" s="167"/>
      <c r="BXZ87" s="199"/>
      <c r="BYA87" s="200"/>
      <c r="BYB87" s="201"/>
      <c r="BYC87" s="202"/>
      <c r="BYD87" s="202"/>
      <c r="BYE87" s="202"/>
      <c r="BYF87" s="202"/>
      <c r="BYG87" s="203"/>
      <c r="BYH87" s="204"/>
      <c r="BYI87" s="204"/>
      <c r="BYJ87" s="204"/>
      <c r="BYK87" s="205"/>
      <c r="BYL87" s="206"/>
      <c r="BYM87" s="207"/>
      <c r="BYN87" s="207"/>
      <c r="BYO87" s="208"/>
      <c r="BYP87" s="209"/>
      <c r="BYQ87" s="207"/>
      <c r="BYR87" s="210"/>
      <c r="BYS87" s="209"/>
      <c r="BYT87" s="204"/>
      <c r="BYU87" s="204"/>
      <c r="BYV87" s="204"/>
      <c r="BYW87" s="199"/>
      <c r="BYX87" s="167"/>
      <c r="BYY87" s="199"/>
      <c r="BYZ87" s="200"/>
      <c r="BZA87" s="201"/>
      <c r="BZB87" s="202"/>
      <c r="BZC87" s="202"/>
      <c r="BZD87" s="202"/>
      <c r="BZE87" s="202"/>
      <c r="BZF87" s="203"/>
      <c r="BZG87" s="204"/>
      <c r="BZH87" s="204"/>
      <c r="BZI87" s="204"/>
      <c r="BZJ87" s="205"/>
      <c r="BZK87" s="206"/>
      <c r="BZL87" s="207"/>
      <c r="BZM87" s="207"/>
      <c r="BZN87" s="208"/>
      <c r="BZO87" s="209"/>
      <c r="BZP87" s="207"/>
      <c r="BZQ87" s="210"/>
      <c r="BZR87" s="209"/>
      <c r="BZS87" s="204"/>
      <c r="BZT87" s="204"/>
      <c r="BZU87" s="204"/>
      <c r="BZV87" s="199"/>
      <c r="BZW87" s="167"/>
      <c r="BZX87" s="199"/>
      <c r="BZY87" s="200"/>
      <c r="BZZ87" s="201"/>
      <c r="CAA87" s="202"/>
      <c r="CAB87" s="202"/>
      <c r="CAC87" s="202"/>
      <c r="CAD87" s="202"/>
      <c r="CAE87" s="203"/>
      <c r="CAF87" s="204"/>
      <c r="CAG87" s="204"/>
      <c r="CAH87" s="204"/>
      <c r="CAI87" s="205"/>
      <c r="CAJ87" s="206"/>
      <c r="CAK87" s="207"/>
      <c r="CAL87" s="207"/>
      <c r="CAM87" s="208"/>
      <c r="CAN87" s="209"/>
      <c r="CAO87" s="207"/>
      <c r="CAP87" s="210"/>
      <c r="CAQ87" s="209"/>
      <c r="CAR87" s="204"/>
      <c r="CAS87" s="204"/>
      <c r="CAT87" s="204"/>
      <c r="CAU87" s="199"/>
      <c r="CAV87" s="167"/>
      <c r="CAW87" s="199"/>
      <c r="CAX87" s="200"/>
      <c r="CAY87" s="201"/>
      <c r="CAZ87" s="202"/>
      <c r="CBA87" s="202"/>
      <c r="CBB87" s="202"/>
      <c r="CBC87" s="202"/>
      <c r="CBD87" s="203"/>
      <c r="CBE87" s="204"/>
      <c r="CBF87" s="204"/>
      <c r="CBG87" s="204"/>
      <c r="CBH87" s="205"/>
      <c r="CBI87" s="206"/>
      <c r="CBJ87" s="207"/>
      <c r="CBK87" s="207"/>
      <c r="CBL87" s="208"/>
      <c r="CBM87" s="209"/>
      <c r="CBN87" s="207"/>
      <c r="CBO87" s="210"/>
      <c r="CBP87" s="209"/>
      <c r="CBQ87" s="204"/>
      <c r="CBR87" s="204"/>
      <c r="CBS87" s="204"/>
      <c r="CBT87" s="199"/>
      <c r="CBU87" s="167"/>
      <c r="CBV87" s="199"/>
      <c r="CBW87" s="200"/>
      <c r="CBX87" s="201"/>
      <c r="CBY87" s="202"/>
      <c r="CBZ87" s="202"/>
      <c r="CCA87" s="202"/>
      <c r="CCB87" s="202"/>
      <c r="CCC87" s="203"/>
      <c r="CCD87" s="204"/>
      <c r="CCE87" s="204"/>
      <c r="CCF87" s="204"/>
      <c r="CCG87" s="205"/>
      <c r="CCH87" s="206"/>
      <c r="CCI87" s="207"/>
      <c r="CCJ87" s="207"/>
      <c r="CCK87" s="208"/>
      <c r="CCL87" s="209"/>
      <c r="CCM87" s="207"/>
      <c r="CCN87" s="210"/>
      <c r="CCO87" s="209"/>
      <c r="CCP87" s="204"/>
      <c r="CCQ87" s="204"/>
      <c r="CCR87" s="204"/>
      <c r="CCS87" s="199"/>
      <c r="CCT87" s="167"/>
      <c r="CCU87" s="199"/>
      <c r="CCV87" s="200"/>
      <c r="CCW87" s="201"/>
      <c r="CCX87" s="202"/>
      <c r="CCY87" s="202"/>
      <c r="CCZ87" s="202"/>
      <c r="CDA87" s="202"/>
      <c r="CDB87" s="203"/>
      <c r="CDC87" s="204"/>
      <c r="CDD87" s="204"/>
      <c r="CDE87" s="204"/>
      <c r="CDF87" s="205"/>
      <c r="CDG87" s="206"/>
      <c r="CDH87" s="207"/>
      <c r="CDI87" s="207"/>
      <c r="CDJ87" s="208"/>
      <c r="CDK87" s="209"/>
      <c r="CDL87" s="207"/>
      <c r="CDM87" s="210"/>
      <c r="CDN87" s="209"/>
      <c r="CDO87" s="204"/>
      <c r="CDP87" s="204"/>
      <c r="CDQ87" s="204"/>
      <c r="CDR87" s="199"/>
      <c r="CDS87" s="167"/>
      <c r="CDT87" s="199"/>
      <c r="CDU87" s="200"/>
      <c r="CDV87" s="201"/>
      <c r="CDW87" s="202"/>
      <c r="CDX87" s="202"/>
      <c r="CDY87" s="202"/>
      <c r="CDZ87" s="202"/>
      <c r="CEA87" s="203"/>
      <c r="CEB87" s="204"/>
      <c r="CEC87" s="204"/>
      <c r="CED87" s="204"/>
      <c r="CEE87" s="205"/>
      <c r="CEF87" s="206"/>
      <c r="CEG87" s="207"/>
      <c r="CEH87" s="207"/>
      <c r="CEI87" s="208"/>
      <c r="CEJ87" s="209"/>
      <c r="CEK87" s="207"/>
      <c r="CEL87" s="210"/>
      <c r="CEM87" s="209"/>
      <c r="CEN87" s="204"/>
      <c r="CEO87" s="204"/>
      <c r="CEP87" s="204"/>
      <c r="CEQ87" s="199"/>
      <c r="CER87" s="167"/>
      <c r="CES87" s="199"/>
      <c r="CET87" s="200"/>
      <c r="CEU87" s="201"/>
      <c r="CEV87" s="202"/>
      <c r="CEW87" s="202"/>
      <c r="CEX87" s="202"/>
      <c r="CEY87" s="202"/>
      <c r="CEZ87" s="203"/>
      <c r="CFA87" s="204"/>
      <c r="CFB87" s="204"/>
      <c r="CFC87" s="204"/>
      <c r="CFD87" s="205"/>
      <c r="CFE87" s="206"/>
      <c r="CFF87" s="207"/>
      <c r="CFG87" s="207"/>
      <c r="CFH87" s="208"/>
      <c r="CFI87" s="209"/>
      <c r="CFJ87" s="207"/>
      <c r="CFK87" s="210"/>
      <c r="CFL87" s="209"/>
      <c r="CFM87" s="204"/>
      <c r="CFN87" s="204"/>
      <c r="CFO87" s="204"/>
      <c r="CFP87" s="199"/>
      <c r="CFQ87" s="167"/>
      <c r="CFR87" s="199"/>
      <c r="CFS87" s="200"/>
      <c r="CFT87" s="201"/>
      <c r="CFU87" s="202"/>
      <c r="CFV87" s="202"/>
      <c r="CFW87" s="202"/>
      <c r="CFX87" s="202"/>
      <c r="CFY87" s="203"/>
      <c r="CFZ87" s="204"/>
      <c r="CGA87" s="204"/>
      <c r="CGB87" s="204"/>
      <c r="CGC87" s="205"/>
      <c r="CGD87" s="206"/>
      <c r="CGE87" s="207"/>
      <c r="CGF87" s="207"/>
      <c r="CGG87" s="208"/>
      <c r="CGH87" s="209"/>
      <c r="CGI87" s="207"/>
      <c r="CGJ87" s="210"/>
      <c r="CGK87" s="209"/>
      <c r="CGL87" s="204"/>
      <c r="CGM87" s="204"/>
      <c r="CGN87" s="204"/>
      <c r="CGO87" s="199"/>
      <c r="CGP87" s="167"/>
      <c r="CGQ87" s="199"/>
      <c r="CGR87" s="200"/>
      <c r="CGS87" s="201"/>
      <c r="CGT87" s="202"/>
      <c r="CGU87" s="202"/>
      <c r="CGV87" s="202"/>
      <c r="CGW87" s="202"/>
      <c r="CGX87" s="203"/>
      <c r="CGY87" s="204"/>
      <c r="CGZ87" s="204"/>
      <c r="CHA87" s="204"/>
      <c r="CHB87" s="205"/>
      <c r="CHC87" s="206"/>
      <c r="CHD87" s="207"/>
      <c r="CHE87" s="207"/>
      <c r="CHF87" s="208"/>
      <c r="CHG87" s="209"/>
      <c r="CHH87" s="207"/>
      <c r="CHI87" s="210"/>
      <c r="CHJ87" s="209"/>
      <c r="CHK87" s="204"/>
      <c r="CHL87" s="204"/>
      <c r="CHM87" s="204"/>
      <c r="CHN87" s="199"/>
      <c r="CHO87" s="167"/>
      <c r="CHP87" s="199"/>
      <c r="CHQ87" s="200"/>
      <c r="CHR87" s="201"/>
      <c r="CHS87" s="202"/>
      <c r="CHT87" s="202"/>
      <c r="CHU87" s="202"/>
      <c r="CHV87" s="202"/>
      <c r="CHW87" s="203"/>
      <c r="CHX87" s="204"/>
      <c r="CHY87" s="204"/>
      <c r="CHZ87" s="204"/>
      <c r="CIA87" s="205"/>
      <c r="CIB87" s="206"/>
      <c r="CIC87" s="207"/>
      <c r="CID87" s="207"/>
      <c r="CIE87" s="208"/>
      <c r="CIF87" s="209"/>
      <c r="CIG87" s="207"/>
      <c r="CIH87" s="210"/>
      <c r="CII87" s="209"/>
      <c r="CIJ87" s="204"/>
      <c r="CIK87" s="204"/>
      <c r="CIL87" s="204"/>
      <c r="CIM87" s="199"/>
      <c r="CIN87" s="167"/>
      <c r="CIO87" s="199"/>
      <c r="CIP87" s="200"/>
      <c r="CIQ87" s="201"/>
      <c r="CIR87" s="202"/>
      <c r="CIS87" s="202"/>
      <c r="CIT87" s="202"/>
      <c r="CIU87" s="202"/>
      <c r="CIV87" s="203"/>
      <c r="CIW87" s="204"/>
      <c r="CIX87" s="204"/>
      <c r="CIY87" s="204"/>
      <c r="CIZ87" s="205"/>
      <c r="CJA87" s="206"/>
      <c r="CJB87" s="207"/>
      <c r="CJC87" s="207"/>
      <c r="CJD87" s="208"/>
      <c r="CJE87" s="209"/>
      <c r="CJF87" s="207"/>
      <c r="CJG87" s="210"/>
      <c r="CJH87" s="209"/>
      <c r="CJI87" s="204"/>
      <c r="CJJ87" s="204"/>
      <c r="CJK87" s="204"/>
      <c r="CJL87" s="199"/>
      <c r="CJM87" s="167"/>
      <c r="CJN87" s="199"/>
      <c r="CJO87" s="200"/>
      <c r="CJP87" s="201"/>
      <c r="CJQ87" s="202"/>
      <c r="CJR87" s="202"/>
      <c r="CJS87" s="202"/>
      <c r="CJT87" s="202"/>
      <c r="CJU87" s="203"/>
      <c r="CJV87" s="204"/>
      <c r="CJW87" s="204"/>
      <c r="CJX87" s="204"/>
      <c r="CJY87" s="205"/>
      <c r="CJZ87" s="206"/>
      <c r="CKA87" s="207"/>
      <c r="CKB87" s="207"/>
      <c r="CKC87" s="208"/>
      <c r="CKD87" s="209"/>
      <c r="CKE87" s="207"/>
      <c r="CKF87" s="210"/>
      <c r="CKG87" s="209"/>
      <c r="CKH87" s="204"/>
      <c r="CKI87" s="204"/>
      <c r="CKJ87" s="204"/>
      <c r="CKK87" s="199"/>
      <c r="CKL87" s="167"/>
      <c r="CKM87" s="199"/>
      <c r="CKN87" s="200"/>
      <c r="CKO87" s="201"/>
      <c r="CKP87" s="202"/>
      <c r="CKQ87" s="202"/>
      <c r="CKR87" s="202"/>
      <c r="CKS87" s="202"/>
      <c r="CKT87" s="203"/>
      <c r="CKU87" s="204"/>
      <c r="CKV87" s="204"/>
      <c r="CKW87" s="204"/>
      <c r="CKX87" s="205"/>
      <c r="CKY87" s="206"/>
      <c r="CKZ87" s="207"/>
      <c r="CLA87" s="207"/>
      <c r="CLB87" s="208"/>
      <c r="CLC87" s="209"/>
      <c r="CLD87" s="207"/>
      <c r="CLE87" s="210"/>
      <c r="CLF87" s="209"/>
      <c r="CLG87" s="204"/>
      <c r="CLH87" s="204"/>
      <c r="CLI87" s="204"/>
      <c r="CLJ87" s="199"/>
      <c r="CLK87" s="167"/>
      <c r="CLL87" s="199"/>
      <c r="CLM87" s="200"/>
      <c r="CLN87" s="201"/>
      <c r="CLO87" s="202"/>
      <c r="CLP87" s="202"/>
      <c r="CLQ87" s="202"/>
      <c r="CLR87" s="202"/>
      <c r="CLS87" s="203"/>
      <c r="CLT87" s="204"/>
      <c r="CLU87" s="204"/>
      <c r="CLV87" s="204"/>
      <c r="CLW87" s="205"/>
      <c r="CLX87" s="206"/>
      <c r="CLY87" s="207"/>
      <c r="CLZ87" s="207"/>
      <c r="CMA87" s="208"/>
      <c r="CMB87" s="209"/>
      <c r="CMC87" s="207"/>
      <c r="CMD87" s="210"/>
      <c r="CME87" s="209"/>
      <c r="CMF87" s="204"/>
      <c r="CMG87" s="204"/>
      <c r="CMH87" s="204"/>
      <c r="CMI87" s="199"/>
      <c r="CMJ87" s="167"/>
      <c r="CMK87" s="199"/>
      <c r="CML87" s="200"/>
      <c r="CMM87" s="201"/>
      <c r="CMN87" s="202"/>
      <c r="CMO87" s="202"/>
      <c r="CMP87" s="202"/>
      <c r="CMQ87" s="202"/>
      <c r="CMR87" s="203"/>
      <c r="CMS87" s="204"/>
      <c r="CMT87" s="204"/>
      <c r="CMU87" s="204"/>
      <c r="CMV87" s="205"/>
      <c r="CMW87" s="206"/>
      <c r="CMX87" s="207"/>
      <c r="CMY87" s="207"/>
      <c r="CMZ87" s="208"/>
      <c r="CNA87" s="209"/>
      <c r="CNB87" s="207"/>
      <c r="CNC87" s="210"/>
      <c r="CND87" s="209"/>
      <c r="CNE87" s="204"/>
      <c r="CNF87" s="204"/>
      <c r="CNG87" s="204"/>
      <c r="CNH87" s="199"/>
      <c r="CNI87" s="167"/>
      <c r="CNJ87" s="199"/>
      <c r="CNK87" s="200"/>
      <c r="CNL87" s="201"/>
      <c r="CNM87" s="202"/>
      <c r="CNN87" s="202"/>
      <c r="CNO87" s="202"/>
      <c r="CNP87" s="202"/>
      <c r="CNQ87" s="203"/>
      <c r="CNR87" s="204"/>
      <c r="CNS87" s="204"/>
      <c r="CNT87" s="204"/>
      <c r="CNU87" s="205"/>
      <c r="CNV87" s="206"/>
      <c r="CNW87" s="207"/>
      <c r="CNX87" s="207"/>
      <c r="CNY87" s="208"/>
      <c r="CNZ87" s="209"/>
      <c r="COA87" s="207"/>
      <c r="COB87" s="210"/>
      <c r="COC87" s="209"/>
      <c r="COD87" s="204"/>
      <c r="COE87" s="204"/>
      <c r="COF87" s="204"/>
      <c r="COG87" s="199"/>
      <c r="COH87" s="167"/>
      <c r="COI87" s="199"/>
      <c r="COJ87" s="200"/>
      <c r="COK87" s="201"/>
      <c r="COL87" s="202"/>
      <c r="COM87" s="202"/>
      <c r="CON87" s="202"/>
      <c r="COO87" s="202"/>
      <c r="COP87" s="203"/>
      <c r="COQ87" s="204"/>
      <c r="COR87" s="204"/>
      <c r="COS87" s="204"/>
      <c r="COT87" s="205"/>
      <c r="COU87" s="206"/>
      <c r="COV87" s="207"/>
      <c r="COW87" s="207"/>
      <c r="COX87" s="208"/>
      <c r="COY87" s="209"/>
      <c r="COZ87" s="207"/>
      <c r="CPA87" s="210"/>
      <c r="CPB87" s="209"/>
      <c r="CPC87" s="204"/>
      <c r="CPD87" s="204"/>
      <c r="CPE87" s="204"/>
      <c r="CPF87" s="199"/>
      <c r="CPG87" s="167"/>
      <c r="CPH87" s="199"/>
      <c r="CPI87" s="200"/>
      <c r="CPJ87" s="201"/>
      <c r="CPK87" s="202"/>
      <c r="CPL87" s="202"/>
      <c r="CPM87" s="202"/>
      <c r="CPN87" s="202"/>
      <c r="CPO87" s="203"/>
      <c r="CPP87" s="204"/>
      <c r="CPQ87" s="204"/>
      <c r="CPR87" s="204"/>
      <c r="CPS87" s="205"/>
      <c r="CPT87" s="206"/>
      <c r="CPU87" s="207"/>
      <c r="CPV87" s="207"/>
      <c r="CPW87" s="208"/>
      <c r="CPX87" s="209"/>
      <c r="CPY87" s="207"/>
      <c r="CPZ87" s="210"/>
      <c r="CQA87" s="209"/>
      <c r="CQB87" s="204"/>
      <c r="CQC87" s="204"/>
      <c r="CQD87" s="204"/>
      <c r="CQE87" s="199"/>
      <c r="CQF87" s="167"/>
      <c r="CQG87" s="199"/>
      <c r="CQH87" s="200"/>
      <c r="CQI87" s="201"/>
      <c r="CQJ87" s="202"/>
      <c r="CQK87" s="202"/>
      <c r="CQL87" s="202"/>
      <c r="CQM87" s="202"/>
      <c r="CQN87" s="203"/>
      <c r="CQO87" s="204"/>
      <c r="CQP87" s="204"/>
      <c r="CQQ87" s="204"/>
      <c r="CQR87" s="205"/>
      <c r="CQS87" s="206"/>
      <c r="CQT87" s="207"/>
      <c r="CQU87" s="207"/>
      <c r="CQV87" s="208"/>
      <c r="CQW87" s="209"/>
      <c r="CQX87" s="207"/>
      <c r="CQY87" s="210"/>
      <c r="CQZ87" s="209"/>
      <c r="CRA87" s="204"/>
      <c r="CRB87" s="204"/>
      <c r="CRC87" s="204"/>
      <c r="CRD87" s="199"/>
      <c r="CRE87" s="167"/>
      <c r="CRF87" s="199"/>
      <c r="CRG87" s="200"/>
      <c r="CRH87" s="201"/>
      <c r="CRI87" s="202"/>
      <c r="CRJ87" s="202"/>
      <c r="CRK87" s="202"/>
      <c r="CRL87" s="202"/>
      <c r="CRM87" s="203"/>
      <c r="CRN87" s="204"/>
      <c r="CRO87" s="204"/>
      <c r="CRP87" s="204"/>
      <c r="CRQ87" s="205"/>
      <c r="CRR87" s="206"/>
      <c r="CRS87" s="207"/>
      <c r="CRT87" s="207"/>
      <c r="CRU87" s="208"/>
      <c r="CRV87" s="209"/>
      <c r="CRW87" s="207"/>
      <c r="CRX87" s="210"/>
      <c r="CRY87" s="209"/>
      <c r="CRZ87" s="204"/>
      <c r="CSA87" s="204"/>
      <c r="CSB87" s="204"/>
      <c r="CSC87" s="199"/>
      <c r="CSD87" s="167"/>
      <c r="CSE87" s="199"/>
      <c r="CSF87" s="200"/>
      <c r="CSG87" s="201"/>
      <c r="CSH87" s="202"/>
      <c r="CSI87" s="202"/>
      <c r="CSJ87" s="202"/>
      <c r="CSK87" s="202"/>
      <c r="CSL87" s="203"/>
      <c r="CSM87" s="204"/>
      <c r="CSN87" s="204"/>
      <c r="CSO87" s="204"/>
      <c r="CSP87" s="205"/>
      <c r="CSQ87" s="206"/>
      <c r="CSR87" s="207"/>
      <c r="CSS87" s="207"/>
      <c r="CST87" s="208"/>
      <c r="CSU87" s="209"/>
      <c r="CSV87" s="207"/>
      <c r="CSW87" s="210"/>
      <c r="CSX87" s="209"/>
      <c r="CSY87" s="204"/>
      <c r="CSZ87" s="204"/>
      <c r="CTA87" s="204"/>
      <c r="CTB87" s="199"/>
      <c r="CTC87" s="167"/>
      <c r="CTD87" s="199"/>
      <c r="CTE87" s="200"/>
      <c r="CTF87" s="201"/>
      <c r="CTG87" s="202"/>
      <c r="CTH87" s="202"/>
      <c r="CTI87" s="202"/>
      <c r="CTJ87" s="202"/>
      <c r="CTK87" s="203"/>
      <c r="CTL87" s="204"/>
      <c r="CTM87" s="204"/>
      <c r="CTN87" s="204"/>
      <c r="CTO87" s="205"/>
      <c r="CTP87" s="206"/>
      <c r="CTQ87" s="207"/>
      <c r="CTR87" s="207"/>
      <c r="CTS87" s="208"/>
      <c r="CTT87" s="209"/>
      <c r="CTU87" s="207"/>
      <c r="CTV87" s="210"/>
      <c r="CTW87" s="209"/>
      <c r="CTX87" s="204"/>
      <c r="CTY87" s="204"/>
      <c r="CTZ87" s="204"/>
      <c r="CUA87" s="199"/>
      <c r="CUB87" s="167"/>
      <c r="CUC87" s="199"/>
      <c r="CUD87" s="200"/>
      <c r="CUE87" s="201"/>
      <c r="CUF87" s="202"/>
      <c r="CUG87" s="202"/>
      <c r="CUH87" s="202"/>
      <c r="CUI87" s="202"/>
      <c r="CUJ87" s="203"/>
      <c r="CUK87" s="204"/>
      <c r="CUL87" s="204"/>
      <c r="CUM87" s="204"/>
      <c r="CUN87" s="205"/>
      <c r="CUO87" s="206"/>
      <c r="CUP87" s="207"/>
      <c r="CUQ87" s="207"/>
      <c r="CUR87" s="208"/>
      <c r="CUS87" s="209"/>
      <c r="CUT87" s="207"/>
      <c r="CUU87" s="210"/>
      <c r="CUV87" s="209"/>
      <c r="CUW87" s="204"/>
      <c r="CUX87" s="204"/>
      <c r="CUY87" s="204"/>
      <c r="CUZ87" s="199"/>
      <c r="CVA87" s="167"/>
      <c r="CVB87" s="199"/>
      <c r="CVC87" s="200"/>
      <c r="CVD87" s="201"/>
      <c r="CVE87" s="202"/>
      <c r="CVF87" s="202"/>
      <c r="CVG87" s="202"/>
      <c r="CVH87" s="202"/>
      <c r="CVI87" s="203"/>
      <c r="CVJ87" s="204"/>
      <c r="CVK87" s="204"/>
      <c r="CVL87" s="204"/>
      <c r="CVM87" s="205"/>
      <c r="CVN87" s="206"/>
      <c r="CVO87" s="207"/>
      <c r="CVP87" s="207"/>
      <c r="CVQ87" s="208"/>
      <c r="CVR87" s="209"/>
      <c r="CVS87" s="207"/>
      <c r="CVT87" s="210"/>
      <c r="CVU87" s="209"/>
      <c r="CVV87" s="204"/>
      <c r="CVW87" s="204"/>
      <c r="CVX87" s="204"/>
      <c r="CVY87" s="199"/>
      <c r="CVZ87" s="167"/>
      <c r="CWA87" s="199"/>
      <c r="CWB87" s="200"/>
      <c r="CWC87" s="201"/>
      <c r="CWD87" s="202"/>
      <c r="CWE87" s="202"/>
      <c r="CWF87" s="202"/>
      <c r="CWG87" s="202"/>
      <c r="CWH87" s="203"/>
      <c r="CWI87" s="204"/>
      <c r="CWJ87" s="204"/>
      <c r="CWK87" s="204"/>
      <c r="CWL87" s="205"/>
      <c r="CWM87" s="206"/>
      <c r="CWN87" s="207"/>
      <c r="CWO87" s="207"/>
      <c r="CWP87" s="208"/>
      <c r="CWQ87" s="209"/>
      <c r="CWR87" s="207"/>
      <c r="CWS87" s="210"/>
      <c r="CWT87" s="209"/>
      <c r="CWU87" s="204"/>
      <c r="CWV87" s="204"/>
      <c r="CWW87" s="204"/>
      <c r="CWX87" s="199"/>
      <c r="CWY87" s="167"/>
      <c r="CWZ87" s="199"/>
      <c r="CXA87" s="200"/>
      <c r="CXB87" s="201"/>
      <c r="CXC87" s="202"/>
      <c r="CXD87" s="202"/>
      <c r="CXE87" s="202"/>
      <c r="CXF87" s="202"/>
      <c r="CXG87" s="203"/>
      <c r="CXH87" s="204"/>
      <c r="CXI87" s="204"/>
      <c r="CXJ87" s="204"/>
      <c r="CXK87" s="205"/>
      <c r="CXL87" s="206"/>
      <c r="CXM87" s="207"/>
      <c r="CXN87" s="207"/>
      <c r="CXO87" s="208"/>
      <c r="CXP87" s="209"/>
      <c r="CXQ87" s="207"/>
      <c r="CXR87" s="210"/>
      <c r="CXS87" s="209"/>
      <c r="CXT87" s="204"/>
      <c r="CXU87" s="204"/>
      <c r="CXV87" s="204"/>
      <c r="CXW87" s="199"/>
      <c r="CXX87" s="167"/>
      <c r="CXY87" s="199"/>
      <c r="CXZ87" s="200"/>
      <c r="CYA87" s="201"/>
      <c r="CYB87" s="202"/>
      <c r="CYC87" s="202"/>
      <c r="CYD87" s="202"/>
      <c r="CYE87" s="202"/>
      <c r="CYF87" s="203"/>
      <c r="CYG87" s="204"/>
      <c r="CYH87" s="204"/>
      <c r="CYI87" s="204"/>
      <c r="CYJ87" s="205"/>
      <c r="CYK87" s="206"/>
      <c r="CYL87" s="207"/>
      <c r="CYM87" s="207"/>
      <c r="CYN87" s="208"/>
      <c r="CYO87" s="209"/>
      <c r="CYP87" s="207"/>
      <c r="CYQ87" s="210"/>
      <c r="CYR87" s="209"/>
      <c r="CYS87" s="204"/>
      <c r="CYT87" s="204"/>
      <c r="CYU87" s="204"/>
      <c r="CYV87" s="199"/>
      <c r="CYW87" s="167"/>
      <c r="CYX87" s="199"/>
      <c r="CYY87" s="200"/>
      <c r="CYZ87" s="201"/>
      <c r="CZA87" s="202"/>
      <c r="CZB87" s="202"/>
      <c r="CZC87" s="202"/>
      <c r="CZD87" s="202"/>
      <c r="CZE87" s="203"/>
      <c r="CZF87" s="204"/>
      <c r="CZG87" s="204"/>
      <c r="CZH87" s="204"/>
      <c r="CZI87" s="205"/>
      <c r="CZJ87" s="206"/>
      <c r="CZK87" s="207"/>
      <c r="CZL87" s="207"/>
      <c r="CZM87" s="208"/>
      <c r="CZN87" s="209"/>
      <c r="CZO87" s="207"/>
      <c r="CZP87" s="210"/>
      <c r="CZQ87" s="209"/>
      <c r="CZR87" s="204"/>
      <c r="CZS87" s="204"/>
      <c r="CZT87" s="204"/>
      <c r="CZU87" s="199"/>
      <c r="CZV87" s="167"/>
      <c r="CZW87" s="199"/>
      <c r="CZX87" s="200"/>
      <c r="CZY87" s="201"/>
      <c r="CZZ87" s="202"/>
      <c r="DAA87" s="202"/>
      <c r="DAB87" s="202"/>
      <c r="DAC87" s="202"/>
      <c r="DAD87" s="203"/>
      <c r="DAE87" s="204"/>
      <c r="DAF87" s="204"/>
      <c r="DAG87" s="204"/>
      <c r="DAH87" s="205"/>
      <c r="DAI87" s="206"/>
      <c r="DAJ87" s="207"/>
      <c r="DAK87" s="207"/>
      <c r="DAL87" s="208"/>
      <c r="DAM87" s="209"/>
      <c r="DAN87" s="207"/>
      <c r="DAO87" s="210"/>
      <c r="DAP87" s="209"/>
      <c r="DAQ87" s="204"/>
      <c r="DAR87" s="204"/>
      <c r="DAS87" s="204"/>
      <c r="DAT87" s="199"/>
      <c r="DAU87" s="167"/>
      <c r="DAV87" s="199"/>
      <c r="DAW87" s="200"/>
      <c r="DAX87" s="201"/>
      <c r="DAY87" s="202"/>
      <c r="DAZ87" s="202"/>
      <c r="DBA87" s="202"/>
      <c r="DBB87" s="202"/>
      <c r="DBC87" s="203"/>
      <c r="DBD87" s="204"/>
      <c r="DBE87" s="204"/>
      <c r="DBF87" s="204"/>
      <c r="DBG87" s="205"/>
      <c r="DBH87" s="206"/>
      <c r="DBI87" s="207"/>
      <c r="DBJ87" s="207"/>
      <c r="DBK87" s="208"/>
      <c r="DBL87" s="209"/>
      <c r="DBM87" s="207"/>
      <c r="DBN87" s="210"/>
      <c r="DBO87" s="209"/>
      <c r="DBP87" s="204"/>
      <c r="DBQ87" s="204"/>
      <c r="DBR87" s="204"/>
      <c r="DBS87" s="199"/>
      <c r="DBT87" s="167"/>
      <c r="DBU87" s="199"/>
      <c r="DBV87" s="200"/>
      <c r="DBW87" s="201"/>
      <c r="DBX87" s="202"/>
      <c r="DBY87" s="202"/>
      <c r="DBZ87" s="202"/>
      <c r="DCA87" s="202"/>
      <c r="DCB87" s="203"/>
      <c r="DCC87" s="204"/>
      <c r="DCD87" s="204"/>
      <c r="DCE87" s="204"/>
      <c r="DCF87" s="205"/>
      <c r="DCG87" s="206"/>
      <c r="DCH87" s="207"/>
      <c r="DCI87" s="207"/>
      <c r="DCJ87" s="208"/>
      <c r="DCK87" s="209"/>
      <c r="DCL87" s="207"/>
      <c r="DCM87" s="210"/>
      <c r="DCN87" s="209"/>
      <c r="DCO87" s="204"/>
      <c r="DCP87" s="204"/>
      <c r="DCQ87" s="204"/>
      <c r="DCR87" s="199"/>
      <c r="DCS87" s="167"/>
      <c r="DCT87" s="199"/>
      <c r="DCU87" s="200"/>
      <c r="DCV87" s="201"/>
      <c r="DCW87" s="202"/>
      <c r="DCX87" s="202"/>
      <c r="DCY87" s="202"/>
      <c r="DCZ87" s="202"/>
      <c r="DDA87" s="203"/>
      <c r="DDB87" s="204"/>
      <c r="DDC87" s="204"/>
      <c r="DDD87" s="204"/>
      <c r="DDE87" s="205"/>
      <c r="DDF87" s="206"/>
      <c r="DDG87" s="207"/>
      <c r="DDH87" s="207"/>
      <c r="DDI87" s="208"/>
      <c r="DDJ87" s="209"/>
      <c r="DDK87" s="207"/>
      <c r="DDL87" s="210"/>
      <c r="DDM87" s="209"/>
      <c r="DDN87" s="204"/>
      <c r="DDO87" s="204"/>
      <c r="DDP87" s="204"/>
      <c r="DDQ87" s="199"/>
      <c r="DDR87" s="167"/>
      <c r="DDS87" s="199"/>
      <c r="DDT87" s="200"/>
      <c r="DDU87" s="201"/>
      <c r="DDV87" s="202"/>
      <c r="DDW87" s="202"/>
      <c r="DDX87" s="202"/>
      <c r="DDY87" s="202"/>
      <c r="DDZ87" s="203"/>
      <c r="DEA87" s="204"/>
      <c r="DEB87" s="204"/>
      <c r="DEC87" s="204"/>
      <c r="DED87" s="205"/>
      <c r="DEE87" s="206"/>
      <c r="DEF87" s="207"/>
      <c r="DEG87" s="207"/>
      <c r="DEH87" s="208"/>
      <c r="DEI87" s="209"/>
      <c r="DEJ87" s="207"/>
      <c r="DEK87" s="210"/>
      <c r="DEL87" s="209"/>
      <c r="DEM87" s="204"/>
      <c r="DEN87" s="204"/>
      <c r="DEO87" s="204"/>
      <c r="DEP87" s="199"/>
      <c r="DEQ87" s="167"/>
      <c r="DER87" s="199"/>
      <c r="DES87" s="200"/>
      <c r="DET87" s="201"/>
      <c r="DEU87" s="202"/>
      <c r="DEV87" s="202"/>
      <c r="DEW87" s="202"/>
      <c r="DEX87" s="202"/>
      <c r="DEY87" s="203"/>
      <c r="DEZ87" s="204"/>
      <c r="DFA87" s="204"/>
      <c r="DFB87" s="204"/>
      <c r="DFC87" s="205"/>
      <c r="DFD87" s="206"/>
      <c r="DFE87" s="207"/>
      <c r="DFF87" s="207"/>
      <c r="DFG87" s="208"/>
      <c r="DFH87" s="209"/>
      <c r="DFI87" s="207"/>
      <c r="DFJ87" s="210"/>
      <c r="DFK87" s="209"/>
      <c r="DFL87" s="204"/>
      <c r="DFM87" s="204"/>
      <c r="DFN87" s="204"/>
      <c r="DFO87" s="199"/>
      <c r="DFP87" s="167"/>
      <c r="DFQ87" s="199"/>
      <c r="DFR87" s="200"/>
      <c r="DFS87" s="201"/>
      <c r="DFT87" s="202"/>
      <c r="DFU87" s="202"/>
      <c r="DFV87" s="202"/>
      <c r="DFW87" s="202"/>
      <c r="DFX87" s="203"/>
      <c r="DFY87" s="204"/>
      <c r="DFZ87" s="204"/>
      <c r="DGA87" s="204"/>
      <c r="DGB87" s="205"/>
      <c r="DGC87" s="206"/>
      <c r="DGD87" s="207"/>
      <c r="DGE87" s="207"/>
      <c r="DGF87" s="208"/>
      <c r="DGG87" s="209"/>
      <c r="DGH87" s="207"/>
      <c r="DGI87" s="210"/>
      <c r="DGJ87" s="209"/>
      <c r="DGK87" s="204"/>
      <c r="DGL87" s="204"/>
      <c r="DGM87" s="204"/>
      <c r="DGN87" s="199"/>
      <c r="DGO87" s="167"/>
      <c r="DGP87" s="199"/>
      <c r="DGQ87" s="200"/>
      <c r="DGR87" s="201"/>
      <c r="DGS87" s="202"/>
      <c r="DGT87" s="202"/>
      <c r="DGU87" s="202"/>
      <c r="DGV87" s="202"/>
      <c r="DGW87" s="203"/>
      <c r="DGX87" s="204"/>
      <c r="DGY87" s="204"/>
      <c r="DGZ87" s="204"/>
      <c r="DHA87" s="205"/>
      <c r="DHB87" s="206"/>
      <c r="DHC87" s="207"/>
      <c r="DHD87" s="207"/>
      <c r="DHE87" s="208"/>
      <c r="DHF87" s="209"/>
      <c r="DHG87" s="207"/>
      <c r="DHH87" s="210"/>
      <c r="DHI87" s="209"/>
      <c r="DHJ87" s="204"/>
      <c r="DHK87" s="204"/>
      <c r="DHL87" s="204"/>
      <c r="DHM87" s="199"/>
      <c r="DHN87" s="167"/>
      <c r="DHO87" s="199"/>
      <c r="DHP87" s="200"/>
      <c r="DHQ87" s="201"/>
      <c r="DHR87" s="202"/>
      <c r="DHS87" s="202"/>
      <c r="DHT87" s="202"/>
      <c r="DHU87" s="202"/>
      <c r="DHV87" s="203"/>
      <c r="DHW87" s="204"/>
      <c r="DHX87" s="204"/>
      <c r="DHY87" s="204"/>
      <c r="DHZ87" s="205"/>
      <c r="DIA87" s="206"/>
      <c r="DIB87" s="207"/>
      <c r="DIC87" s="207"/>
      <c r="DID87" s="208"/>
      <c r="DIE87" s="209"/>
      <c r="DIF87" s="207"/>
      <c r="DIG87" s="210"/>
      <c r="DIH87" s="209"/>
      <c r="DII87" s="204"/>
      <c r="DIJ87" s="204"/>
      <c r="DIK87" s="204"/>
      <c r="DIL87" s="199"/>
      <c r="DIM87" s="167"/>
      <c r="DIN87" s="199"/>
      <c r="DIO87" s="200"/>
      <c r="DIP87" s="201"/>
      <c r="DIQ87" s="202"/>
      <c r="DIR87" s="202"/>
      <c r="DIS87" s="202"/>
      <c r="DIT87" s="202"/>
      <c r="DIU87" s="203"/>
      <c r="DIV87" s="204"/>
      <c r="DIW87" s="204"/>
      <c r="DIX87" s="204"/>
      <c r="DIY87" s="205"/>
      <c r="DIZ87" s="206"/>
      <c r="DJA87" s="207"/>
      <c r="DJB87" s="207"/>
      <c r="DJC87" s="208"/>
      <c r="DJD87" s="209"/>
      <c r="DJE87" s="207"/>
      <c r="DJF87" s="210"/>
      <c r="DJG87" s="209"/>
      <c r="DJH87" s="204"/>
      <c r="DJI87" s="204"/>
      <c r="DJJ87" s="204"/>
      <c r="DJK87" s="199"/>
      <c r="DJL87" s="167"/>
      <c r="DJM87" s="199"/>
      <c r="DJN87" s="200"/>
      <c r="DJO87" s="201"/>
      <c r="DJP87" s="202"/>
      <c r="DJQ87" s="202"/>
      <c r="DJR87" s="202"/>
      <c r="DJS87" s="202"/>
      <c r="DJT87" s="203"/>
      <c r="DJU87" s="204"/>
      <c r="DJV87" s="204"/>
      <c r="DJW87" s="204"/>
      <c r="DJX87" s="205"/>
      <c r="DJY87" s="206"/>
      <c r="DJZ87" s="207"/>
      <c r="DKA87" s="207"/>
      <c r="DKB87" s="208"/>
      <c r="DKC87" s="209"/>
      <c r="DKD87" s="207"/>
      <c r="DKE87" s="210"/>
      <c r="DKF87" s="209"/>
      <c r="DKG87" s="204"/>
      <c r="DKH87" s="204"/>
      <c r="DKI87" s="204"/>
      <c r="DKJ87" s="199"/>
      <c r="DKK87" s="167"/>
      <c r="DKL87" s="199"/>
      <c r="DKM87" s="200"/>
      <c r="DKN87" s="201"/>
      <c r="DKO87" s="202"/>
      <c r="DKP87" s="202"/>
      <c r="DKQ87" s="202"/>
      <c r="DKR87" s="202"/>
      <c r="DKS87" s="203"/>
      <c r="DKT87" s="204"/>
      <c r="DKU87" s="204"/>
      <c r="DKV87" s="204"/>
      <c r="DKW87" s="205"/>
      <c r="DKX87" s="206"/>
      <c r="DKY87" s="207"/>
      <c r="DKZ87" s="207"/>
      <c r="DLA87" s="208"/>
      <c r="DLB87" s="209"/>
      <c r="DLC87" s="207"/>
      <c r="DLD87" s="210"/>
      <c r="DLE87" s="209"/>
      <c r="DLF87" s="204"/>
      <c r="DLG87" s="204"/>
      <c r="DLH87" s="204"/>
      <c r="DLI87" s="199"/>
      <c r="DLJ87" s="167"/>
      <c r="DLK87" s="199"/>
      <c r="DLL87" s="200"/>
      <c r="DLM87" s="201"/>
      <c r="DLN87" s="202"/>
      <c r="DLO87" s="202"/>
      <c r="DLP87" s="202"/>
      <c r="DLQ87" s="202"/>
      <c r="DLR87" s="203"/>
      <c r="DLS87" s="204"/>
      <c r="DLT87" s="204"/>
      <c r="DLU87" s="204"/>
      <c r="DLV87" s="205"/>
      <c r="DLW87" s="206"/>
      <c r="DLX87" s="207"/>
      <c r="DLY87" s="207"/>
      <c r="DLZ87" s="208"/>
      <c r="DMA87" s="209"/>
      <c r="DMB87" s="207"/>
      <c r="DMC87" s="210"/>
      <c r="DMD87" s="209"/>
      <c r="DME87" s="204"/>
      <c r="DMF87" s="204"/>
      <c r="DMG87" s="204"/>
      <c r="DMH87" s="199"/>
      <c r="DMI87" s="167"/>
      <c r="DMJ87" s="199"/>
      <c r="DMK87" s="200"/>
      <c r="DML87" s="201"/>
      <c r="DMM87" s="202"/>
      <c r="DMN87" s="202"/>
      <c r="DMO87" s="202"/>
      <c r="DMP87" s="202"/>
      <c r="DMQ87" s="203"/>
      <c r="DMR87" s="204"/>
      <c r="DMS87" s="204"/>
      <c r="DMT87" s="204"/>
      <c r="DMU87" s="205"/>
      <c r="DMV87" s="206"/>
      <c r="DMW87" s="207"/>
      <c r="DMX87" s="207"/>
      <c r="DMY87" s="208"/>
      <c r="DMZ87" s="209"/>
      <c r="DNA87" s="207"/>
      <c r="DNB87" s="210"/>
      <c r="DNC87" s="209"/>
      <c r="DND87" s="204"/>
      <c r="DNE87" s="204"/>
      <c r="DNF87" s="204"/>
      <c r="DNG87" s="199"/>
      <c r="DNH87" s="167"/>
      <c r="DNI87" s="199"/>
      <c r="DNJ87" s="200"/>
      <c r="DNK87" s="201"/>
      <c r="DNL87" s="202"/>
      <c r="DNM87" s="202"/>
      <c r="DNN87" s="202"/>
      <c r="DNO87" s="202"/>
      <c r="DNP87" s="203"/>
      <c r="DNQ87" s="204"/>
      <c r="DNR87" s="204"/>
      <c r="DNS87" s="204"/>
      <c r="DNT87" s="205"/>
      <c r="DNU87" s="206"/>
      <c r="DNV87" s="207"/>
      <c r="DNW87" s="207"/>
      <c r="DNX87" s="208"/>
      <c r="DNY87" s="209"/>
      <c r="DNZ87" s="207"/>
      <c r="DOA87" s="210"/>
      <c r="DOB87" s="209"/>
      <c r="DOC87" s="204"/>
      <c r="DOD87" s="204"/>
      <c r="DOE87" s="204"/>
      <c r="DOF87" s="199"/>
      <c r="DOG87" s="167"/>
      <c r="DOH87" s="199"/>
      <c r="DOI87" s="200"/>
      <c r="DOJ87" s="201"/>
      <c r="DOK87" s="202"/>
      <c r="DOL87" s="202"/>
      <c r="DOM87" s="202"/>
      <c r="DON87" s="202"/>
      <c r="DOO87" s="203"/>
      <c r="DOP87" s="204"/>
      <c r="DOQ87" s="204"/>
      <c r="DOR87" s="204"/>
      <c r="DOS87" s="205"/>
      <c r="DOT87" s="206"/>
      <c r="DOU87" s="207"/>
      <c r="DOV87" s="207"/>
      <c r="DOW87" s="208"/>
      <c r="DOX87" s="209"/>
      <c r="DOY87" s="207"/>
      <c r="DOZ87" s="210"/>
      <c r="DPA87" s="209"/>
      <c r="DPB87" s="204"/>
      <c r="DPC87" s="204"/>
      <c r="DPD87" s="204"/>
      <c r="DPE87" s="199"/>
      <c r="DPF87" s="167"/>
      <c r="DPG87" s="199"/>
      <c r="DPH87" s="200"/>
      <c r="DPI87" s="201"/>
      <c r="DPJ87" s="202"/>
      <c r="DPK87" s="202"/>
      <c r="DPL87" s="202"/>
      <c r="DPM87" s="202"/>
      <c r="DPN87" s="203"/>
      <c r="DPO87" s="204"/>
      <c r="DPP87" s="204"/>
      <c r="DPQ87" s="204"/>
      <c r="DPR87" s="205"/>
      <c r="DPS87" s="206"/>
      <c r="DPT87" s="207"/>
      <c r="DPU87" s="207"/>
      <c r="DPV87" s="208"/>
      <c r="DPW87" s="209"/>
      <c r="DPX87" s="207"/>
      <c r="DPY87" s="210"/>
      <c r="DPZ87" s="209"/>
      <c r="DQA87" s="204"/>
      <c r="DQB87" s="204"/>
      <c r="DQC87" s="204"/>
      <c r="DQD87" s="199"/>
      <c r="DQE87" s="167"/>
      <c r="DQF87" s="199"/>
      <c r="DQG87" s="200"/>
      <c r="DQH87" s="201"/>
      <c r="DQI87" s="202"/>
      <c r="DQJ87" s="202"/>
      <c r="DQK87" s="202"/>
      <c r="DQL87" s="202"/>
      <c r="DQM87" s="203"/>
      <c r="DQN87" s="204"/>
      <c r="DQO87" s="204"/>
      <c r="DQP87" s="204"/>
      <c r="DQQ87" s="205"/>
      <c r="DQR87" s="206"/>
      <c r="DQS87" s="207"/>
      <c r="DQT87" s="207"/>
      <c r="DQU87" s="208"/>
      <c r="DQV87" s="209"/>
      <c r="DQW87" s="207"/>
      <c r="DQX87" s="210"/>
      <c r="DQY87" s="209"/>
      <c r="DQZ87" s="204"/>
      <c r="DRA87" s="204"/>
      <c r="DRB87" s="204"/>
      <c r="DRC87" s="199"/>
      <c r="DRD87" s="167"/>
      <c r="DRE87" s="199"/>
      <c r="DRF87" s="200"/>
      <c r="DRG87" s="201"/>
      <c r="DRH87" s="202"/>
      <c r="DRI87" s="202"/>
      <c r="DRJ87" s="202"/>
      <c r="DRK87" s="202"/>
      <c r="DRL87" s="203"/>
      <c r="DRM87" s="204"/>
      <c r="DRN87" s="204"/>
      <c r="DRO87" s="204"/>
      <c r="DRP87" s="205"/>
      <c r="DRQ87" s="206"/>
      <c r="DRR87" s="207"/>
      <c r="DRS87" s="207"/>
      <c r="DRT87" s="208"/>
      <c r="DRU87" s="209"/>
      <c r="DRV87" s="207"/>
      <c r="DRW87" s="210"/>
      <c r="DRX87" s="209"/>
      <c r="DRY87" s="204"/>
      <c r="DRZ87" s="204"/>
      <c r="DSA87" s="204"/>
      <c r="DSB87" s="199"/>
      <c r="DSC87" s="167"/>
      <c r="DSD87" s="199"/>
      <c r="DSE87" s="200"/>
      <c r="DSF87" s="201"/>
      <c r="DSG87" s="202"/>
      <c r="DSH87" s="202"/>
      <c r="DSI87" s="202"/>
      <c r="DSJ87" s="202"/>
      <c r="DSK87" s="203"/>
      <c r="DSL87" s="204"/>
      <c r="DSM87" s="204"/>
      <c r="DSN87" s="204"/>
      <c r="DSO87" s="205"/>
      <c r="DSP87" s="206"/>
      <c r="DSQ87" s="207"/>
      <c r="DSR87" s="207"/>
      <c r="DSS87" s="208"/>
      <c r="DST87" s="209"/>
      <c r="DSU87" s="207"/>
      <c r="DSV87" s="210"/>
      <c r="DSW87" s="209"/>
      <c r="DSX87" s="204"/>
      <c r="DSY87" s="204"/>
      <c r="DSZ87" s="204"/>
      <c r="DTA87" s="199"/>
      <c r="DTB87" s="167"/>
      <c r="DTC87" s="199"/>
      <c r="DTD87" s="200"/>
      <c r="DTE87" s="201"/>
      <c r="DTF87" s="202"/>
      <c r="DTG87" s="202"/>
      <c r="DTH87" s="202"/>
      <c r="DTI87" s="202"/>
      <c r="DTJ87" s="203"/>
      <c r="DTK87" s="204"/>
      <c r="DTL87" s="204"/>
      <c r="DTM87" s="204"/>
      <c r="DTN87" s="205"/>
      <c r="DTO87" s="206"/>
      <c r="DTP87" s="207"/>
      <c r="DTQ87" s="207"/>
      <c r="DTR87" s="208"/>
      <c r="DTS87" s="209"/>
      <c r="DTT87" s="207"/>
      <c r="DTU87" s="210"/>
      <c r="DTV87" s="209"/>
      <c r="DTW87" s="204"/>
      <c r="DTX87" s="204"/>
      <c r="DTY87" s="204"/>
      <c r="DTZ87" s="199"/>
      <c r="DUA87" s="167"/>
      <c r="DUB87" s="199"/>
      <c r="DUC87" s="200"/>
      <c r="DUD87" s="201"/>
      <c r="DUE87" s="202"/>
      <c r="DUF87" s="202"/>
      <c r="DUG87" s="202"/>
      <c r="DUH87" s="202"/>
      <c r="DUI87" s="203"/>
      <c r="DUJ87" s="204"/>
      <c r="DUK87" s="204"/>
      <c r="DUL87" s="204"/>
      <c r="DUM87" s="205"/>
      <c r="DUN87" s="206"/>
      <c r="DUO87" s="207"/>
      <c r="DUP87" s="207"/>
      <c r="DUQ87" s="208"/>
      <c r="DUR87" s="209"/>
      <c r="DUS87" s="207"/>
      <c r="DUT87" s="210"/>
      <c r="DUU87" s="209"/>
      <c r="DUV87" s="204"/>
      <c r="DUW87" s="204"/>
      <c r="DUX87" s="204"/>
      <c r="DUY87" s="199"/>
      <c r="DUZ87" s="167"/>
      <c r="DVA87" s="199"/>
      <c r="DVB87" s="200"/>
      <c r="DVC87" s="201"/>
      <c r="DVD87" s="202"/>
      <c r="DVE87" s="202"/>
      <c r="DVF87" s="202"/>
      <c r="DVG87" s="202"/>
      <c r="DVH87" s="203"/>
      <c r="DVI87" s="204"/>
      <c r="DVJ87" s="204"/>
      <c r="DVK87" s="204"/>
      <c r="DVL87" s="205"/>
      <c r="DVM87" s="206"/>
      <c r="DVN87" s="207"/>
      <c r="DVO87" s="207"/>
      <c r="DVP87" s="208"/>
      <c r="DVQ87" s="209"/>
      <c r="DVR87" s="207"/>
      <c r="DVS87" s="210"/>
      <c r="DVT87" s="209"/>
      <c r="DVU87" s="204"/>
      <c r="DVV87" s="204"/>
      <c r="DVW87" s="204"/>
      <c r="DVX87" s="199"/>
      <c r="DVY87" s="167"/>
      <c r="DVZ87" s="199"/>
      <c r="DWA87" s="200"/>
      <c r="DWB87" s="201"/>
      <c r="DWC87" s="202"/>
      <c r="DWD87" s="202"/>
      <c r="DWE87" s="202"/>
      <c r="DWF87" s="202"/>
      <c r="DWG87" s="203"/>
      <c r="DWH87" s="204"/>
      <c r="DWI87" s="204"/>
      <c r="DWJ87" s="204"/>
      <c r="DWK87" s="205"/>
      <c r="DWL87" s="206"/>
      <c r="DWM87" s="207"/>
      <c r="DWN87" s="207"/>
      <c r="DWO87" s="208"/>
      <c r="DWP87" s="209"/>
      <c r="DWQ87" s="207"/>
      <c r="DWR87" s="210"/>
      <c r="DWS87" s="209"/>
      <c r="DWT87" s="204"/>
      <c r="DWU87" s="204"/>
      <c r="DWV87" s="204"/>
      <c r="DWW87" s="199"/>
      <c r="DWX87" s="167"/>
      <c r="DWY87" s="199"/>
      <c r="DWZ87" s="200"/>
      <c r="DXA87" s="201"/>
      <c r="DXB87" s="202"/>
      <c r="DXC87" s="202"/>
      <c r="DXD87" s="202"/>
      <c r="DXE87" s="202"/>
      <c r="DXF87" s="203"/>
      <c r="DXG87" s="204"/>
      <c r="DXH87" s="204"/>
      <c r="DXI87" s="204"/>
      <c r="DXJ87" s="205"/>
      <c r="DXK87" s="206"/>
      <c r="DXL87" s="207"/>
      <c r="DXM87" s="207"/>
      <c r="DXN87" s="208"/>
      <c r="DXO87" s="209"/>
      <c r="DXP87" s="207"/>
      <c r="DXQ87" s="210"/>
      <c r="DXR87" s="209"/>
      <c r="DXS87" s="204"/>
      <c r="DXT87" s="204"/>
      <c r="DXU87" s="204"/>
      <c r="DXV87" s="199"/>
      <c r="DXW87" s="167"/>
      <c r="DXX87" s="199"/>
      <c r="DXY87" s="200"/>
      <c r="DXZ87" s="201"/>
      <c r="DYA87" s="202"/>
      <c r="DYB87" s="202"/>
      <c r="DYC87" s="202"/>
      <c r="DYD87" s="202"/>
      <c r="DYE87" s="203"/>
      <c r="DYF87" s="204"/>
      <c r="DYG87" s="204"/>
      <c r="DYH87" s="204"/>
      <c r="DYI87" s="205"/>
      <c r="DYJ87" s="206"/>
      <c r="DYK87" s="207"/>
      <c r="DYL87" s="207"/>
      <c r="DYM87" s="208"/>
      <c r="DYN87" s="209"/>
      <c r="DYO87" s="207"/>
      <c r="DYP87" s="210"/>
      <c r="DYQ87" s="209"/>
      <c r="DYR87" s="204"/>
      <c r="DYS87" s="204"/>
      <c r="DYT87" s="204"/>
      <c r="DYU87" s="199"/>
      <c r="DYV87" s="167"/>
      <c r="DYW87" s="199"/>
      <c r="DYX87" s="200"/>
      <c r="DYY87" s="201"/>
      <c r="DYZ87" s="202"/>
      <c r="DZA87" s="202"/>
      <c r="DZB87" s="202"/>
      <c r="DZC87" s="202"/>
      <c r="DZD87" s="203"/>
      <c r="DZE87" s="204"/>
      <c r="DZF87" s="204"/>
      <c r="DZG87" s="204"/>
      <c r="DZH87" s="205"/>
      <c r="DZI87" s="206"/>
      <c r="DZJ87" s="207"/>
      <c r="DZK87" s="207"/>
      <c r="DZL87" s="208"/>
      <c r="DZM87" s="209"/>
      <c r="DZN87" s="207"/>
      <c r="DZO87" s="210"/>
      <c r="DZP87" s="209"/>
      <c r="DZQ87" s="204"/>
      <c r="DZR87" s="204"/>
      <c r="DZS87" s="204"/>
      <c r="DZT87" s="199"/>
      <c r="DZU87" s="167"/>
      <c r="DZV87" s="199"/>
      <c r="DZW87" s="200"/>
      <c r="DZX87" s="201"/>
      <c r="DZY87" s="202"/>
      <c r="DZZ87" s="202"/>
      <c r="EAA87" s="202"/>
      <c r="EAB87" s="202"/>
      <c r="EAC87" s="203"/>
      <c r="EAD87" s="204"/>
      <c r="EAE87" s="204"/>
      <c r="EAF87" s="204"/>
      <c r="EAG87" s="205"/>
      <c r="EAH87" s="206"/>
      <c r="EAI87" s="207"/>
      <c r="EAJ87" s="207"/>
      <c r="EAK87" s="208"/>
      <c r="EAL87" s="209"/>
      <c r="EAM87" s="207"/>
      <c r="EAN87" s="210"/>
      <c r="EAO87" s="209"/>
      <c r="EAP87" s="204"/>
      <c r="EAQ87" s="204"/>
      <c r="EAR87" s="204"/>
      <c r="EAS87" s="199"/>
      <c r="EAT87" s="167"/>
      <c r="EAU87" s="199"/>
      <c r="EAV87" s="200"/>
      <c r="EAW87" s="201"/>
      <c r="EAX87" s="202"/>
      <c r="EAY87" s="202"/>
      <c r="EAZ87" s="202"/>
      <c r="EBA87" s="202"/>
      <c r="EBB87" s="203"/>
      <c r="EBC87" s="204"/>
      <c r="EBD87" s="204"/>
      <c r="EBE87" s="204"/>
      <c r="EBF87" s="205"/>
      <c r="EBG87" s="206"/>
      <c r="EBH87" s="207"/>
      <c r="EBI87" s="207"/>
      <c r="EBJ87" s="208"/>
      <c r="EBK87" s="209"/>
      <c r="EBL87" s="207"/>
      <c r="EBM87" s="210"/>
      <c r="EBN87" s="209"/>
      <c r="EBO87" s="204"/>
      <c r="EBP87" s="204"/>
      <c r="EBQ87" s="204"/>
      <c r="EBR87" s="199"/>
      <c r="EBS87" s="167"/>
      <c r="EBT87" s="199"/>
      <c r="EBU87" s="200"/>
      <c r="EBV87" s="201"/>
      <c r="EBW87" s="202"/>
      <c r="EBX87" s="202"/>
      <c r="EBY87" s="202"/>
      <c r="EBZ87" s="202"/>
      <c r="ECA87" s="203"/>
      <c r="ECB87" s="204"/>
      <c r="ECC87" s="204"/>
      <c r="ECD87" s="204"/>
      <c r="ECE87" s="205"/>
      <c r="ECF87" s="206"/>
      <c r="ECG87" s="207"/>
      <c r="ECH87" s="207"/>
      <c r="ECI87" s="208"/>
      <c r="ECJ87" s="209"/>
      <c r="ECK87" s="207"/>
      <c r="ECL87" s="210"/>
      <c r="ECM87" s="209"/>
      <c r="ECN87" s="204"/>
      <c r="ECO87" s="204"/>
      <c r="ECP87" s="204"/>
      <c r="ECQ87" s="199"/>
      <c r="ECR87" s="167"/>
      <c r="ECS87" s="199"/>
      <c r="ECT87" s="200"/>
      <c r="ECU87" s="201"/>
      <c r="ECV87" s="202"/>
      <c r="ECW87" s="202"/>
      <c r="ECX87" s="202"/>
      <c r="ECY87" s="202"/>
      <c r="ECZ87" s="203"/>
      <c r="EDA87" s="204"/>
      <c r="EDB87" s="204"/>
      <c r="EDC87" s="204"/>
      <c r="EDD87" s="205"/>
      <c r="EDE87" s="206"/>
      <c r="EDF87" s="207"/>
      <c r="EDG87" s="207"/>
      <c r="EDH87" s="208"/>
      <c r="EDI87" s="209"/>
      <c r="EDJ87" s="207"/>
      <c r="EDK87" s="210"/>
      <c r="EDL87" s="209"/>
      <c r="EDM87" s="204"/>
      <c r="EDN87" s="204"/>
      <c r="EDO87" s="204"/>
      <c r="EDP87" s="199"/>
      <c r="EDQ87" s="167"/>
      <c r="EDR87" s="199"/>
      <c r="EDS87" s="200"/>
      <c r="EDT87" s="201"/>
      <c r="EDU87" s="202"/>
      <c r="EDV87" s="202"/>
      <c r="EDW87" s="202"/>
      <c r="EDX87" s="202"/>
      <c r="EDY87" s="203"/>
      <c r="EDZ87" s="204"/>
      <c r="EEA87" s="204"/>
      <c r="EEB87" s="204"/>
      <c r="EEC87" s="205"/>
      <c r="EED87" s="206"/>
      <c r="EEE87" s="207"/>
      <c r="EEF87" s="207"/>
      <c r="EEG87" s="208"/>
      <c r="EEH87" s="209"/>
      <c r="EEI87" s="207"/>
      <c r="EEJ87" s="210"/>
      <c r="EEK87" s="209"/>
      <c r="EEL87" s="204"/>
      <c r="EEM87" s="204"/>
      <c r="EEN87" s="204"/>
      <c r="EEO87" s="199"/>
      <c r="EEP87" s="167"/>
      <c r="EEQ87" s="199"/>
      <c r="EER87" s="200"/>
      <c r="EES87" s="201"/>
      <c r="EET87" s="202"/>
      <c r="EEU87" s="202"/>
      <c r="EEV87" s="202"/>
      <c r="EEW87" s="202"/>
      <c r="EEX87" s="203"/>
      <c r="EEY87" s="204"/>
      <c r="EEZ87" s="204"/>
      <c r="EFA87" s="204"/>
      <c r="EFB87" s="205"/>
      <c r="EFC87" s="206"/>
      <c r="EFD87" s="207"/>
      <c r="EFE87" s="207"/>
      <c r="EFF87" s="208"/>
      <c r="EFG87" s="209"/>
      <c r="EFH87" s="207"/>
      <c r="EFI87" s="210"/>
      <c r="EFJ87" s="209"/>
      <c r="EFK87" s="204"/>
      <c r="EFL87" s="204"/>
      <c r="EFM87" s="204"/>
      <c r="EFN87" s="199"/>
      <c r="EFO87" s="167"/>
      <c r="EFP87" s="199"/>
      <c r="EFQ87" s="200"/>
      <c r="EFR87" s="201"/>
      <c r="EFS87" s="202"/>
      <c r="EFT87" s="202"/>
      <c r="EFU87" s="202"/>
      <c r="EFV87" s="202"/>
      <c r="EFW87" s="203"/>
      <c r="EFX87" s="204"/>
      <c r="EFY87" s="204"/>
      <c r="EFZ87" s="204"/>
      <c r="EGA87" s="205"/>
      <c r="EGB87" s="206"/>
      <c r="EGC87" s="207"/>
      <c r="EGD87" s="207"/>
      <c r="EGE87" s="208"/>
      <c r="EGF87" s="209"/>
      <c r="EGG87" s="207"/>
      <c r="EGH87" s="210"/>
      <c r="EGI87" s="209"/>
      <c r="EGJ87" s="204"/>
      <c r="EGK87" s="204"/>
      <c r="EGL87" s="204"/>
      <c r="EGM87" s="199"/>
      <c r="EGN87" s="167"/>
      <c r="EGO87" s="199"/>
      <c r="EGP87" s="200"/>
      <c r="EGQ87" s="201"/>
      <c r="EGR87" s="202"/>
      <c r="EGS87" s="202"/>
      <c r="EGT87" s="202"/>
      <c r="EGU87" s="202"/>
      <c r="EGV87" s="203"/>
      <c r="EGW87" s="204"/>
      <c r="EGX87" s="204"/>
      <c r="EGY87" s="204"/>
      <c r="EGZ87" s="205"/>
      <c r="EHA87" s="206"/>
      <c r="EHB87" s="207"/>
      <c r="EHC87" s="207"/>
      <c r="EHD87" s="208"/>
      <c r="EHE87" s="209"/>
      <c r="EHF87" s="207"/>
      <c r="EHG87" s="210"/>
      <c r="EHH87" s="209"/>
      <c r="EHI87" s="204"/>
      <c r="EHJ87" s="204"/>
      <c r="EHK87" s="204"/>
      <c r="EHL87" s="199"/>
      <c r="EHM87" s="167"/>
      <c r="EHN87" s="199"/>
      <c r="EHO87" s="200"/>
      <c r="EHP87" s="201"/>
      <c r="EHQ87" s="202"/>
      <c r="EHR87" s="202"/>
      <c r="EHS87" s="202"/>
      <c r="EHT87" s="202"/>
      <c r="EHU87" s="203"/>
      <c r="EHV87" s="204"/>
      <c r="EHW87" s="204"/>
      <c r="EHX87" s="204"/>
      <c r="EHY87" s="205"/>
      <c r="EHZ87" s="206"/>
      <c r="EIA87" s="207"/>
      <c r="EIB87" s="207"/>
      <c r="EIC87" s="208"/>
      <c r="EID87" s="209"/>
      <c r="EIE87" s="207"/>
      <c r="EIF87" s="210"/>
      <c r="EIG87" s="209"/>
      <c r="EIH87" s="204"/>
      <c r="EII87" s="204"/>
      <c r="EIJ87" s="204"/>
      <c r="EIK87" s="199"/>
      <c r="EIL87" s="167"/>
      <c r="EIM87" s="199"/>
      <c r="EIN87" s="200"/>
      <c r="EIO87" s="201"/>
      <c r="EIP87" s="202"/>
      <c r="EIQ87" s="202"/>
      <c r="EIR87" s="202"/>
      <c r="EIS87" s="202"/>
      <c r="EIT87" s="203"/>
      <c r="EIU87" s="204"/>
      <c r="EIV87" s="204"/>
      <c r="EIW87" s="204"/>
      <c r="EIX87" s="205"/>
      <c r="EIY87" s="206"/>
      <c r="EIZ87" s="207"/>
      <c r="EJA87" s="207"/>
      <c r="EJB87" s="208"/>
      <c r="EJC87" s="209"/>
      <c r="EJD87" s="207"/>
      <c r="EJE87" s="210"/>
      <c r="EJF87" s="209"/>
      <c r="EJG87" s="204"/>
      <c r="EJH87" s="204"/>
      <c r="EJI87" s="204"/>
      <c r="EJJ87" s="199"/>
      <c r="EJK87" s="167"/>
      <c r="EJL87" s="199"/>
      <c r="EJM87" s="200"/>
      <c r="EJN87" s="201"/>
      <c r="EJO87" s="202"/>
      <c r="EJP87" s="202"/>
      <c r="EJQ87" s="202"/>
      <c r="EJR87" s="202"/>
      <c r="EJS87" s="203"/>
      <c r="EJT87" s="204"/>
      <c r="EJU87" s="204"/>
      <c r="EJV87" s="204"/>
      <c r="EJW87" s="205"/>
      <c r="EJX87" s="206"/>
      <c r="EJY87" s="207"/>
      <c r="EJZ87" s="207"/>
      <c r="EKA87" s="208"/>
      <c r="EKB87" s="209"/>
      <c r="EKC87" s="207"/>
      <c r="EKD87" s="210"/>
      <c r="EKE87" s="209"/>
      <c r="EKF87" s="204"/>
      <c r="EKG87" s="204"/>
      <c r="EKH87" s="204"/>
      <c r="EKI87" s="199"/>
      <c r="EKJ87" s="167"/>
      <c r="EKK87" s="199"/>
      <c r="EKL87" s="200"/>
      <c r="EKM87" s="201"/>
      <c r="EKN87" s="202"/>
      <c r="EKO87" s="202"/>
      <c r="EKP87" s="202"/>
      <c r="EKQ87" s="202"/>
      <c r="EKR87" s="203"/>
      <c r="EKS87" s="204"/>
      <c r="EKT87" s="204"/>
      <c r="EKU87" s="204"/>
      <c r="EKV87" s="205"/>
      <c r="EKW87" s="206"/>
      <c r="EKX87" s="207"/>
      <c r="EKY87" s="207"/>
      <c r="EKZ87" s="208"/>
      <c r="ELA87" s="209"/>
      <c r="ELB87" s="207"/>
      <c r="ELC87" s="210"/>
      <c r="ELD87" s="209"/>
      <c r="ELE87" s="204"/>
      <c r="ELF87" s="204"/>
      <c r="ELG87" s="204"/>
      <c r="ELH87" s="199"/>
      <c r="ELI87" s="167"/>
      <c r="ELJ87" s="199"/>
      <c r="ELK87" s="200"/>
      <c r="ELL87" s="201"/>
      <c r="ELM87" s="202"/>
      <c r="ELN87" s="202"/>
      <c r="ELO87" s="202"/>
      <c r="ELP87" s="202"/>
      <c r="ELQ87" s="203"/>
      <c r="ELR87" s="204"/>
      <c r="ELS87" s="204"/>
      <c r="ELT87" s="204"/>
      <c r="ELU87" s="205"/>
      <c r="ELV87" s="206"/>
      <c r="ELW87" s="207"/>
      <c r="ELX87" s="207"/>
      <c r="ELY87" s="208"/>
      <c r="ELZ87" s="209"/>
      <c r="EMA87" s="207"/>
      <c r="EMB87" s="210"/>
      <c r="EMC87" s="209"/>
      <c r="EMD87" s="204"/>
      <c r="EME87" s="204"/>
      <c r="EMF87" s="204"/>
      <c r="EMG87" s="199"/>
      <c r="EMH87" s="167"/>
      <c r="EMI87" s="199"/>
      <c r="EMJ87" s="200"/>
      <c r="EMK87" s="201"/>
      <c r="EML87" s="202"/>
      <c r="EMM87" s="202"/>
      <c r="EMN87" s="202"/>
      <c r="EMO87" s="202"/>
      <c r="EMP87" s="203"/>
      <c r="EMQ87" s="204"/>
      <c r="EMR87" s="204"/>
      <c r="EMS87" s="204"/>
      <c r="EMT87" s="205"/>
      <c r="EMU87" s="206"/>
      <c r="EMV87" s="207"/>
      <c r="EMW87" s="207"/>
      <c r="EMX87" s="208"/>
      <c r="EMY87" s="209"/>
      <c r="EMZ87" s="207"/>
      <c r="ENA87" s="210"/>
      <c r="ENB87" s="209"/>
      <c r="ENC87" s="204"/>
      <c r="END87" s="204"/>
      <c r="ENE87" s="204"/>
      <c r="ENF87" s="199"/>
      <c r="ENG87" s="167"/>
      <c r="ENH87" s="199"/>
      <c r="ENI87" s="200"/>
      <c r="ENJ87" s="201"/>
      <c r="ENK87" s="202"/>
      <c r="ENL87" s="202"/>
      <c r="ENM87" s="202"/>
      <c r="ENN87" s="202"/>
      <c r="ENO87" s="203"/>
      <c r="ENP87" s="204"/>
      <c r="ENQ87" s="204"/>
      <c r="ENR87" s="204"/>
      <c r="ENS87" s="205"/>
      <c r="ENT87" s="206"/>
      <c r="ENU87" s="207"/>
      <c r="ENV87" s="207"/>
      <c r="ENW87" s="208"/>
      <c r="ENX87" s="209"/>
      <c r="ENY87" s="207"/>
      <c r="ENZ87" s="210"/>
      <c r="EOA87" s="209"/>
      <c r="EOB87" s="204"/>
      <c r="EOC87" s="204"/>
      <c r="EOD87" s="204"/>
      <c r="EOE87" s="199"/>
      <c r="EOF87" s="167"/>
      <c r="EOG87" s="199"/>
      <c r="EOH87" s="200"/>
      <c r="EOI87" s="201"/>
      <c r="EOJ87" s="202"/>
      <c r="EOK87" s="202"/>
      <c r="EOL87" s="202"/>
      <c r="EOM87" s="202"/>
      <c r="EON87" s="203"/>
      <c r="EOO87" s="204"/>
      <c r="EOP87" s="204"/>
      <c r="EOQ87" s="204"/>
      <c r="EOR87" s="205"/>
      <c r="EOS87" s="206"/>
      <c r="EOT87" s="207"/>
      <c r="EOU87" s="207"/>
      <c r="EOV87" s="208"/>
      <c r="EOW87" s="209"/>
      <c r="EOX87" s="207"/>
      <c r="EOY87" s="210"/>
      <c r="EOZ87" s="209"/>
      <c r="EPA87" s="204"/>
      <c r="EPB87" s="204"/>
      <c r="EPC87" s="204"/>
      <c r="EPD87" s="199"/>
      <c r="EPE87" s="167"/>
      <c r="EPF87" s="199"/>
      <c r="EPG87" s="200"/>
      <c r="EPH87" s="201"/>
      <c r="EPI87" s="202"/>
      <c r="EPJ87" s="202"/>
      <c r="EPK87" s="202"/>
      <c r="EPL87" s="202"/>
      <c r="EPM87" s="203"/>
      <c r="EPN87" s="204"/>
      <c r="EPO87" s="204"/>
      <c r="EPP87" s="204"/>
      <c r="EPQ87" s="205"/>
      <c r="EPR87" s="206"/>
      <c r="EPS87" s="207"/>
      <c r="EPT87" s="207"/>
      <c r="EPU87" s="208"/>
      <c r="EPV87" s="209"/>
      <c r="EPW87" s="207"/>
      <c r="EPX87" s="210"/>
      <c r="EPY87" s="209"/>
      <c r="EPZ87" s="204"/>
      <c r="EQA87" s="204"/>
      <c r="EQB87" s="204"/>
      <c r="EQC87" s="199"/>
      <c r="EQD87" s="167"/>
      <c r="EQE87" s="199"/>
      <c r="EQF87" s="200"/>
      <c r="EQG87" s="201"/>
      <c r="EQH87" s="202"/>
      <c r="EQI87" s="202"/>
      <c r="EQJ87" s="202"/>
      <c r="EQK87" s="202"/>
      <c r="EQL87" s="203"/>
      <c r="EQM87" s="204"/>
      <c r="EQN87" s="204"/>
      <c r="EQO87" s="204"/>
      <c r="EQP87" s="205"/>
      <c r="EQQ87" s="206"/>
      <c r="EQR87" s="207"/>
      <c r="EQS87" s="207"/>
      <c r="EQT87" s="208"/>
      <c r="EQU87" s="209"/>
      <c r="EQV87" s="207"/>
      <c r="EQW87" s="210"/>
      <c r="EQX87" s="209"/>
      <c r="EQY87" s="204"/>
      <c r="EQZ87" s="204"/>
      <c r="ERA87" s="204"/>
      <c r="ERB87" s="199"/>
      <c r="ERC87" s="167"/>
      <c r="ERD87" s="199"/>
      <c r="ERE87" s="200"/>
      <c r="ERF87" s="201"/>
      <c r="ERG87" s="202"/>
      <c r="ERH87" s="202"/>
      <c r="ERI87" s="202"/>
      <c r="ERJ87" s="202"/>
      <c r="ERK87" s="203"/>
      <c r="ERL87" s="204"/>
      <c r="ERM87" s="204"/>
      <c r="ERN87" s="204"/>
      <c r="ERO87" s="205"/>
      <c r="ERP87" s="206"/>
      <c r="ERQ87" s="207"/>
      <c r="ERR87" s="207"/>
      <c r="ERS87" s="208"/>
      <c r="ERT87" s="209"/>
      <c r="ERU87" s="207"/>
      <c r="ERV87" s="210"/>
      <c r="ERW87" s="209"/>
      <c r="ERX87" s="204"/>
      <c r="ERY87" s="204"/>
      <c r="ERZ87" s="204"/>
      <c r="ESA87" s="199"/>
      <c r="ESB87" s="167"/>
      <c r="ESC87" s="199"/>
      <c r="ESD87" s="200"/>
      <c r="ESE87" s="201"/>
      <c r="ESF87" s="202"/>
      <c r="ESG87" s="202"/>
      <c r="ESH87" s="202"/>
      <c r="ESI87" s="202"/>
      <c r="ESJ87" s="203"/>
      <c r="ESK87" s="204"/>
      <c r="ESL87" s="204"/>
      <c r="ESM87" s="204"/>
      <c r="ESN87" s="205"/>
      <c r="ESO87" s="206"/>
      <c r="ESP87" s="207"/>
      <c r="ESQ87" s="207"/>
      <c r="ESR87" s="208"/>
      <c r="ESS87" s="209"/>
      <c r="EST87" s="207"/>
      <c r="ESU87" s="210"/>
      <c r="ESV87" s="209"/>
      <c r="ESW87" s="204"/>
      <c r="ESX87" s="204"/>
      <c r="ESY87" s="204"/>
      <c r="ESZ87" s="199"/>
      <c r="ETA87" s="167"/>
      <c r="ETB87" s="199"/>
      <c r="ETC87" s="200"/>
      <c r="ETD87" s="201"/>
      <c r="ETE87" s="202"/>
      <c r="ETF87" s="202"/>
      <c r="ETG87" s="202"/>
      <c r="ETH87" s="202"/>
      <c r="ETI87" s="203"/>
      <c r="ETJ87" s="204"/>
      <c r="ETK87" s="204"/>
      <c r="ETL87" s="204"/>
      <c r="ETM87" s="205"/>
      <c r="ETN87" s="206"/>
      <c r="ETO87" s="207"/>
      <c r="ETP87" s="207"/>
      <c r="ETQ87" s="208"/>
      <c r="ETR87" s="209"/>
      <c r="ETS87" s="207"/>
      <c r="ETT87" s="210"/>
      <c r="ETU87" s="209"/>
      <c r="ETV87" s="204"/>
      <c r="ETW87" s="204"/>
      <c r="ETX87" s="204"/>
      <c r="ETY87" s="199"/>
      <c r="ETZ87" s="167"/>
      <c r="EUA87" s="199"/>
      <c r="EUB87" s="200"/>
      <c r="EUC87" s="201"/>
      <c r="EUD87" s="202"/>
      <c r="EUE87" s="202"/>
      <c r="EUF87" s="202"/>
      <c r="EUG87" s="202"/>
      <c r="EUH87" s="203"/>
      <c r="EUI87" s="204"/>
      <c r="EUJ87" s="204"/>
      <c r="EUK87" s="204"/>
      <c r="EUL87" s="205"/>
      <c r="EUM87" s="206"/>
      <c r="EUN87" s="207"/>
      <c r="EUO87" s="207"/>
      <c r="EUP87" s="208"/>
      <c r="EUQ87" s="209"/>
      <c r="EUR87" s="207"/>
      <c r="EUS87" s="210"/>
      <c r="EUT87" s="209"/>
      <c r="EUU87" s="204"/>
      <c r="EUV87" s="204"/>
      <c r="EUW87" s="204"/>
      <c r="EUX87" s="199"/>
      <c r="EUY87" s="167"/>
      <c r="EUZ87" s="199"/>
      <c r="EVA87" s="200"/>
      <c r="EVB87" s="201"/>
      <c r="EVC87" s="202"/>
      <c r="EVD87" s="202"/>
      <c r="EVE87" s="202"/>
      <c r="EVF87" s="202"/>
      <c r="EVG87" s="203"/>
      <c r="EVH87" s="204"/>
      <c r="EVI87" s="204"/>
      <c r="EVJ87" s="204"/>
      <c r="EVK87" s="205"/>
      <c r="EVL87" s="206"/>
      <c r="EVM87" s="207"/>
      <c r="EVN87" s="207"/>
      <c r="EVO87" s="208"/>
      <c r="EVP87" s="209"/>
      <c r="EVQ87" s="207"/>
      <c r="EVR87" s="210"/>
      <c r="EVS87" s="209"/>
      <c r="EVT87" s="204"/>
      <c r="EVU87" s="204"/>
      <c r="EVV87" s="204"/>
      <c r="EVW87" s="199"/>
      <c r="EVX87" s="167"/>
      <c r="EVY87" s="199"/>
      <c r="EVZ87" s="200"/>
      <c r="EWA87" s="201"/>
      <c r="EWB87" s="202"/>
      <c r="EWC87" s="202"/>
      <c r="EWD87" s="202"/>
      <c r="EWE87" s="202"/>
      <c r="EWF87" s="203"/>
      <c r="EWG87" s="204"/>
      <c r="EWH87" s="204"/>
      <c r="EWI87" s="204"/>
      <c r="EWJ87" s="205"/>
      <c r="EWK87" s="206"/>
      <c r="EWL87" s="207"/>
      <c r="EWM87" s="207"/>
      <c r="EWN87" s="208"/>
      <c r="EWO87" s="209"/>
      <c r="EWP87" s="207"/>
      <c r="EWQ87" s="210"/>
      <c r="EWR87" s="209"/>
      <c r="EWS87" s="204"/>
      <c r="EWT87" s="204"/>
      <c r="EWU87" s="204"/>
      <c r="EWV87" s="199"/>
      <c r="EWW87" s="167"/>
      <c r="EWX87" s="199"/>
      <c r="EWY87" s="200"/>
      <c r="EWZ87" s="201"/>
      <c r="EXA87" s="202"/>
      <c r="EXB87" s="202"/>
      <c r="EXC87" s="202"/>
      <c r="EXD87" s="202"/>
      <c r="EXE87" s="203"/>
      <c r="EXF87" s="204"/>
      <c r="EXG87" s="204"/>
      <c r="EXH87" s="204"/>
      <c r="EXI87" s="205"/>
      <c r="EXJ87" s="206"/>
      <c r="EXK87" s="207"/>
      <c r="EXL87" s="207"/>
      <c r="EXM87" s="208"/>
      <c r="EXN87" s="209"/>
      <c r="EXO87" s="207"/>
      <c r="EXP87" s="210"/>
      <c r="EXQ87" s="209"/>
      <c r="EXR87" s="204"/>
      <c r="EXS87" s="204"/>
      <c r="EXT87" s="204"/>
      <c r="EXU87" s="199"/>
      <c r="EXV87" s="167"/>
      <c r="EXW87" s="199"/>
      <c r="EXX87" s="200"/>
      <c r="EXY87" s="201"/>
      <c r="EXZ87" s="202"/>
      <c r="EYA87" s="202"/>
      <c r="EYB87" s="202"/>
      <c r="EYC87" s="202"/>
      <c r="EYD87" s="203"/>
      <c r="EYE87" s="204"/>
      <c r="EYF87" s="204"/>
      <c r="EYG87" s="204"/>
      <c r="EYH87" s="205"/>
      <c r="EYI87" s="206"/>
      <c r="EYJ87" s="207"/>
      <c r="EYK87" s="207"/>
      <c r="EYL87" s="208"/>
      <c r="EYM87" s="209"/>
      <c r="EYN87" s="207"/>
      <c r="EYO87" s="210"/>
      <c r="EYP87" s="209"/>
      <c r="EYQ87" s="204"/>
      <c r="EYR87" s="204"/>
      <c r="EYS87" s="204"/>
      <c r="EYT87" s="199"/>
      <c r="EYU87" s="167"/>
      <c r="EYV87" s="199"/>
      <c r="EYW87" s="200"/>
      <c r="EYX87" s="201"/>
      <c r="EYY87" s="202"/>
      <c r="EYZ87" s="202"/>
      <c r="EZA87" s="202"/>
      <c r="EZB87" s="202"/>
      <c r="EZC87" s="203"/>
      <c r="EZD87" s="204"/>
      <c r="EZE87" s="204"/>
      <c r="EZF87" s="204"/>
      <c r="EZG87" s="205"/>
      <c r="EZH87" s="206"/>
      <c r="EZI87" s="207"/>
      <c r="EZJ87" s="207"/>
      <c r="EZK87" s="208"/>
      <c r="EZL87" s="209"/>
      <c r="EZM87" s="207"/>
      <c r="EZN87" s="210"/>
      <c r="EZO87" s="209"/>
      <c r="EZP87" s="204"/>
      <c r="EZQ87" s="204"/>
      <c r="EZR87" s="204"/>
      <c r="EZS87" s="199"/>
      <c r="EZT87" s="167"/>
      <c r="EZU87" s="199"/>
      <c r="EZV87" s="200"/>
      <c r="EZW87" s="201"/>
      <c r="EZX87" s="202"/>
      <c r="EZY87" s="202"/>
      <c r="EZZ87" s="202"/>
      <c r="FAA87" s="202"/>
      <c r="FAB87" s="203"/>
      <c r="FAC87" s="204"/>
      <c r="FAD87" s="204"/>
      <c r="FAE87" s="204"/>
      <c r="FAF87" s="205"/>
      <c r="FAG87" s="206"/>
      <c r="FAH87" s="207"/>
      <c r="FAI87" s="207"/>
      <c r="FAJ87" s="208"/>
      <c r="FAK87" s="209"/>
      <c r="FAL87" s="207"/>
      <c r="FAM87" s="210"/>
      <c r="FAN87" s="209"/>
      <c r="FAO87" s="204"/>
      <c r="FAP87" s="204"/>
      <c r="FAQ87" s="204"/>
      <c r="FAR87" s="199"/>
      <c r="FAS87" s="167"/>
      <c r="FAT87" s="199"/>
      <c r="FAU87" s="200"/>
      <c r="FAV87" s="201"/>
      <c r="FAW87" s="202"/>
      <c r="FAX87" s="202"/>
      <c r="FAY87" s="202"/>
      <c r="FAZ87" s="202"/>
      <c r="FBA87" s="203"/>
      <c r="FBB87" s="204"/>
      <c r="FBC87" s="204"/>
      <c r="FBD87" s="204"/>
      <c r="FBE87" s="205"/>
      <c r="FBF87" s="206"/>
      <c r="FBG87" s="207"/>
      <c r="FBH87" s="207"/>
      <c r="FBI87" s="208"/>
      <c r="FBJ87" s="209"/>
      <c r="FBK87" s="207"/>
      <c r="FBL87" s="210"/>
      <c r="FBM87" s="209"/>
      <c r="FBN87" s="204"/>
      <c r="FBO87" s="204"/>
      <c r="FBP87" s="204"/>
      <c r="FBQ87" s="199"/>
      <c r="FBR87" s="167"/>
      <c r="FBS87" s="199"/>
      <c r="FBT87" s="200"/>
      <c r="FBU87" s="201"/>
      <c r="FBV87" s="202"/>
      <c r="FBW87" s="202"/>
      <c r="FBX87" s="202"/>
      <c r="FBY87" s="202"/>
      <c r="FBZ87" s="203"/>
      <c r="FCA87" s="204"/>
      <c r="FCB87" s="204"/>
      <c r="FCC87" s="204"/>
      <c r="FCD87" s="205"/>
      <c r="FCE87" s="206"/>
      <c r="FCF87" s="207"/>
      <c r="FCG87" s="207"/>
      <c r="FCH87" s="208"/>
      <c r="FCI87" s="209"/>
      <c r="FCJ87" s="207"/>
      <c r="FCK87" s="210"/>
      <c r="FCL87" s="209"/>
      <c r="FCM87" s="204"/>
      <c r="FCN87" s="204"/>
      <c r="FCO87" s="204"/>
      <c r="FCP87" s="199"/>
      <c r="FCQ87" s="167"/>
      <c r="FCR87" s="199"/>
      <c r="FCS87" s="200"/>
      <c r="FCT87" s="201"/>
      <c r="FCU87" s="202"/>
      <c r="FCV87" s="202"/>
      <c r="FCW87" s="202"/>
      <c r="FCX87" s="202"/>
      <c r="FCY87" s="203"/>
      <c r="FCZ87" s="204"/>
      <c r="FDA87" s="204"/>
      <c r="FDB87" s="204"/>
      <c r="FDC87" s="205"/>
      <c r="FDD87" s="206"/>
      <c r="FDE87" s="207"/>
      <c r="FDF87" s="207"/>
      <c r="FDG87" s="208"/>
      <c r="FDH87" s="209"/>
      <c r="FDI87" s="207"/>
      <c r="FDJ87" s="210"/>
      <c r="FDK87" s="209"/>
      <c r="FDL87" s="204"/>
      <c r="FDM87" s="204"/>
      <c r="FDN87" s="204"/>
      <c r="FDO87" s="199"/>
      <c r="FDP87" s="167"/>
      <c r="FDQ87" s="199"/>
      <c r="FDR87" s="200"/>
      <c r="FDS87" s="201"/>
      <c r="FDT87" s="202"/>
      <c r="FDU87" s="202"/>
      <c r="FDV87" s="202"/>
      <c r="FDW87" s="202"/>
      <c r="FDX87" s="203"/>
      <c r="FDY87" s="204"/>
      <c r="FDZ87" s="204"/>
      <c r="FEA87" s="204"/>
      <c r="FEB87" s="205"/>
      <c r="FEC87" s="206"/>
      <c r="FED87" s="207"/>
      <c r="FEE87" s="207"/>
      <c r="FEF87" s="208"/>
      <c r="FEG87" s="209"/>
      <c r="FEH87" s="207"/>
      <c r="FEI87" s="210"/>
      <c r="FEJ87" s="209"/>
      <c r="FEK87" s="204"/>
      <c r="FEL87" s="204"/>
      <c r="FEM87" s="204"/>
      <c r="FEN87" s="199"/>
      <c r="FEO87" s="167"/>
      <c r="FEP87" s="199"/>
      <c r="FEQ87" s="200"/>
      <c r="FER87" s="201"/>
      <c r="FES87" s="202"/>
      <c r="FET87" s="202"/>
      <c r="FEU87" s="202"/>
      <c r="FEV87" s="202"/>
      <c r="FEW87" s="203"/>
      <c r="FEX87" s="204"/>
      <c r="FEY87" s="204"/>
      <c r="FEZ87" s="204"/>
      <c r="FFA87" s="205"/>
      <c r="FFB87" s="206"/>
      <c r="FFC87" s="207"/>
      <c r="FFD87" s="207"/>
      <c r="FFE87" s="208"/>
      <c r="FFF87" s="209"/>
      <c r="FFG87" s="207"/>
      <c r="FFH87" s="210"/>
      <c r="FFI87" s="209"/>
      <c r="FFJ87" s="204"/>
      <c r="FFK87" s="204"/>
      <c r="FFL87" s="204"/>
      <c r="FFM87" s="199"/>
      <c r="FFN87" s="167"/>
      <c r="FFO87" s="199"/>
      <c r="FFP87" s="200"/>
      <c r="FFQ87" s="201"/>
      <c r="FFR87" s="202"/>
      <c r="FFS87" s="202"/>
      <c r="FFT87" s="202"/>
      <c r="FFU87" s="202"/>
      <c r="FFV87" s="203"/>
      <c r="FFW87" s="204"/>
      <c r="FFX87" s="204"/>
      <c r="FFY87" s="204"/>
      <c r="FFZ87" s="205"/>
      <c r="FGA87" s="206"/>
      <c r="FGB87" s="207"/>
      <c r="FGC87" s="207"/>
      <c r="FGD87" s="208"/>
      <c r="FGE87" s="209"/>
      <c r="FGF87" s="207"/>
      <c r="FGG87" s="210"/>
      <c r="FGH87" s="209"/>
      <c r="FGI87" s="204"/>
      <c r="FGJ87" s="204"/>
      <c r="FGK87" s="204"/>
      <c r="FGL87" s="199"/>
      <c r="FGM87" s="167"/>
      <c r="FGN87" s="199"/>
      <c r="FGO87" s="200"/>
      <c r="FGP87" s="201"/>
      <c r="FGQ87" s="202"/>
      <c r="FGR87" s="202"/>
      <c r="FGS87" s="202"/>
      <c r="FGT87" s="202"/>
      <c r="FGU87" s="203"/>
      <c r="FGV87" s="204"/>
      <c r="FGW87" s="204"/>
      <c r="FGX87" s="204"/>
      <c r="FGY87" s="205"/>
      <c r="FGZ87" s="206"/>
      <c r="FHA87" s="207"/>
      <c r="FHB87" s="207"/>
      <c r="FHC87" s="208"/>
      <c r="FHD87" s="209"/>
      <c r="FHE87" s="207"/>
      <c r="FHF87" s="210"/>
      <c r="FHG87" s="209"/>
      <c r="FHH87" s="204"/>
      <c r="FHI87" s="204"/>
      <c r="FHJ87" s="204"/>
      <c r="FHK87" s="199"/>
      <c r="FHL87" s="167"/>
      <c r="FHM87" s="199"/>
      <c r="FHN87" s="200"/>
      <c r="FHO87" s="201"/>
      <c r="FHP87" s="202"/>
      <c r="FHQ87" s="202"/>
      <c r="FHR87" s="202"/>
      <c r="FHS87" s="202"/>
      <c r="FHT87" s="203"/>
      <c r="FHU87" s="204"/>
      <c r="FHV87" s="204"/>
      <c r="FHW87" s="204"/>
      <c r="FHX87" s="205"/>
      <c r="FHY87" s="206"/>
      <c r="FHZ87" s="207"/>
      <c r="FIA87" s="207"/>
      <c r="FIB87" s="208"/>
      <c r="FIC87" s="209"/>
      <c r="FID87" s="207"/>
      <c r="FIE87" s="210"/>
      <c r="FIF87" s="209"/>
      <c r="FIG87" s="204"/>
      <c r="FIH87" s="204"/>
      <c r="FII87" s="204"/>
      <c r="FIJ87" s="199"/>
      <c r="FIK87" s="167"/>
      <c r="FIL87" s="199"/>
      <c r="FIM87" s="200"/>
      <c r="FIN87" s="201"/>
      <c r="FIO87" s="202"/>
      <c r="FIP87" s="202"/>
      <c r="FIQ87" s="202"/>
      <c r="FIR87" s="202"/>
      <c r="FIS87" s="203"/>
      <c r="FIT87" s="204"/>
      <c r="FIU87" s="204"/>
      <c r="FIV87" s="204"/>
      <c r="FIW87" s="205"/>
      <c r="FIX87" s="206"/>
      <c r="FIY87" s="207"/>
      <c r="FIZ87" s="207"/>
      <c r="FJA87" s="208"/>
      <c r="FJB87" s="209"/>
      <c r="FJC87" s="207"/>
      <c r="FJD87" s="210"/>
      <c r="FJE87" s="209"/>
      <c r="FJF87" s="204"/>
      <c r="FJG87" s="204"/>
      <c r="FJH87" s="204"/>
      <c r="FJI87" s="199"/>
      <c r="FJJ87" s="167"/>
      <c r="FJK87" s="199"/>
      <c r="FJL87" s="200"/>
      <c r="FJM87" s="201"/>
      <c r="FJN87" s="202"/>
      <c r="FJO87" s="202"/>
      <c r="FJP87" s="202"/>
      <c r="FJQ87" s="202"/>
      <c r="FJR87" s="203"/>
      <c r="FJS87" s="204"/>
      <c r="FJT87" s="204"/>
      <c r="FJU87" s="204"/>
      <c r="FJV87" s="205"/>
      <c r="FJW87" s="206"/>
      <c r="FJX87" s="207"/>
      <c r="FJY87" s="207"/>
      <c r="FJZ87" s="208"/>
      <c r="FKA87" s="209"/>
      <c r="FKB87" s="207"/>
      <c r="FKC87" s="210"/>
      <c r="FKD87" s="209"/>
      <c r="FKE87" s="204"/>
      <c r="FKF87" s="204"/>
      <c r="FKG87" s="204"/>
      <c r="FKH87" s="199"/>
      <c r="FKI87" s="167"/>
      <c r="FKJ87" s="199"/>
      <c r="FKK87" s="200"/>
      <c r="FKL87" s="201"/>
      <c r="FKM87" s="202"/>
      <c r="FKN87" s="202"/>
      <c r="FKO87" s="202"/>
      <c r="FKP87" s="202"/>
      <c r="FKQ87" s="203"/>
      <c r="FKR87" s="204"/>
      <c r="FKS87" s="204"/>
      <c r="FKT87" s="204"/>
      <c r="FKU87" s="205"/>
      <c r="FKV87" s="206"/>
      <c r="FKW87" s="207"/>
      <c r="FKX87" s="207"/>
      <c r="FKY87" s="208"/>
      <c r="FKZ87" s="209"/>
      <c r="FLA87" s="207"/>
      <c r="FLB87" s="210"/>
      <c r="FLC87" s="209"/>
      <c r="FLD87" s="204"/>
      <c r="FLE87" s="204"/>
      <c r="FLF87" s="204"/>
      <c r="FLG87" s="199"/>
      <c r="FLH87" s="167"/>
      <c r="FLI87" s="199"/>
      <c r="FLJ87" s="200"/>
      <c r="FLK87" s="201"/>
      <c r="FLL87" s="202"/>
      <c r="FLM87" s="202"/>
      <c r="FLN87" s="202"/>
      <c r="FLO87" s="202"/>
      <c r="FLP87" s="203"/>
      <c r="FLQ87" s="204"/>
      <c r="FLR87" s="204"/>
      <c r="FLS87" s="204"/>
      <c r="FLT87" s="205"/>
      <c r="FLU87" s="206"/>
      <c r="FLV87" s="207"/>
      <c r="FLW87" s="207"/>
      <c r="FLX87" s="208"/>
      <c r="FLY87" s="209"/>
      <c r="FLZ87" s="207"/>
      <c r="FMA87" s="210"/>
      <c r="FMB87" s="209"/>
      <c r="FMC87" s="204"/>
      <c r="FMD87" s="204"/>
      <c r="FME87" s="204"/>
      <c r="FMF87" s="199"/>
      <c r="FMG87" s="167"/>
      <c r="FMH87" s="199"/>
      <c r="FMI87" s="200"/>
      <c r="FMJ87" s="201"/>
      <c r="FMK87" s="202"/>
      <c r="FML87" s="202"/>
      <c r="FMM87" s="202"/>
      <c r="FMN87" s="202"/>
      <c r="FMO87" s="203"/>
      <c r="FMP87" s="204"/>
      <c r="FMQ87" s="204"/>
      <c r="FMR87" s="204"/>
      <c r="FMS87" s="205"/>
      <c r="FMT87" s="206"/>
      <c r="FMU87" s="207"/>
      <c r="FMV87" s="207"/>
      <c r="FMW87" s="208"/>
      <c r="FMX87" s="209"/>
      <c r="FMY87" s="207"/>
      <c r="FMZ87" s="210"/>
      <c r="FNA87" s="209"/>
      <c r="FNB87" s="204"/>
      <c r="FNC87" s="204"/>
      <c r="FND87" s="204"/>
      <c r="FNE87" s="199"/>
      <c r="FNF87" s="167"/>
      <c r="FNG87" s="199"/>
      <c r="FNH87" s="200"/>
      <c r="FNI87" s="201"/>
      <c r="FNJ87" s="202"/>
      <c r="FNK87" s="202"/>
      <c r="FNL87" s="202"/>
      <c r="FNM87" s="202"/>
      <c r="FNN87" s="203"/>
      <c r="FNO87" s="204"/>
      <c r="FNP87" s="204"/>
      <c r="FNQ87" s="204"/>
      <c r="FNR87" s="205"/>
      <c r="FNS87" s="206"/>
      <c r="FNT87" s="207"/>
      <c r="FNU87" s="207"/>
      <c r="FNV87" s="208"/>
      <c r="FNW87" s="209"/>
      <c r="FNX87" s="207"/>
      <c r="FNY87" s="210"/>
      <c r="FNZ87" s="209"/>
      <c r="FOA87" s="204"/>
      <c r="FOB87" s="204"/>
      <c r="FOC87" s="204"/>
      <c r="FOD87" s="199"/>
      <c r="FOE87" s="167"/>
      <c r="FOF87" s="199"/>
      <c r="FOG87" s="200"/>
      <c r="FOH87" s="201"/>
      <c r="FOI87" s="202"/>
      <c r="FOJ87" s="202"/>
      <c r="FOK87" s="202"/>
      <c r="FOL87" s="202"/>
      <c r="FOM87" s="203"/>
      <c r="FON87" s="204"/>
      <c r="FOO87" s="204"/>
      <c r="FOP87" s="204"/>
      <c r="FOQ87" s="205"/>
      <c r="FOR87" s="206"/>
      <c r="FOS87" s="207"/>
      <c r="FOT87" s="207"/>
      <c r="FOU87" s="208"/>
      <c r="FOV87" s="209"/>
      <c r="FOW87" s="207"/>
      <c r="FOX87" s="210"/>
      <c r="FOY87" s="209"/>
      <c r="FOZ87" s="204"/>
      <c r="FPA87" s="204"/>
      <c r="FPB87" s="204"/>
      <c r="FPC87" s="199"/>
      <c r="FPD87" s="167"/>
      <c r="FPE87" s="199"/>
      <c r="FPF87" s="200"/>
      <c r="FPG87" s="201"/>
      <c r="FPH87" s="202"/>
      <c r="FPI87" s="202"/>
      <c r="FPJ87" s="202"/>
      <c r="FPK87" s="202"/>
      <c r="FPL87" s="203"/>
      <c r="FPM87" s="204"/>
      <c r="FPN87" s="204"/>
      <c r="FPO87" s="204"/>
      <c r="FPP87" s="205"/>
      <c r="FPQ87" s="206"/>
      <c r="FPR87" s="207"/>
      <c r="FPS87" s="207"/>
      <c r="FPT87" s="208"/>
      <c r="FPU87" s="209"/>
      <c r="FPV87" s="207"/>
      <c r="FPW87" s="210"/>
      <c r="FPX87" s="209"/>
      <c r="FPY87" s="204"/>
      <c r="FPZ87" s="204"/>
      <c r="FQA87" s="204"/>
      <c r="FQB87" s="199"/>
      <c r="FQC87" s="167"/>
      <c r="FQD87" s="199"/>
      <c r="FQE87" s="200"/>
      <c r="FQF87" s="201"/>
      <c r="FQG87" s="202"/>
      <c r="FQH87" s="202"/>
      <c r="FQI87" s="202"/>
      <c r="FQJ87" s="202"/>
      <c r="FQK87" s="203"/>
      <c r="FQL87" s="204"/>
      <c r="FQM87" s="204"/>
      <c r="FQN87" s="204"/>
      <c r="FQO87" s="205"/>
      <c r="FQP87" s="206"/>
      <c r="FQQ87" s="207"/>
      <c r="FQR87" s="207"/>
      <c r="FQS87" s="208"/>
      <c r="FQT87" s="209"/>
      <c r="FQU87" s="207"/>
      <c r="FQV87" s="210"/>
      <c r="FQW87" s="209"/>
      <c r="FQX87" s="204"/>
      <c r="FQY87" s="204"/>
      <c r="FQZ87" s="204"/>
      <c r="FRA87" s="199"/>
      <c r="FRB87" s="167"/>
      <c r="FRC87" s="199"/>
      <c r="FRD87" s="200"/>
      <c r="FRE87" s="201"/>
      <c r="FRF87" s="202"/>
      <c r="FRG87" s="202"/>
      <c r="FRH87" s="202"/>
      <c r="FRI87" s="202"/>
      <c r="FRJ87" s="203"/>
      <c r="FRK87" s="204"/>
      <c r="FRL87" s="204"/>
      <c r="FRM87" s="204"/>
      <c r="FRN87" s="205"/>
      <c r="FRO87" s="206"/>
      <c r="FRP87" s="207"/>
      <c r="FRQ87" s="207"/>
      <c r="FRR87" s="208"/>
      <c r="FRS87" s="209"/>
      <c r="FRT87" s="207"/>
      <c r="FRU87" s="210"/>
      <c r="FRV87" s="209"/>
      <c r="FRW87" s="204"/>
      <c r="FRX87" s="204"/>
      <c r="FRY87" s="204"/>
      <c r="FRZ87" s="199"/>
      <c r="FSA87" s="167"/>
      <c r="FSB87" s="199"/>
      <c r="FSC87" s="200"/>
      <c r="FSD87" s="201"/>
      <c r="FSE87" s="202"/>
      <c r="FSF87" s="202"/>
      <c r="FSG87" s="202"/>
      <c r="FSH87" s="202"/>
      <c r="FSI87" s="203"/>
      <c r="FSJ87" s="204"/>
      <c r="FSK87" s="204"/>
      <c r="FSL87" s="204"/>
      <c r="FSM87" s="205"/>
      <c r="FSN87" s="206"/>
      <c r="FSO87" s="207"/>
      <c r="FSP87" s="207"/>
      <c r="FSQ87" s="208"/>
      <c r="FSR87" s="209"/>
      <c r="FSS87" s="207"/>
      <c r="FST87" s="210"/>
      <c r="FSU87" s="209"/>
      <c r="FSV87" s="204"/>
      <c r="FSW87" s="204"/>
      <c r="FSX87" s="204"/>
      <c r="FSY87" s="199"/>
      <c r="FSZ87" s="167"/>
      <c r="FTA87" s="199"/>
      <c r="FTB87" s="200"/>
      <c r="FTC87" s="201"/>
      <c r="FTD87" s="202"/>
      <c r="FTE87" s="202"/>
      <c r="FTF87" s="202"/>
      <c r="FTG87" s="202"/>
      <c r="FTH87" s="203"/>
      <c r="FTI87" s="204"/>
      <c r="FTJ87" s="204"/>
      <c r="FTK87" s="204"/>
      <c r="FTL87" s="205"/>
      <c r="FTM87" s="206"/>
      <c r="FTN87" s="207"/>
      <c r="FTO87" s="207"/>
      <c r="FTP87" s="208"/>
      <c r="FTQ87" s="209"/>
      <c r="FTR87" s="207"/>
      <c r="FTS87" s="210"/>
      <c r="FTT87" s="209"/>
      <c r="FTU87" s="204"/>
      <c r="FTV87" s="204"/>
      <c r="FTW87" s="204"/>
      <c r="FTX87" s="199"/>
      <c r="FTY87" s="167"/>
      <c r="FTZ87" s="199"/>
      <c r="FUA87" s="200"/>
      <c r="FUB87" s="201"/>
      <c r="FUC87" s="202"/>
      <c r="FUD87" s="202"/>
      <c r="FUE87" s="202"/>
      <c r="FUF87" s="202"/>
      <c r="FUG87" s="203"/>
      <c r="FUH87" s="204"/>
      <c r="FUI87" s="204"/>
      <c r="FUJ87" s="204"/>
      <c r="FUK87" s="205"/>
      <c r="FUL87" s="206"/>
      <c r="FUM87" s="207"/>
      <c r="FUN87" s="207"/>
      <c r="FUO87" s="208"/>
      <c r="FUP87" s="209"/>
      <c r="FUQ87" s="207"/>
      <c r="FUR87" s="210"/>
      <c r="FUS87" s="209"/>
      <c r="FUT87" s="204"/>
      <c r="FUU87" s="204"/>
      <c r="FUV87" s="204"/>
      <c r="FUW87" s="199"/>
      <c r="FUX87" s="167"/>
      <c r="FUY87" s="199"/>
      <c r="FUZ87" s="200"/>
      <c r="FVA87" s="201"/>
      <c r="FVB87" s="202"/>
      <c r="FVC87" s="202"/>
      <c r="FVD87" s="202"/>
      <c r="FVE87" s="202"/>
      <c r="FVF87" s="203"/>
      <c r="FVG87" s="204"/>
      <c r="FVH87" s="204"/>
      <c r="FVI87" s="204"/>
      <c r="FVJ87" s="205"/>
      <c r="FVK87" s="206"/>
      <c r="FVL87" s="207"/>
      <c r="FVM87" s="207"/>
      <c r="FVN87" s="208"/>
      <c r="FVO87" s="209"/>
      <c r="FVP87" s="207"/>
      <c r="FVQ87" s="210"/>
      <c r="FVR87" s="209"/>
      <c r="FVS87" s="204"/>
      <c r="FVT87" s="204"/>
      <c r="FVU87" s="204"/>
      <c r="FVV87" s="199"/>
      <c r="FVW87" s="167"/>
      <c r="FVX87" s="199"/>
      <c r="FVY87" s="200"/>
      <c r="FVZ87" s="201"/>
      <c r="FWA87" s="202"/>
      <c r="FWB87" s="202"/>
      <c r="FWC87" s="202"/>
      <c r="FWD87" s="202"/>
      <c r="FWE87" s="203"/>
      <c r="FWF87" s="204"/>
      <c r="FWG87" s="204"/>
      <c r="FWH87" s="204"/>
      <c r="FWI87" s="205"/>
      <c r="FWJ87" s="206"/>
      <c r="FWK87" s="207"/>
      <c r="FWL87" s="207"/>
      <c r="FWM87" s="208"/>
      <c r="FWN87" s="209"/>
      <c r="FWO87" s="207"/>
      <c r="FWP87" s="210"/>
      <c r="FWQ87" s="209"/>
      <c r="FWR87" s="204"/>
      <c r="FWS87" s="204"/>
      <c r="FWT87" s="204"/>
      <c r="FWU87" s="199"/>
      <c r="FWV87" s="167"/>
      <c r="FWW87" s="199"/>
      <c r="FWX87" s="200"/>
      <c r="FWY87" s="201"/>
      <c r="FWZ87" s="202"/>
      <c r="FXA87" s="202"/>
      <c r="FXB87" s="202"/>
      <c r="FXC87" s="202"/>
      <c r="FXD87" s="203"/>
      <c r="FXE87" s="204"/>
      <c r="FXF87" s="204"/>
      <c r="FXG87" s="204"/>
      <c r="FXH87" s="205"/>
      <c r="FXI87" s="206"/>
      <c r="FXJ87" s="207"/>
      <c r="FXK87" s="207"/>
      <c r="FXL87" s="208"/>
      <c r="FXM87" s="209"/>
      <c r="FXN87" s="207"/>
      <c r="FXO87" s="210"/>
      <c r="FXP87" s="209"/>
      <c r="FXQ87" s="204"/>
      <c r="FXR87" s="204"/>
      <c r="FXS87" s="204"/>
      <c r="FXT87" s="199"/>
      <c r="FXU87" s="167"/>
      <c r="FXV87" s="199"/>
      <c r="FXW87" s="200"/>
      <c r="FXX87" s="201"/>
      <c r="FXY87" s="202"/>
      <c r="FXZ87" s="202"/>
      <c r="FYA87" s="202"/>
      <c r="FYB87" s="202"/>
      <c r="FYC87" s="203"/>
      <c r="FYD87" s="204"/>
      <c r="FYE87" s="204"/>
      <c r="FYF87" s="204"/>
      <c r="FYG87" s="205"/>
      <c r="FYH87" s="206"/>
      <c r="FYI87" s="207"/>
      <c r="FYJ87" s="207"/>
      <c r="FYK87" s="208"/>
      <c r="FYL87" s="209"/>
      <c r="FYM87" s="207"/>
      <c r="FYN87" s="210"/>
      <c r="FYO87" s="209"/>
      <c r="FYP87" s="204"/>
      <c r="FYQ87" s="204"/>
      <c r="FYR87" s="204"/>
      <c r="FYS87" s="199"/>
      <c r="FYT87" s="167"/>
      <c r="FYU87" s="199"/>
      <c r="FYV87" s="200"/>
      <c r="FYW87" s="201"/>
      <c r="FYX87" s="202"/>
      <c r="FYY87" s="202"/>
      <c r="FYZ87" s="202"/>
      <c r="FZA87" s="202"/>
      <c r="FZB87" s="203"/>
      <c r="FZC87" s="204"/>
      <c r="FZD87" s="204"/>
      <c r="FZE87" s="204"/>
      <c r="FZF87" s="205"/>
      <c r="FZG87" s="206"/>
      <c r="FZH87" s="207"/>
      <c r="FZI87" s="207"/>
      <c r="FZJ87" s="208"/>
      <c r="FZK87" s="209"/>
      <c r="FZL87" s="207"/>
      <c r="FZM87" s="210"/>
      <c r="FZN87" s="209"/>
      <c r="FZO87" s="204"/>
      <c r="FZP87" s="204"/>
      <c r="FZQ87" s="204"/>
      <c r="FZR87" s="199"/>
      <c r="FZS87" s="167"/>
      <c r="FZT87" s="199"/>
      <c r="FZU87" s="200"/>
      <c r="FZV87" s="201"/>
      <c r="FZW87" s="202"/>
      <c r="FZX87" s="202"/>
      <c r="FZY87" s="202"/>
      <c r="FZZ87" s="202"/>
      <c r="GAA87" s="203"/>
      <c r="GAB87" s="204"/>
      <c r="GAC87" s="204"/>
      <c r="GAD87" s="204"/>
      <c r="GAE87" s="205"/>
      <c r="GAF87" s="206"/>
      <c r="GAG87" s="207"/>
      <c r="GAH87" s="207"/>
      <c r="GAI87" s="208"/>
      <c r="GAJ87" s="209"/>
      <c r="GAK87" s="207"/>
      <c r="GAL87" s="210"/>
      <c r="GAM87" s="209"/>
      <c r="GAN87" s="204"/>
      <c r="GAO87" s="204"/>
      <c r="GAP87" s="204"/>
      <c r="GAQ87" s="199"/>
      <c r="GAR87" s="167"/>
      <c r="GAS87" s="199"/>
      <c r="GAT87" s="200"/>
      <c r="GAU87" s="201"/>
      <c r="GAV87" s="202"/>
      <c r="GAW87" s="202"/>
      <c r="GAX87" s="202"/>
      <c r="GAY87" s="202"/>
      <c r="GAZ87" s="203"/>
      <c r="GBA87" s="204"/>
      <c r="GBB87" s="204"/>
      <c r="GBC87" s="204"/>
      <c r="GBD87" s="205"/>
      <c r="GBE87" s="206"/>
      <c r="GBF87" s="207"/>
      <c r="GBG87" s="207"/>
      <c r="GBH87" s="208"/>
      <c r="GBI87" s="209"/>
      <c r="GBJ87" s="207"/>
      <c r="GBK87" s="210"/>
      <c r="GBL87" s="209"/>
      <c r="GBM87" s="204"/>
      <c r="GBN87" s="204"/>
      <c r="GBO87" s="204"/>
      <c r="GBP87" s="199"/>
      <c r="GBQ87" s="167"/>
      <c r="GBR87" s="199"/>
      <c r="GBS87" s="200"/>
      <c r="GBT87" s="201"/>
      <c r="GBU87" s="202"/>
      <c r="GBV87" s="202"/>
      <c r="GBW87" s="202"/>
      <c r="GBX87" s="202"/>
      <c r="GBY87" s="203"/>
      <c r="GBZ87" s="204"/>
      <c r="GCA87" s="204"/>
      <c r="GCB87" s="204"/>
      <c r="GCC87" s="205"/>
      <c r="GCD87" s="206"/>
      <c r="GCE87" s="207"/>
      <c r="GCF87" s="207"/>
      <c r="GCG87" s="208"/>
      <c r="GCH87" s="209"/>
      <c r="GCI87" s="207"/>
      <c r="GCJ87" s="210"/>
      <c r="GCK87" s="209"/>
      <c r="GCL87" s="204"/>
      <c r="GCM87" s="204"/>
      <c r="GCN87" s="204"/>
      <c r="GCO87" s="199"/>
      <c r="GCP87" s="167"/>
      <c r="GCQ87" s="199"/>
      <c r="GCR87" s="200"/>
      <c r="GCS87" s="201"/>
      <c r="GCT87" s="202"/>
      <c r="GCU87" s="202"/>
      <c r="GCV87" s="202"/>
      <c r="GCW87" s="202"/>
      <c r="GCX87" s="203"/>
      <c r="GCY87" s="204"/>
      <c r="GCZ87" s="204"/>
      <c r="GDA87" s="204"/>
      <c r="GDB87" s="205"/>
      <c r="GDC87" s="206"/>
      <c r="GDD87" s="207"/>
      <c r="GDE87" s="207"/>
      <c r="GDF87" s="208"/>
      <c r="GDG87" s="209"/>
      <c r="GDH87" s="207"/>
      <c r="GDI87" s="210"/>
      <c r="GDJ87" s="209"/>
      <c r="GDK87" s="204"/>
      <c r="GDL87" s="204"/>
      <c r="GDM87" s="204"/>
      <c r="GDN87" s="199"/>
      <c r="GDO87" s="167"/>
      <c r="GDP87" s="199"/>
      <c r="GDQ87" s="200"/>
      <c r="GDR87" s="201"/>
      <c r="GDS87" s="202"/>
      <c r="GDT87" s="202"/>
      <c r="GDU87" s="202"/>
      <c r="GDV87" s="202"/>
      <c r="GDW87" s="203"/>
      <c r="GDX87" s="204"/>
      <c r="GDY87" s="204"/>
      <c r="GDZ87" s="204"/>
      <c r="GEA87" s="205"/>
      <c r="GEB87" s="206"/>
      <c r="GEC87" s="207"/>
      <c r="GED87" s="207"/>
      <c r="GEE87" s="208"/>
      <c r="GEF87" s="209"/>
      <c r="GEG87" s="207"/>
      <c r="GEH87" s="210"/>
      <c r="GEI87" s="209"/>
      <c r="GEJ87" s="204"/>
      <c r="GEK87" s="204"/>
      <c r="GEL87" s="204"/>
      <c r="GEM87" s="199"/>
      <c r="GEN87" s="167"/>
      <c r="GEO87" s="199"/>
      <c r="GEP87" s="200"/>
      <c r="GEQ87" s="201"/>
      <c r="GER87" s="202"/>
      <c r="GES87" s="202"/>
      <c r="GET87" s="202"/>
      <c r="GEU87" s="202"/>
      <c r="GEV87" s="203"/>
      <c r="GEW87" s="204"/>
      <c r="GEX87" s="204"/>
      <c r="GEY87" s="204"/>
      <c r="GEZ87" s="205"/>
      <c r="GFA87" s="206"/>
      <c r="GFB87" s="207"/>
      <c r="GFC87" s="207"/>
      <c r="GFD87" s="208"/>
      <c r="GFE87" s="209"/>
      <c r="GFF87" s="207"/>
      <c r="GFG87" s="210"/>
      <c r="GFH87" s="209"/>
      <c r="GFI87" s="204"/>
      <c r="GFJ87" s="204"/>
      <c r="GFK87" s="204"/>
      <c r="GFL87" s="199"/>
      <c r="GFM87" s="167"/>
      <c r="GFN87" s="199"/>
      <c r="GFO87" s="200"/>
      <c r="GFP87" s="201"/>
      <c r="GFQ87" s="202"/>
      <c r="GFR87" s="202"/>
      <c r="GFS87" s="202"/>
      <c r="GFT87" s="202"/>
      <c r="GFU87" s="203"/>
      <c r="GFV87" s="204"/>
      <c r="GFW87" s="204"/>
      <c r="GFX87" s="204"/>
      <c r="GFY87" s="205"/>
      <c r="GFZ87" s="206"/>
      <c r="GGA87" s="207"/>
      <c r="GGB87" s="207"/>
      <c r="GGC87" s="208"/>
      <c r="GGD87" s="209"/>
      <c r="GGE87" s="207"/>
      <c r="GGF87" s="210"/>
      <c r="GGG87" s="209"/>
      <c r="GGH87" s="204"/>
      <c r="GGI87" s="204"/>
      <c r="GGJ87" s="204"/>
      <c r="GGK87" s="199"/>
      <c r="GGL87" s="167"/>
      <c r="GGM87" s="199"/>
      <c r="GGN87" s="200"/>
      <c r="GGO87" s="201"/>
      <c r="GGP87" s="202"/>
      <c r="GGQ87" s="202"/>
      <c r="GGR87" s="202"/>
      <c r="GGS87" s="202"/>
      <c r="GGT87" s="203"/>
      <c r="GGU87" s="204"/>
      <c r="GGV87" s="204"/>
      <c r="GGW87" s="204"/>
      <c r="GGX87" s="205"/>
      <c r="GGY87" s="206"/>
      <c r="GGZ87" s="207"/>
      <c r="GHA87" s="207"/>
      <c r="GHB87" s="208"/>
      <c r="GHC87" s="209"/>
      <c r="GHD87" s="207"/>
      <c r="GHE87" s="210"/>
      <c r="GHF87" s="209"/>
      <c r="GHG87" s="204"/>
      <c r="GHH87" s="204"/>
      <c r="GHI87" s="204"/>
      <c r="GHJ87" s="199"/>
      <c r="GHK87" s="167"/>
      <c r="GHL87" s="199"/>
      <c r="GHM87" s="200"/>
      <c r="GHN87" s="201"/>
      <c r="GHO87" s="202"/>
      <c r="GHP87" s="202"/>
      <c r="GHQ87" s="202"/>
      <c r="GHR87" s="202"/>
      <c r="GHS87" s="203"/>
      <c r="GHT87" s="204"/>
      <c r="GHU87" s="204"/>
      <c r="GHV87" s="204"/>
      <c r="GHW87" s="205"/>
      <c r="GHX87" s="206"/>
      <c r="GHY87" s="207"/>
      <c r="GHZ87" s="207"/>
      <c r="GIA87" s="208"/>
      <c r="GIB87" s="209"/>
      <c r="GIC87" s="207"/>
      <c r="GID87" s="210"/>
      <c r="GIE87" s="209"/>
      <c r="GIF87" s="204"/>
      <c r="GIG87" s="204"/>
      <c r="GIH87" s="204"/>
      <c r="GII87" s="199"/>
      <c r="GIJ87" s="167"/>
      <c r="GIK87" s="199"/>
      <c r="GIL87" s="200"/>
      <c r="GIM87" s="201"/>
      <c r="GIN87" s="202"/>
      <c r="GIO87" s="202"/>
      <c r="GIP87" s="202"/>
      <c r="GIQ87" s="202"/>
      <c r="GIR87" s="203"/>
      <c r="GIS87" s="204"/>
      <c r="GIT87" s="204"/>
      <c r="GIU87" s="204"/>
      <c r="GIV87" s="205"/>
      <c r="GIW87" s="206"/>
      <c r="GIX87" s="207"/>
      <c r="GIY87" s="207"/>
      <c r="GIZ87" s="208"/>
      <c r="GJA87" s="209"/>
      <c r="GJB87" s="207"/>
      <c r="GJC87" s="210"/>
      <c r="GJD87" s="209"/>
      <c r="GJE87" s="204"/>
      <c r="GJF87" s="204"/>
      <c r="GJG87" s="204"/>
      <c r="GJH87" s="199"/>
      <c r="GJI87" s="167"/>
      <c r="GJJ87" s="199"/>
      <c r="GJK87" s="200"/>
      <c r="GJL87" s="201"/>
      <c r="GJM87" s="202"/>
      <c r="GJN87" s="202"/>
      <c r="GJO87" s="202"/>
      <c r="GJP87" s="202"/>
      <c r="GJQ87" s="203"/>
      <c r="GJR87" s="204"/>
      <c r="GJS87" s="204"/>
      <c r="GJT87" s="204"/>
      <c r="GJU87" s="205"/>
      <c r="GJV87" s="206"/>
      <c r="GJW87" s="207"/>
      <c r="GJX87" s="207"/>
      <c r="GJY87" s="208"/>
      <c r="GJZ87" s="209"/>
      <c r="GKA87" s="207"/>
      <c r="GKB87" s="210"/>
      <c r="GKC87" s="209"/>
      <c r="GKD87" s="204"/>
      <c r="GKE87" s="204"/>
      <c r="GKF87" s="204"/>
      <c r="GKG87" s="199"/>
      <c r="GKH87" s="167"/>
      <c r="GKI87" s="199"/>
      <c r="GKJ87" s="200"/>
      <c r="GKK87" s="201"/>
      <c r="GKL87" s="202"/>
      <c r="GKM87" s="202"/>
      <c r="GKN87" s="202"/>
      <c r="GKO87" s="202"/>
      <c r="GKP87" s="203"/>
      <c r="GKQ87" s="204"/>
      <c r="GKR87" s="204"/>
      <c r="GKS87" s="204"/>
      <c r="GKT87" s="205"/>
      <c r="GKU87" s="206"/>
      <c r="GKV87" s="207"/>
      <c r="GKW87" s="207"/>
      <c r="GKX87" s="208"/>
      <c r="GKY87" s="209"/>
      <c r="GKZ87" s="207"/>
      <c r="GLA87" s="210"/>
      <c r="GLB87" s="209"/>
      <c r="GLC87" s="204"/>
      <c r="GLD87" s="204"/>
      <c r="GLE87" s="204"/>
      <c r="GLF87" s="199"/>
      <c r="GLG87" s="167"/>
      <c r="GLH87" s="199"/>
      <c r="GLI87" s="200"/>
      <c r="GLJ87" s="201"/>
      <c r="GLK87" s="202"/>
      <c r="GLL87" s="202"/>
      <c r="GLM87" s="202"/>
      <c r="GLN87" s="202"/>
      <c r="GLO87" s="203"/>
      <c r="GLP87" s="204"/>
      <c r="GLQ87" s="204"/>
      <c r="GLR87" s="204"/>
      <c r="GLS87" s="205"/>
      <c r="GLT87" s="206"/>
      <c r="GLU87" s="207"/>
      <c r="GLV87" s="207"/>
      <c r="GLW87" s="208"/>
      <c r="GLX87" s="209"/>
      <c r="GLY87" s="207"/>
      <c r="GLZ87" s="210"/>
      <c r="GMA87" s="209"/>
      <c r="GMB87" s="204"/>
      <c r="GMC87" s="204"/>
      <c r="GMD87" s="204"/>
      <c r="GME87" s="199"/>
      <c r="GMF87" s="167"/>
      <c r="GMG87" s="199"/>
      <c r="GMH87" s="200"/>
      <c r="GMI87" s="201"/>
      <c r="GMJ87" s="202"/>
      <c r="GMK87" s="202"/>
      <c r="GML87" s="202"/>
      <c r="GMM87" s="202"/>
      <c r="GMN87" s="203"/>
      <c r="GMO87" s="204"/>
      <c r="GMP87" s="204"/>
      <c r="GMQ87" s="204"/>
      <c r="GMR87" s="205"/>
      <c r="GMS87" s="206"/>
      <c r="GMT87" s="207"/>
      <c r="GMU87" s="207"/>
      <c r="GMV87" s="208"/>
      <c r="GMW87" s="209"/>
      <c r="GMX87" s="207"/>
      <c r="GMY87" s="210"/>
      <c r="GMZ87" s="209"/>
      <c r="GNA87" s="204"/>
      <c r="GNB87" s="204"/>
      <c r="GNC87" s="204"/>
      <c r="GND87" s="199"/>
      <c r="GNE87" s="167"/>
      <c r="GNF87" s="199"/>
      <c r="GNG87" s="200"/>
      <c r="GNH87" s="201"/>
      <c r="GNI87" s="202"/>
      <c r="GNJ87" s="202"/>
      <c r="GNK87" s="202"/>
      <c r="GNL87" s="202"/>
      <c r="GNM87" s="203"/>
      <c r="GNN87" s="204"/>
      <c r="GNO87" s="204"/>
      <c r="GNP87" s="204"/>
      <c r="GNQ87" s="205"/>
      <c r="GNR87" s="206"/>
      <c r="GNS87" s="207"/>
      <c r="GNT87" s="207"/>
      <c r="GNU87" s="208"/>
      <c r="GNV87" s="209"/>
      <c r="GNW87" s="207"/>
      <c r="GNX87" s="210"/>
      <c r="GNY87" s="209"/>
      <c r="GNZ87" s="204"/>
      <c r="GOA87" s="204"/>
      <c r="GOB87" s="204"/>
      <c r="GOC87" s="199"/>
      <c r="GOD87" s="167"/>
      <c r="GOE87" s="199"/>
      <c r="GOF87" s="200"/>
      <c r="GOG87" s="201"/>
      <c r="GOH87" s="202"/>
      <c r="GOI87" s="202"/>
      <c r="GOJ87" s="202"/>
      <c r="GOK87" s="202"/>
      <c r="GOL87" s="203"/>
      <c r="GOM87" s="204"/>
      <c r="GON87" s="204"/>
      <c r="GOO87" s="204"/>
      <c r="GOP87" s="205"/>
      <c r="GOQ87" s="206"/>
      <c r="GOR87" s="207"/>
      <c r="GOS87" s="207"/>
      <c r="GOT87" s="208"/>
      <c r="GOU87" s="209"/>
      <c r="GOV87" s="207"/>
      <c r="GOW87" s="210"/>
      <c r="GOX87" s="209"/>
      <c r="GOY87" s="204"/>
      <c r="GOZ87" s="204"/>
      <c r="GPA87" s="204"/>
      <c r="GPB87" s="199"/>
      <c r="GPC87" s="167"/>
      <c r="GPD87" s="199"/>
      <c r="GPE87" s="200"/>
      <c r="GPF87" s="201"/>
      <c r="GPG87" s="202"/>
      <c r="GPH87" s="202"/>
      <c r="GPI87" s="202"/>
      <c r="GPJ87" s="202"/>
      <c r="GPK87" s="203"/>
      <c r="GPL87" s="204"/>
      <c r="GPM87" s="204"/>
      <c r="GPN87" s="204"/>
      <c r="GPO87" s="205"/>
      <c r="GPP87" s="206"/>
      <c r="GPQ87" s="207"/>
      <c r="GPR87" s="207"/>
      <c r="GPS87" s="208"/>
      <c r="GPT87" s="209"/>
      <c r="GPU87" s="207"/>
      <c r="GPV87" s="210"/>
      <c r="GPW87" s="209"/>
      <c r="GPX87" s="204"/>
      <c r="GPY87" s="204"/>
      <c r="GPZ87" s="204"/>
      <c r="GQA87" s="199"/>
      <c r="GQB87" s="167"/>
      <c r="GQC87" s="199"/>
      <c r="GQD87" s="200"/>
      <c r="GQE87" s="201"/>
      <c r="GQF87" s="202"/>
      <c r="GQG87" s="202"/>
      <c r="GQH87" s="202"/>
      <c r="GQI87" s="202"/>
      <c r="GQJ87" s="203"/>
      <c r="GQK87" s="204"/>
      <c r="GQL87" s="204"/>
      <c r="GQM87" s="204"/>
      <c r="GQN87" s="205"/>
      <c r="GQO87" s="206"/>
      <c r="GQP87" s="207"/>
      <c r="GQQ87" s="207"/>
      <c r="GQR87" s="208"/>
      <c r="GQS87" s="209"/>
      <c r="GQT87" s="207"/>
      <c r="GQU87" s="210"/>
      <c r="GQV87" s="209"/>
      <c r="GQW87" s="204"/>
      <c r="GQX87" s="204"/>
      <c r="GQY87" s="204"/>
      <c r="GQZ87" s="199"/>
      <c r="GRA87" s="167"/>
      <c r="GRB87" s="199"/>
      <c r="GRC87" s="200"/>
      <c r="GRD87" s="201"/>
      <c r="GRE87" s="202"/>
      <c r="GRF87" s="202"/>
      <c r="GRG87" s="202"/>
      <c r="GRH87" s="202"/>
      <c r="GRI87" s="203"/>
      <c r="GRJ87" s="204"/>
      <c r="GRK87" s="204"/>
      <c r="GRL87" s="204"/>
      <c r="GRM87" s="205"/>
      <c r="GRN87" s="206"/>
      <c r="GRO87" s="207"/>
      <c r="GRP87" s="207"/>
      <c r="GRQ87" s="208"/>
      <c r="GRR87" s="209"/>
      <c r="GRS87" s="207"/>
      <c r="GRT87" s="210"/>
      <c r="GRU87" s="209"/>
      <c r="GRV87" s="204"/>
      <c r="GRW87" s="204"/>
      <c r="GRX87" s="204"/>
      <c r="GRY87" s="199"/>
      <c r="GRZ87" s="167"/>
      <c r="GSA87" s="199"/>
      <c r="GSB87" s="200"/>
      <c r="GSC87" s="201"/>
      <c r="GSD87" s="202"/>
      <c r="GSE87" s="202"/>
      <c r="GSF87" s="202"/>
      <c r="GSG87" s="202"/>
      <c r="GSH87" s="203"/>
      <c r="GSI87" s="204"/>
      <c r="GSJ87" s="204"/>
      <c r="GSK87" s="204"/>
      <c r="GSL87" s="205"/>
      <c r="GSM87" s="206"/>
      <c r="GSN87" s="207"/>
      <c r="GSO87" s="207"/>
      <c r="GSP87" s="208"/>
      <c r="GSQ87" s="209"/>
      <c r="GSR87" s="207"/>
      <c r="GSS87" s="210"/>
      <c r="GST87" s="209"/>
      <c r="GSU87" s="204"/>
      <c r="GSV87" s="204"/>
      <c r="GSW87" s="204"/>
      <c r="GSX87" s="199"/>
      <c r="GSY87" s="167"/>
      <c r="GSZ87" s="199"/>
      <c r="GTA87" s="200"/>
      <c r="GTB87" s="201"/>
      <c r="GTC87" s="202"/>
      <c r="GTD87" s="202"/>
      <c r="GTE87" s="202"/>
      <c r="GTF87" s="202"/>
      <c r="GTG87" s="203"/>
      <c r="GTH87" s="204"/>
      <c r="GTI87" s="204"/>
      <c r="GTJ87" s="204"/>
      <c r="GTK87" s="205"/>
      <c r="GTL87" s="206"/>
      <c r="GTM87" s="207"/>
      <c r="GTN87" s="207"/>
      <c r="GTO87" s="208"/>
      <c r="GTP87" s="209"/>
      <c r="GTQ87" s="207"/>
      <c r="GTR87" s="210"/>
      <c r="GTS87" s="209"/>
      <c r="GTT87" s="204"/>
      <c r="GTU87" s="204"/>
      <c r="GTV87" s="204"/>
      <c r="GTW87" s="199"/>
      <c r="GTX87" s="167"/>
      <c r="GTY87" s="199"/>
      <c r="GTZ87" s="200"/>
      <c r="GUA87" s="201"/>
      <c r="GUB87" s="202"/>
      <c r="GUC87" s="202"/>
      <c r="GUD87" s="202"/>
      <c r="GUE87" s="202"/>
      <c r="GUF87" s="203"/>
      <c r="GUG87" s="204"/>
      <c r="GUH87" s="204"/>
      <c r="GUI87" s="204"/>
      <c r="GUJ87" s="205"/>
      <c r="GUK87" s="206"/>
      <c r="GUL87" s="207"/>
      <c r="GUM87" s="207"/>
      <c r="GUN87" s="208"/>
      <c r="GUO87" s="209"/>
      <c r="GUP87" s="207"/>
      <c r="GUQ87" s="210"/>
      <c r="GUR87" s="209"/>
      <c r="GUS87" s="204"/>
      <c r="GUT87" s="204"/>
      <c r="GUU87" s="204"/>
      <c r="GUV87" s="199"/>
      <c r="GUW87" s="167"/>
      <c r="GUX87" s="199"/>
      <c r="GUY87" s="200"/>
      <c r="GUZ87" s="201"/>
      <c r="GVA87" s="202"/>
      <c r="GVB87" s="202"/>
      <c r="GVC87" s="202"/>
      <c r="GVD87" s="202"/>
      <c r="GVE87" s="203"/>
      <c r="GVF87" s="204"/>
      <c r="GVG87" s="204"/>
      <c r="GVH87" s="204"/>
      <c r="GVI87" s="205"/>
      <c r="GVJ87" s="206"/>
      <c r="GVK87" s="207"/>
      <c r="GVL87" s="207"/>
      <c r="GVM87" s="208"/>
      <c r="GVN87" s="209"/>
      <c r="GVO87" s="207"/>
      <c r="GVP87" s="210"/>
      <c r="GVQ87" s="209"/>
      <c r="GVR87" s="204"/>
      <c r="GVS87" s="204"/>
      <c r="GVT87" s="204"/>
      <c r="GVU87" s="199"/>
      <c r="GVV87" s="167"/>
      <c r="GVW87" s="199"/>
      <c r="GVX87" s="200"/>
      <c r="GVY87" s="201"/>
      <c r="GVZ87" s="202"/>
      <c r="GWA87" s="202"/>
      <c r="GWB87" s="202"/>
      <c r="GWC87" s="202"/>
      <c r="GWD87" s="203"/>
      <c r="GWE87" s="204"/>
      <c r="GWF87" s="204"/>
      <c r="GWG87" s="204"/>
      <c r="GWH87" s="205"/>
      <c r="GWI87" s="206"/>
      <c r="GWJ87" s="207"/>
      <c r="GWK87" s="207"/>
      <c r="GWL87" s="208"/>
      <c r="GWM87" s="209"/>
      <c r="GWN87" s="207"/>
      <c r="GWO87" s="210"/>
      <c r="GWP87" s="209"/>
      <c r="GWQ87" s="204"/>
      <c r="GWR87" s="204"/>
      <c r="GWS87" s="204"/>
      <c r="GWT87" s="199"/>
      <c r="GWU87" s="167"/>
      <c r="GWV87" s="199"/>
      <c r="GWW87" s="200"/>
      <c r="GWX87" s="201"/>
      <c r="GWY87" s="202"/>
      <c r="GWZ87" s="202"/>
      <c r="GXA87" s="202"/>
      <c r="GXB87" s="202"/>
      <c r="GXC87" s="203"/>
      <c r="GXD87" s="204"/>
      <c r="GXE87" s="204"/>
      <c r="GXF87" s="204"/>
      <c r="GXG87" s="205"/>
      <c r="GXH87" s="206"/>
      <c r="GXI87" s="207"/>
      <c r="GXJ87" s="207"/>
      <c r="GXK87" s="208"/>
      <c r="GXL87" s="209"/>
      <c r="GXM87" s="207"/>
      <c r="GXN87" s="210"/>
      <c r="GXO87" s="209"/>
      <c r="GXP87" s="204"/>
      <c r="GXQ87" s="204"/>
      <c r="GXR87" s="204"/>
      <c r="GXS87" s="199"/>
      <c r="GXT87" s="167"/>
      <c r="GXU87" s="199"/>
      <c r="GXV87" s="200"/>
      <c r="GXW87" s="201"/>
      <c r="GXX87" s="202"/>
      <c r="GXY87" s="202"/>
      <c r="GXZ87" s="202"/>
      <c r="GYA87" s="202"/>
      <c r="GYB87" s="203"/>
      <c r="GYC87" s="204"/>
      <c r="GYD87" s="204"/>
      <c r="GYE87" s="204"/>
      <c r="GYF87" s="205"/>
      <c r="GYG87" s="206"/>
      <c r="GYH87" s="207"/>
      <c r="GYI87" s="207"/>
      <c r="GYJ87" s="208"/>
      <c r="GYK87" s="209"/>
      <c r="GYL87" s="207"/>
      <c r="GYM87" s="210"/>
      <c r="GYN87" s="209"/>
      <c r="GYO87" s="204"/>
      <c r="GYP87" s="204"/>
      <c r="GYQ87" s="204"/>
      <c r="GYR87" s="199"/>
      <c r="GYS87" s="167"/>
      <c r="GYT87" s="199"/>
      <c r="GYU87" s="200"/>
      <c r="GYV87" s="201"/>
      <c r="GYW87" s="202"/>
      <c r="GYX87" s="202"/>
      <c r="GYY87" s="202"/>
      <c r="GYZ87" s="202"/>
      <c r="GZA87" s="203"/>
      <c r="GZB87" s="204"/>
      <c r="GZC87" s="204"/>
      <c r="GZD87" s="204"/>
      <c r="GZE87" s="205"/>
      <c r="GZF87" s="206"/>
      <c r="GZG87" s="207"/>
      <c r="GZH87" s="207"/>
      <c r="GZI87" s="208"/>
      <c r="GZJ87" s="209"/>
      <c r="GZK87" s="207"/>
      <c r="GZL87" s="210"/>
      <c r="GZM87" s="209"/>
      <c r="GZN87" s="204"/>
      <c r="GZO87" s="204"/>
      <c r="GZP87" s="204"/>
      <c r="GZQ87" s="199"/>
      <c r="GZR87" s="167"/>
      <c r="GZS87" s="199"/>
      <c r="GZT87" s="200"/>
      <c r="GZU87" s="201"/>
      <c r="GZV87" s="202"/>
      <c r="GZW87" s="202"/>
      <c r="GZX87" s="202"/>
      <c r="GZY87" s="202"/>
      <c r="GZZ87" s="203"/>
      <c r="HAA87" s="204"/>
      <c r="HAB87" s="204"/>
      <c r="HAC87" s="204"/>
      <c r="HAD87" s="205"/>
      <c r="HAE87" s="206"/>
      <c r="HAF87" s="207"/>
      <c r="HAG87" s="207"/>
      <c r="HAH87" s="208"/>
      <c r="HAI87" s="209"/>
      <c r="HAJ87" s="207"/>
      <c r="HAK87" s="210"/>
      <c r="HAL87" s="209"/>
      <c r="HAM87" s="204"/>
      <c r="HAN87" s="204"/>
      <c r="HAO87" s="204"/>
      <c r="HAP87" s="199"/>
      <c r="HAQ87" s="167"/>
      <c r="HAR87" s="199"/>
      <c r="HAS87" s="200"/>
      <c r="HAT87" s="201"/>
      <c r="HAU87" s="202"/>
      <c r="HAV87" s="202"/>
      <c r="HAW87" s="202"/>
      <c r="HAX87" s="202"/>
      <c r="HAY87" s="203"/>
      <c r="HAZ87" s="204"/>
      <c r="HBA87" s="204"/>
      <c r="HBB87" s="204"/>
      <c r="HBC87" s="205"/>
      <c r="HBD87" s="206"/>
      <c r="HBE87" s="207"/>
      <c r="HBF87" s="207"/>
      <c r="HBG87" s="208"/>
      <c r="HBH87" s="209"/>
      <c r="HBI87" s="207"/>
      <c r="HBJ87" s="210"/>
      <c r="HBK87" s="209"/>
      <c r="HBL87" s="204"/>
      <c r="HBM87" s="204"/>
      <c r="HBN87" s="204"/>
      <c r="HBO87" s="199"/>
      <c r="HBP87" s="167"/>
      <c r="HBQ87" s="199"/>
      <c r="HBR87" s="200"/>
      <c r="HBS87" s="201"/>
      <c r="HBT87" s="202"/>
      <c r="HBU87" s="202"/>
      <c r="HBV87" s="202"/>
      <c r="HBW87" s="202"/>
      <c r="HBX87" s="203"/>
      <c r="HBY87" s="204"/>
      <c r="HBZ87" s="204"/>
      <c r="HCA87" s="204"/>
      <c r="HCB87" s="205"/>
      <c r="HCC87" s="206"/>
      <c r="HCD87" s="207"/>
      <c r="HCE87" s="207"/>
      <c r="HCF87" s="208"/>
      <c r="HCG87" s="209"/>
      <c r="HCH87" s="207"/>
      <c r="HCI87" s="210"/>
      <c r="HCJ87" s="209"/>
      <c r="HCK87" s="204"/>
      <c r="HCL87" s="204"/>
      <c r="HCM87" s="204"/>
      <c r="HCN87" s="199"/>
      <c r="HCO87" s="167"/>
      <c r="HCP87" s="199"/>
      <c r="HCQ87" s="200"/>
      <c r="HCR87" s="201"/>
      <c r="HCS87" s="202"/>
      <c r="HCT87" s="202"/>
      <c r="HCU87" s="202"/>
      <c r="HCV87" s="202"/>
      <c r="HCW87" s="203"/>
      <c r="HCX87" s="204"/>
      <c r="HCY87" s="204"/>
      <c r="HCZ87" s="204"/>
      <c r="HDA87" s="205"/>
      <c r="HDB87" s="206"/>
      <c r="HDC87" s="207"/>
      <c r="HDD87" s="207"/>
      <c r="HDE87" s="208"/>
      <c r="HDF87" s="209"/>
      <c r="HDG87" s="207"/>
      <c r="HDH87" s="210"/>
      <c r="HDI87" s="209"/>
      <c r="HDJ87" s="204"/>
      <c r="HDK87" s="204"/>
      <c r="HDL87" s="204"/>
      <c r="HDM87" s="199"/>
      <c r="HDN87" s="167"/>
      <c r="HDO87" s="199"/>
      <c r="HDP87" s="200"/>
      <c r="HDQ87" s="201"/>
      <c r="HDR87" s="202"/>
      <c r="HDS87" s="202"/>
      <c r="HDT87" s="202"/>
      <c r="HDU87" s="202"/>
      <c r="HDV87" s="203"/>
      <c r="HDW87" s="204"/>
      <c r="HDX87" s="204"/>
      <c r="HDY87" s="204"/>
      <c r="HDZ87" s="205"/>
      <c r="HEA87" s="206"/>
      <c r="HEB87" s="207"/>
      <c r="HEC87" s="207"/>
      <c r="HED87" s="208"/>
      <c r="HEE87" s="209"/>
      <c r="HEF87" s="207"/>
      <c r="HEG87" s="210"/>
      <c r="HEH87" s="209"/>
      <c r="HEI87" s="204"/>
      <c r="HEJ87" s="204"/>
      <c r="HEK87" s="204"/>
      <c r="HEL87" s="199"/>
      <c r="HEM87" s="167"/>
      <c r="HEN87" s="199"/>
      <c r="HEO87" s="200"/>
      <c r="HEP87" s="201"/>
      <c r="HEQ87" s="202"/>
      <c r="HER87" s="202"/>
      <c r="HES87" s="202"/>
      <c r="HET87" s="202"/>
      <c r="HEU87" s="203"/>
      <c r="HEV87" s="204"/>
      <c r="HEW87" s="204"/>
      <c r="HEX87" s="204"/>
      <c r="HEY87" s="205"/>
      <c r="HEZ87" s="206"/>
      <c r="HFA87" s="207"/>
      <c r="HFB87" s="207"/>
      <c r="HFC87" s="208"/>
      <c r="HFD87" s="209"/>
      <c r="HFE87" s="207"/>
      <c r="HFF87" s="210"/>
      <c r="HFG87" s="209"/>
      <c r="HFH87" s="204"/>
      <c r="HFI87" s="204"/>
      <c r="HFJ87" s="204"/>
      <c r="HFK87" s="199"/>
      <c r="HFL87" s="167"/>
      <c r="HFM87" s="199"/>
      <c r="HFN87" s="200"/>
      <c r="HFO87" s="201"/>
      <c r="HFP87" s="202"/>
      <c r="HFQ87" s="202"/>
      <c r="HFR87" s="202"/>
      <c r="HFS87" s="202"/>
      <c r="HFT87" s="203"/>
      <c r="HFU87" s="204"/>
      <c r="HFV87" s="204"/>
      <c r="HFW87" s="204"/>
      <c r="HFX87" s="205"/>
      <c r="HFY87" s="206"/>
      <c r="HFZ87" s="207"/>
      <c r="HGA87" s="207"/>
      <c r="HGB87" s="208"/>
      <c r="HGC87" s="209"/>
      <c r="HGD87" s="207"/>
      <c r="HGE87" s="210"/>
      <c r="HGF87" s="209"/>
      <c r="HGG87" s="204"/>
      <c r="HGH87" s="204"/>
      <c r="HGI87" s="204"/>
      <c r="HGJ87" s="199"/>
      <c r="HGK87" s="167"/>
      <c r="HGL87" s="199"/>
      <c r="HGM87" s="200"/>
      <c r="HGN87" s="201"/>
      <c r="HGO87" s="202"/>
      <c r="HGP87" s="202"/>
      <c r="HGQ87" s="202"/>
      <c r="HGR87" s="202"/>
      <c r="HGS87" s="203"/>
      <c r="HGT87" s="204"/>
      <c r="HGU87" s="204"/>
      <c r="HGV87" s="204"/>
      <c r="HGW87" s="205"/>
      <c r="HGX87" s="206"/>
      <c r="HGY87" s="207"/>
      <c r="HGZ87" s="207"/>
      <c r="HHA87" s="208"/>
      <c r="HHB87" s="209"/>
      <c r="HHC87" s="207"/>
      <c r="HHD87" s="210"/>
      <c r="HHE87" s="209"/>
      <c r="HHF87" s="204"/>
      <c r="HHG87" s="204"/>
      <c r="HHH87" s="204"/>
      <c r="HHI87" s="199"/>
      <c r="HHJ87" s="167"/>
      <c r="HHK87" s="199"/>
      <c r="HHL87" s="200"/>
      <c r="HHM87" s="201"/>
      <c r="HHN87" s="202"/>
      <c r="HHO87" s="202"/>
      <c r="HHP87" s="202"/>
      <c r="HHQ87" s="202"/>
      <c r="HHR87" s="203"/>
      <c r="HHS87" s="204"/>
      <c r="HHT87" s="204"/>
      <c r="HHU87" s="204"/>
      <c r="HHV87" s="205"/>
      <c r="HHW87" s="206"/>
      <c r="HHX87" s="207"/>
      <c r="HHY87" s="207"/>
      <c r="HHZ87" s="208"/>
      <c r="HIA87" s="209"/>
      <c r="HIB87" s="207"/>
      <c r="HIC87" s="210"/>
      <c r="HID87" s="209"/>
      <c r="HIE87" s="204"/>
      <c r="HIF87" s="204"/>
      <c r="HIG87" s="204"/>
      <c r="HIH87" s="199"/>
      <c r="HII87" s="167"/>
      <c r="HIJ87" s="199"/>
      <c r="HIK87" s="200"/>
      <c r="HIL87" s="201"/>
      <c r="HIM87" s="202"/>
      <c r="HIN87" s="202"/>
      <c r="HIO87" s="202"/>
      <c r="HIP87" s="202"/>
      <c r="HIQ87" s="203"/>
      <c r="HIR87" s="204"/>
      <c r="HIS87" s="204"/>
      <c r="HIT87" s="204"/>
      <c r="HIU87" s="205"/>
      <c r="HIV87" s="206"/>
      <c r="HIW87" s="207"/>
      <c r="HIX87" s="207"/>
      <c r="HIY87" s="208"/>
      <c r="HIZ87" s="209"/>
      <c r="HJA87" s="207"/>
      <c r="HJB87" s="210"/>
      <c r="HJC87" s="209"/>
      <c r="HJD87" s="204"/>
      <c r="HJE87" s="204"/>
      <c r="HJF87" s="204"/>
      <c r="HJG87" s="199"/>
      <c r="HJH87" s="167"/>
      <c r="HJI87" s="199"/>
      <c r="HJJ87" s="200"/>
      <c r="HJK87" s="201"/>
      <c r="HJL87" s="202"/>
      <c r="HJM87" s="202"/>
      <c r="HJN87" s="202"/>
      <c r="HJO87" s="202"/>
      <c r="HJP87" s="203"/>
      <c r="HJQ87" s="204"/>
      <c r="HJR87" s="204"/>
      <c r="HJS87" s="204"/>
      <c r="HJT87" s="205"/>
      <c r="HJU87" s="206"/>
      <c r="HJV87" s="207"/>
      <c r="HJW87" s="207"/>
      <c r="HJX87" s="208"/>
      <c r="HJY87" s="209"/>
      <c r="HJZ87" s="207"/>
      <c r="HKA87" s="210"/>
      <c r="HKB87" s="209"/>
      <c r="HKC87" s="204"/>
      <c r="HKD87" s="204"/>
      <c r="HKE87" s="204"/>
      <c r="HKF87" s="199"/>
      <c r="HKG87" s="167"/>
      <c r="HKH87" s="199"/>
      <c r="HKI87" s="200"/>
      <c r="HKJ87" s="201"/>
      <c r="HKK87" s="202"/>
      <c r="HKL87" s="202"/>
      <c r="HKM87" s="202"/>
      <c r="HKN87" s="202"/>
      <c r="HKO87" s="203"/>
      <c r="HKP87" s="204"/>
      <c r="HKQ87" s="204"/>
      <c r="HKR87" s="204"/>
      <c r="HKS87" s="205"/>
      <c r="HKT87" s="206"/>
      <c r="HKU87" s="207"/>
      <c r="HKV87" s="207"/>
      <c r="HKW87" s="208"/>
      <c r="HKX87" s="209"/>
      <c r="HKY87" s="207"/>
      <c r="HKZ87" s="210"/>
      <c r="HLA87" s="209"/>
      <c r="HLB87" s="204"/>
      <c r="HLC87" s="204"/>
      <c r="HLD87" s="204"/>
      <c r="HLE87" s="199"/>
      <c r="HLF87" s="167"/>
      <c r="HLG87" s="199"/>
      <c r="HLH87" s="200"/>
      <c r="HLI87" s="201"/>
      <c r="HLJ87" s="202"/>
      <c r="HLK87" s="202"/>
      <c r="HLL87" s="202"/>
      <c r="HLM87" s="202"/>
      <c r="HLN87" s="203"/>
      <c r="HLO87" s="204"/>
      <c r="HLP87" s="204"/>
      <c r="HLQ87" s="204"/>
      <c r="HLR87" s="205"/>
      <c r="HLS87" s="206"/>
      <c r="HLT87" s="207"/>
      <c r="HLU87" s="207"/>
      <c r="HLV87" s="208"/>
      <c r="HLW87" s="209"/>
      <c r="HLX87" s="207"/>
      <c r="HLY87" s="210"/>
      <c r="HLZ87" s="209"/>
      <c r="HMA87" s="204"/>
      <c r="HMB87" s="204"/>
      <c r="HMC87" s="204"/>
      <c r="HMD87" s="199"/>
      <c r="HME87" s="167"/>
      <c r="HMF87" s="199"/>
      <c r="HMG87" s="200"/>
      <c r="HMH87" s="201"/>
      <c r="HMI87" s="202"/>
      <c r="HMJ87" s="202"/>
      <c r="HMK87" s="202"/>
      <c r="HML87" s="202"/>
      <c r="HMM87" s="203"/>
      <c r="HMN87" s="204"/>
      <c r="HMO87" s="204"/>
      <c r="HMP87" s="204"/>
      <c r="HMQ87" s="205"/>
      <c r="HMR87" s="206"/>
      <c r="HMS87" s="207"/>
      <c r="HMT87" s="207"/>
      <c r="HMU87" s="208"/>
      <c r="HMV87" s="209"/>
      <c r="HMW87" s="207"/>
      <c r="HMX87" s="210"/>
      <c r="HMY87" s="209"/>
      <c r="HMZ87" s="204"/>
      <c r="HNA87" s="204"/>
      <c r="HNB87" s="204"/>
      <c r="HNC87" s="199"/>
      <c r="HND87" s="167"/>
      <c r="HNE87" s="199"/>
      <c r="HNF87" s="200"/>
      <c r="HNG87" s="201"/>
      <c r="HNH87" s="202"/>
      <c r="HNI87" s="202"/>
      <c r="HNJ87" s="202"/>
      <c r="HNK87" s="202"/>
      <c r="HNL87" s="203"/>
      <c r="HNM87" s="204"/>
      <c r="HNN87" s="204"/>
      <c r="HNO87" s="204"/>
      <c r="HNP87" s="205"/>
      <c r="HNQ87" s="206"/>
      <c r="HNR87" s="207"/>
      <c r="HNS87" s="207"/>
      <c r="HNT87" s="208"/>
      <c r="HNU87" s="209"/>
      <c r="HNV87" s="207"/>
      <c r="HNW87" s="210"/>
      <c r="HNX87" s="209"/>
      <c r="HNY87" s="204"/>
      <c r="HNZ87" s="204"/>
      <c r="HOA87" s="204"/>
      <c r="HOB87" s="199"/>
      <c r="HOC87" s="167"/>
      <c r="HOD87" s="199"/>
      <c r="HOE87" s="200"/>
      <c r="HOF87" s="201"/>
      <c r="HOG87" s="202"/>
      <c r="HOH87" s="202"/>
      <c r="HOI87" s="202"/>
      <c r="HOJ87" s="202"/>
      <c r="HOK87" s="203"/>
      <c r="HOL87" s="204"/>
      <c r="HOM87" s="204"/>
      <c r="HON87" s="204"/>
      <c r="HOO87" s="205"/>
      <c r="HOP87" s="206"/>
      <c r="HOQ87" s="207"/>
      <c r="HOR87" s="207"/>
      <c r="HOS87" s="208"/>
      <c r="HOT87" s="209"/>
      <c r="HOU87" s="207"/>
      <c r="HOV87" s="210"/>
      <c r="HOW87" s="209"/>
      <c r="HOX87" s="204"/>
      <c r="HOY87" s="204"/>
      <c r="HOZ87" s="204"/>
      <c r="HPA87" s="199"/>
      <c r="HPB87" s="167"/>
      <c r="HPC87" s="199"/>
      <c r="HPD87" s="200"/>
      <c r="HPE87" s="201"/>
      <c r="HPF87" s="202"/>
      <c r="HPG87" s="202"/>
      <c r="HPH87" s="202"/>
      <c r="HPI87" s="202"/>
      <c r="HPJ87" s="203"/>
      <c r="HPK87" s="204"/>
      <c r="HPL87" s="204"/>
      <c r="HPM87" s="204"/>
      <c r="HPN87" s="205"/>
      <c r="HPO87" s="206"/>
      <c r="HPP87" s="207"/>
      <c r="HPQ87" s="207"/>
      <c r="HPR87" s="208"/>
      <c r="HPS87" s="209"/>
      <c r="HPT87" s="207"/>
      <c r="HPU87" s="210"/>
      <c r="HPV87" s="209"/>
      <c r="HPW87" s="204"/>
      <c r="HPX87" s="204"/>
      <c r="HPY87" s="204"/>
      <c r="HPZ87" s="199"/>
      <c r="HQA87" s="167"/>
      <c r="HQB87" s="199"/>
      <c r="HQC87" s="200"/>
      <c r="HQD87" s="201"/>
      <c r="HQE87" s="202"/>
      <c r="HQF87" s="202"/>
      <c r="HQG87" s="202"/>
      <c r="HQH87" s="202"/>
      <c r="HQI87" s="203"/>
      <c r="HQJ87" s="204"/>
      <c r="HQK87" s="204"/>
      <c r="HQL87" s="204"/>
      <c r="HQM87" s="205"/>
      <c r="HQN87" s="206"/>
      <c r="HQO87" s="207"/>
      <c r="HQP87" s="207"/>
      <c r="HQQ87" s="208"/>
      <c r="HQR87" s="209"/>
      <c r="HQS87" s="207"/>
      <c r="HQT87" s="210"/>
      <c r="HQU87" s="209"/>
      <c r="HQV87" s="204"/>
      <c r="HQW87" s="204"/>
      <c r="HQX87" s="204"/>
      <c r="HQY87" s="199"/>
      <c r="HQZ87" s="167"/>
      <c r="HRA87" s="199"/>
      <c r="HRB87" s="200"/>
      <c r="HRC87" s="201"/>
      <c r="HRD87" s="202"/>
      <c r="HRE87" s="202"/>
      <c r="HRF87" s="202"/>
      <c r="HRG87" s="202"/>
      <c r="HRH87" s="203"/>
      <c r="HRI87" s="204"/>
      <c r="HRJ87" s="204"/>
      <c r="HRK87" s="204"/>
      <c r="HRL87" s="205"/>
      <c r="HRM87" s="206"/>
      <c r="HRN87" s="207"/>
      <c r="HRO87" s="207"/>
      <c r="HRP87" s="208"/>
      <c r="HRQ87" s="209"/>
      <c r="HRR87" s="207"/>
      <c r="HRS87" s="210"/>
      <c r="HRT87" s="209"/>
      <c r="HRU87" s="204"/>
      <c r="HRV87" s="204"/>
      <c r="HRW87" s="204"/>
      <c r="HRX87" s="199"/>
      <c r="HRY87" s="167"/>
      <c r="HRZ87" s="199"/>
      <c r="HSA87" s="200"/>
      <c r="HSB87" s="201"/>
      <c r="HSC87" s="202"/>
      <c r="HSD87" s="202"/>
      <c r="HSE87" s="202"/>
      <c r="HSF87" s="202"/>
      <c r="HSG87" s="203"/>
      <c r="HSH87" s="204"/>
      <c r="HSI87" s="204"/>
      <c r="HSJ87" s="204"/>
      <c r="HSK87" s="205"/>
      <c r="HSL87" s="206"/>
      <c r="HSM87" s="207"/>
      <c r="HSN87" s="207"/>
      <c r="HSO87" s="208"/>
      <c r="HSP87" s="209"/>
      <c r="HSQ87" s="207"/>
      <c r="HSR87" s="210"/>
      <c r="HSS87" s="209"/>
      <c r="HST87" s="204"/>
      <c r="HSU87" s="204"/>
      <c r="HSV87" s="204"/>
      <c r="HSW87" s="199"/>
      <c r="HSX87" s="167"/>
      <c r="HSY87" s="199"/>
      <c r="HSZ87" s="200"/>
      <c r="HTA87" s="201"/>
      <c r="HTB87" s="202"/>
      <c r="HTC87" s="202"/>
      <c r="HTD87" s="202"/>
      <c r="HTE87" s="202"/>
      <c r="HTF87" s="203"/>
      <c r="HTG87" s="204"/>
      <c r="HTH87" s="204"/>
      <c r="HTI87" s="204"/>
      <c r="HTJ87" s="205"/>
      <c r="HTK87" s="206"/>
      <c r="HTL87" s="207"/>
      <c r="HTM87" s="207"/>
      <c r="HTN87" s="208"/>
      <c r="HTO87" s="209"/>
      <c r="HTP87" s="207"/>
      <c r="HTQ87" s="210"/>
      <c r="HTR87" s="209"/>
      <c r="HTS87" s="204"/>
      <c r="HTT87" s="204"/>
      <c r="HTU87" s="204"/>
      <c r="HTV87" s="199"/>
      <c r="HTW87" s="167"/>
      <c r="HTX87" s="199"/>
      <c r="HTY87" s="200"/>
      <c r="HTZ87" s="201"/>
      <c r="HUA87" s="202"/>
      <c r="HUB87" s="202"/>
      <c r="HUC87" s="202"/>
      <c r="HUD87" s="202"/>
      <c r="HUE87" s="203"/>
      <c r="HUF87" s="204"/>
      <c r="HUG87" s="204"/>
      <c r="HUH87" s="204"/>
      <c r="HUI87" s="205"/>
      <c r="HUJ87" s="206"/>
      <c r="HUK87" s="207"/>
      <c r="HUL87" s="207"/>
      <c r="HUM87" s="208"/>
      <c r="HUN87" s="209"/>
      <c r="HUO87" s="207"/>
      <c r="HUP87" s="210"/>
      <c r="HUQ87" s="209"/>
      <c r="HUR87" s="204"/>
      <c r="HUS87" s="204"/>
      <c r="HUT87" s="204"/>
      <c r="HUU87" s="199"/>
      <c r="HUV87" s="167"/>
      <c r="HUW87" s="199"/>
      <c r="HUX87" s="200"/>
      <c r="HUY87" s="201"/>
      <c r="HUZ87" s="202"/>
      <c r="HVA87" s="202"/>
      <c r="HVB87" s="202"/>
      <c r="HVC87" s="202"/>
      <c r="HVD87" s="203"/>
      <c r="HVE87" s="204"/>
      <c r="HVF87" s="204"/>
      <c r="HVG87" s="204"/>
      <c r="HVH87" s="205"/>
      <c r="HVI87" s="206"/>
      <c r="HVJ87" s="207"/>
      <c r="HVK87" s="207"/>
      <c r="HVL87" s="208"/>
      <c r="HVM87" s="209"/>
      <c r="HVN87" s="207"/>
      <c r="HVO87" s="210"/>
      <c r="HVP87" s="209"/>
      <c r="HVQ87" s="204"/>
      <c r="HVR87" s="204"/>
      <c r="HVS87" s="204"/>
      <c r="HVT87" s="199"/>
      <c r="HVU87" s="167"/>
      <c r="HVV87" s="199"/>
      <c r="HVW87" s="200"/>
      <c r="HVX87" s="201"/>
      <c r="HVY87" s="202"/>
      <c r="HVZ87" s="202"/>
      <c r="HWA87" s="202"/>
      <c r="HWB87" s="202"/>
      <c r="HWC87" s="203"/>
      <c r="HWD87" s="204"/>
      <c r="HWE87" s="204"/>
      <c r="HWF87" s="204"/>
      <c r="HWG87" s="205"/>
      <c r="HWH87" s="206"/>
      <c r="HWI87" s="207"/>
      <c r="HWJ87" s="207"/>
      <c r="HWK87" s="208"/>
      <c r="HWL87" s="209"/>
      <c r="HWM87" s="207"/>
      <c r="HWN87" s="210"/>
      <c r="HWO87" s="209"/>
      <c r="HWP87" s="204"/>
      <c r="HWQ87" s="204"/>
      <c r="HWR87" s="204"/>
      <c r="HWS87" s="199"/>
      <c r="HWT87" s="167"/>
      <c r="HWU87" s="199"/>
      <c r="HWV87" s="200"/>
      <c r="HWW87" s="201"/>
      <c r="HWX87" s="202"/>
      <c r="HWY87" s="202"/>
      <c r="HWZ87" s="202"/>
      <c r="HXA87" s="202"/>
      <c r="HXB87" s="203"/>
      <c r="HXC87" s="204"/>
      <c r="HXD87" s="204"/>
      <c r="HXE87" s="204"/>
      <c r="HXF87" s="205"/>
      <c r="HXG87" s="206"/>
      <c r="HXH87" s="207"/>
      <c r="HXI87" s="207"/>
      <c r="HXJ87" s="208"/>
      <c r="HXK87" s="209"/>
      <c r="HXL87" s="207"/>
      <c r="HXM87" s="210"/>
      <c r="HXN87" s="209"/>
      <c r="HXO87" s="204"/>
      <c r="HXP87" s="204"/>
      <c r="HXQ87" s="204"/>
      <c r="HXR87" s="199"/>
      <c r="HXS87" s="167"/>
      <c r="HXT87" s="199"/>
      <c r="HXU87" s="200"/>
      <c r="HXV87" s="201"/>
      <c r="HXW87" s="202"/>
      <c r="HXX87" s="202"/>
      <c r="HXY87" s="202"/>
      <c r="HXZ87" s="202"/>
      <c r="HYA87" s="203"/>
      <c r="HYB87" s="204"/>
      <c r="HYC87" s="204"/>
      <c r="HYD87" s="204"/>
      <c r="HYE87" s="205"/>
      <c r="HYF87" s="206"/>
      <c r="HYG87" s="207"/>
      <c r="HYH87" s="207"/>
      <c r="HYI87" s="208"/>
      <c r="HYJ87" s="209"/>
      <c r="HYK87" s="207"/>
      <c r="HYL87" s="210"/>
      <c r="HYM87" s="209"/>
      <c r="HYN87" s="204"/>
      <c r="HYO87" s="204"/>
      <c r="HYP87" s="204"/>
      <c r="HYQ87" s="199"/>
      <c r="HYR87" s="167"/>
      <c r="HYS87" s="199"/>
      <c r="HYT87" s="200"/>
      <c r="HYU87" s="201"/>
      <c r="HYV87" s="202"/>
      <c r="HYW87" s="202"/>
      <c r="HYX87" s="202"/>
      <c r="HYY87" s="202"/>
      <c r="HYZ87" s="203"/>
      <c r="HZA87" s="204"/>
      <c r="HZB87" s="204"/>
      <c r="HZC87" s="204"/>
      <c r="HZD87" s="205"/>
      <c r="HZE87" s="206"/>
      <c r="HZF87" s="207"/>
      <c r="HZG87" s="207"/>
      <c r="HZH87" s="208"/>
      <c r="HZI87" s="209"/>
      <c r="HZJ87" s="207"/>
      <c r="HZK87" s="210"/>
      <c r="HZL87" s="209"/>
      <c r="HZM87" s="204"/>
      <c r="HZN87" s="204"/>
      <c r="HZO87" s="204"/>
      <c r="HZP87" s="199"/>
      <c r="HZQ87" s="167"/>
      <c r="HZR87" s="199"/>
      <c r="HZS87" s="200"/>
      <c r="HZT87" s="201"/>
      <c r="HZU87" s="202"/>
      <c r="HZV87" s="202"/>
      <c r="HZW87" s="202"/>
      <c r="HZX87" s="202"/>
      <c r="HZY87" s="203"/>
      <c r="HZZ87" s="204"/>
      <c r="IAA87" s="204"/>
      <c r="IAB87" s="204"/>
      <c r="IAC87" s="205"/>
      <c r="IAD87" s="206"/>
      <c r="IAE87" s="207"/>
      <c r="IAF87" s="207"/>
      <c r="IAG87" s="208"/>
      <c r="IAH87" s="209"/>
      <c r="IAI87" s="207"/>
      <c r="IAJ87" s="210"/>
      <c r="IAK87" s="209"/>
      <c r="IAL87" s="204"/>
      <c r="IAM87" s="204"/>
      <c r="IAN87" s="204"/>
      <c r="IAO87" s="199"/>
      <c r="IAP87" s="167"/>
      <c r="IAQ87" s="199"/>
      <c r="IAR87" s="200"/>
      <c r="IAS87" s="201"/>
      <c r="IAT87" s="202"/>
      <c r="IAU87" s="202"/>
      <c r="IAV87" s="202"/>
      <c r="IAW87" s="202"/>
      <c r="IAX87" s="203"/>
      <c r="IAY87" s="204"/>
      <c r="IAZ87" s="204"/>
      <c r="IBA87" s="204"/>
      <c r="IBB87" s="205"/>
      <c r="IBC87" s="206"/>
      <c r="IBD87" s="207"/>
      <c r="IBE87" s="207"/>
      <c r="IBF87" s="208"/>
      <c r="IBG87" s="209"/>
      <c r="IBH87" s="207"/>
      <c r="IBI87" s="210"/>
      <c r="IBJ87" s="209"/>
      <c r="IBK87" s="204"/>
      <c r="IBL87" s="204"/>
      <c r="IBM87" s="204"/>
      <c r="IBN87" s="199"/>
      <c r="IBO87" s="167"/>
      <c r="IBP87" s="199"/>
      <c r="IBQ87" s="200"/>
      <c r="IBR87" s="201"/>
      <c r="IBS87" s="202"/>
      <c r="IBT87" s="202"/>
      <c r="IBU87" s="202"/>
      <c r="IBV87" s="202"/>
      <c r="IBW87" s="203"/>
      <c r="IBX87" s="204"/>
      <c r="IBY87" s="204"/>
      <c r="IBZ87" s="204"/>
      <c r="ICA87" s="205"/>
      <c r="ICB87" s="206"/>
      <c r="ICC87" s="207"/>
      <c r="ICD87" s="207"/>
      <c r="ICE87" s="208"/>
      <c r="ICF87" s="209"/>
      <c r="ICG87" s="207"/>
      <c r="ICH87" s="210"/>
      <c r="ICI87" s="209"/>
      <c r="ICJ87" s="204"/>
      <c r="ICK87" s="204"/>
      <c r="ICL87" s="204"/>
      <c r="ICM87" s="199"/>
      <c r="ICN87" s="167"/>
      <c r="ICO87" s="199"/>
      <c r="ICP87" s="200"/>
      <c r="ICQ87" s="201"/>
      <c r="ICR87" s="202"/>
      <c r="ICS87" s="202"/>
      <c r="ICT87" s="202"/>
      <c r="ICU87" s="202"/>
      <c r="ICV87" s="203"/>
      <c r="ICW87" s="204"/>
      <c r="ICX87" s="204"/>
      <c r="ICY87" s="204"/>
      <c r="ICZ87" s="205"/>
      <c r="IDA87" s="206"/>
      <c r="IDB87" s="207"/>
      <c r="IDC87" s="207"/>
      <c r="IDD87" s="208"/>
      <c r="IDE87" s="209"/>
      <c r="IDF87" s="207"/>
      <c r="IDG87" s="210"/>
      <c r="IDH87" s="209"/>
      <c r="IDI87" s="204"/>
      <c r="IDJ87" s="204"/>
      <c r="IDK87" s="204"/>
      <c r="IDL87" s="199"/>
      <c r="IDM87" s="167"/>
      <c r="IDN87" s="199"/>
      <c r="IDO87" s="200"/>
      <c r="IDP87" s="201"/>
      <c r="IDQ87" s="202"/>
      <c r="IDR87" s="202"/>
      <c r="IDS87" s="202"/>
      <c r="IDT87" s="202"/>
      <c r="IDU87" s="203"/>
      <c r="IDV87" s="204"/>
      <c r="IDW87" s="204"/>
      <c r="IDX87" s="204"/>
      <c r="IDY87" s="205"/>
      <c r="IDZ87" s="206"/>
      <c r="IEA87" s="207"/>
      <c r="IEB87" s="207"/>
      <c r="IEC87" s="208"/>
      <c r="IED87" s="209"/>
      <c r="IEE87" s="207"/>
      <c r="IEF87" s="210"/>
      <c r="IEG87" s="209"/>
      <c r="IEH87" s="204"/>
      <c r="IEI87" s="204"/>
      <c r="IEJ87" s="204"/>
      <c r="IEK87" s="199"/>
      <c r="IEL87" s="167"/>
      <c r="IEM87" s="199"/>
      <c r="IEN87" s="200"/>
      <c r="IEO87" s="201"/>
      <c r="IEP87" s="202"/>
      <c r="IEQ87" s="202"/>
      <c r="IER87" s="202"/>
      <c r="IES87" s="202"/>
      <c r="IET87" s="203"/>
      <c r="IEU87" s="204"/>
      <c r="IEV87" s="204"/>
      <c r="IEW87" s="204"/>
      <c r="IEX87" s="205"/>
      <c r="IEY87" s="206"/>
      <c r="IEZ87" s="207"/>
      <c r="IFA87" s="207"/>
      <c r="IFB87" s="208"/>
      <c r="IFC87" s="209"/>
      <c r="IFD87" s="207"/>
      <c r="IFE87" s="210"/>
      <c r="IFF87" s="209"/>
      <c r="IFG87" s="204"/>
      <c r="IFH87" s="204"/>
      <c r="IFI87" s="204"/>
      <c r="IFJ87" s="199"/>
      <c r="IFK87" s="167"/>
      <c r="IFL87" s="199"/>
      <c r="IFM87" s="200"/>
      <c r="IFN87" s="201"/>
      <c r="IFO87" s="202"/>
      <c r="IFP87" s="202"/>
      <c r="IFQ87" s="202"/>
      <c r="IFR87" s="202"/>
      <c r="IFS87" s="203"/>
      <c r="IFT87" s="204"/>
      <c r="IFU87" s="204"/>
      <c r="IFV87" s="204"/>
      <c r="IFW87" s="205"/>
      <c r="IFX87" s="206"/>
      <c r="IFY87" s="207"/>
      <c r="IFZ87" s="207"/>
      <c r="IGA87" s="208"/>
      <c r="IGB87" s="209"/>
      <c r="IGC87" s="207"/>
      <c r="IGD87" s="210"/>
      <c r="IGE87" s="209"/>
      <c r="IGF87" s="204"/>
      <c r="IGG87" s="204"/>
      <c r="IGH87" s="204"/>
      <c r="IGI87" s="199"/>
      <c r="IGJ87" s="167"/>
      <c r="IGK87" s="199"/>
      <c r="IGL87" s="200"/>
      <c r="IGM87" s="201"/>
      <c r="IGN87" s="202"/>
      <c r="IGO87" s="202"/>
      <c r="IGP87" s="202"/>
      <c r="IGQ87" s="202"/>
      <c r="IGR87" s="203"/>
      <c r="IGS87" s="204"/>
      <c r="IGT87" s="204"/>
      <c r="IGU87" s="204"/>
      <c r="IGV87" s="205"/>
      <c r="IGW87" s="206"/>
      <c r="IGX87" s="207"/>
      <c r="IGY87" s="207"/>
      <c r="IGZ87" s="208"/>
      <c r="IHA87" s="209"/>
      <c r="IHB87" s="207"/>
      <c r="IHC87" s="210"/>
      <c r="IHD87" s="209"/>
      <c r="IHE87" s="204"/>
      <c r="IHF87" s="204"/>
      <c r="IHG87" s="204"/>
      <c r="IHH87" s="199"/>
      <c r="IHI87" s="167"/>
      <c r="IHJ87" s="199"/>
      <c r="IHK87" s="200"/>
      <c r="IHL87" s="201"/>
      <c r="IHM87" s="202"/>
      <c r="IHN87" s="202"/>
      <c r="IHO87" s="202"/>
      <c r="IHP87" s="202"/>
      <c r="IHQ87" s="203"/>
      <c r="IHR87" s="204"/>
      <c r="IHS87" s="204"/>
      <c r="IHT87" s="204"/>
      <c r="IHU87" s="205"/>
      <c r="IHV87" s="206"/>
      <c r="IHW87" s="207"/>
      <c r="IHX87" s="207"/>
      <c r="IHY87" s="208"/>
      <c r="IHZ87" s="209"/>
      <c r="IIA87" s="207"/>
      <c r="IIB87" s="210"/>
      <c r="IIC87" s="209"/>
      <c r="IID87" s="204"/>
      <c r="IIE87" s="204"/>
      <c r="IIF87" s="204"/>
      <c r="IIG87" s="199"/>
      <c r="IIH87" s="167"/>
      <c r="III87" s="199"/>
      <c r="IIJ87" s="200"/>
      <c r="IIK87" s="201"/>
      <c r="IIL87" s="202"/>
      <c r="IIM87" s="202"/>
      <c r="IIN87" s="202"/>
      <c r="IIO87" s="202"/>
      <c r="IIP87" s="203"/>
      <c r="IIQ87" s="204"/>
      <c r="IIR87" s="204"/>
      <c r="IIS87" s="204"/>
      <c r="IIT87" s="205"/>
      <c r="IIU87" s="206"/>
      <c r="IIV87" s="207"/>
      <c r="IIW87" s="207"/>
      <c r="IIX87" s="208"/>
      <c r="IIY87" s="209"/>
      <c r="IIZ87" s="207"/>
      <c r="IJA87" s="210"/>
      <c r="IJB87" s="209"/>
      <c r="IJC87" s="204"/>
      <c r="IJD87" s="204"/>
      <c r="IJE87" s="204"/>
      <c r="IJF87" s="199"/>
      <c r="IJG87" s="167"/>
      <c r="IJH87" s="199"/>
      <c r="IJI87" s="200"/>
      <c r="IJJ87" s="201"/>
      <c r="IJK87" s="202"/>
      <c r="IJL87" s="202"/>
      <c r="IJM87" s="202"/>
      <c r="IJN87" s="202"/>
      <c r="IJO87" s="203"/>
      <c r="IJP87" s="204"/>
      <c r="IJQ87" s="204"/>
      <c r="IJR87" s="204"/>
      <c r="IJS87" s="205"/>
      <c r="IJT87" s="206"/>
      <c r="IJU87" s="207"/>
      <c r="IJV87" s="207"/>
      <c r="IJW87" s="208"/>
      <c r="IJX87" s="209"/>
      <c r="IJY87" s="207"/>
      <c r="IJZ87" s="210"/>
      <c r="IKA87" s="209"/>
      <c r="IKB87" s="204"/>
      <c r="IKC87" s="204"/>
      <c r="IKD87" s="204"/>
      <c r="IKE87" s="199"/>
      <c r="IKF87" s="167"/>
      <c r="IKG87" s="199"/>
      <c r="IKH87" s="200"/>
      <c r="IKI87" s="201"/>
      <c r="IKJ87" s="202"/>
      <c r="IKK87" s="202"/>
      <c r="IKL87" s="202"/>
      <c r="IKM87" s="202"/>
      <c r="IKN87" s="203"/>
      <c r="IKO87" s="204"/>
      <c r="IKP87" s="204"/>
      <c r="IKQ87" s="204"/>
      <c r="IKR87" s="205"/>
      <c r="IKS87" s="206"/>
      <c r="IKT87" s="207"/>
      <c r="IKU87" s="207"/>
      <c r="IKV87" s="208"/>
      <c r="IKW87" s="209"/>
      <c r="IKX87" s="207"/>
      <c r="IKY87" s="210"/>
      <c r="IKZ87" s="209"/>
      <c r="ILA87" s="204"/>
      <c r="ILB87" s="204"/>
      <c r="ILC87" s="204"/>
      <c r="ILD87" s="199"/>
      <c r="ILE87" s="167"/>
      <c r="ILF87" s="199"/>
      <c r="ILG87" s="200"/>
      <c r="ILH87" s="201"/>
      <c r="ILI87" s="202"/>
      <c r="ILJ87" s="202"/>
      <c r="ILK87" s="202"/>
      <c r="ILL87" s="202"/>
      <c r="ILM87" s="203"/>
      <c r="ILN87" s="204"/>
      <c r="ILO87" s="204"/>
      <c r="ILP87" s="204"/>
      <c r="ILQ87" s="205"/>
      <c r="ILR87" s="206"/>
      <c r="ILS87" s="207"/>
      <c r="ILT87" s="207"/>
      <c r="ILU87" s="208"/>
      <c r="ILV87" s="209"/>
      <c r="ILW87" s="207"/>
      <c r="ILX87" s="210"/>
      <c r="ILY87" s="209"/>
      <c r="ILZ87" s="204"/>
      <c r="IMA87" s="204"/>
      <c r="IMB87" s="204"/>
      <c r="IMC87" s="199"/>
      <c r="IMD87" s="167"/>
      <c r="IME87" s="199"/>
      <c r="IMF87" s="200"/>
      <c r="IMG87" s="201"/>
      <c r="IMH87" s="202"/>
      <c r="IMI87" s="202"/>
      <c r="IMJ87" s="202"/>
      <c r="IMK87" s="202"/>
      <c r="IML87" s="203"/>
      <c r="IMM87" s="204"/>
      <c r="IMN87" s="204"/>
      <c r="IMO87" s="204"/>
      <c r="IMP87" s="205"/>
      <c r="IMQ87" s="206"/>
      <c r="IMR87" s="207"/>
      <c r="IMS87" s="207"/>
      <c r="IMT87" s="208"/>
      <c r="IMU87" s="209"/>
      <c r="IMV87" s="207"/>
      <c r="IMW87" s="210"/>
      <c r="IMX87" s="209"/>
      <c r="IMY87" s="204"/>
      <c r="IMZ87" s="204"/>
      <c r="INA87" s="204"/>
      <c r="INB87" s="199"/>
      <c r="INC87" s="167"/>
      <c r="IND87" s="199"/>
      <c r="INE87" s="200"/>
      <c r="INF87" s="201"/>
      <c r="ING87" s="202"/>
      <c r="INH87" s="202"/>
      <c r="INI87" s="202"/>
      <c r="INJ87" s="202"/>
      <c r="INK87" s="203"/>
      <c r="INL87" s="204"/>
      <c r="INM87" s="204"/>
      <c r="INN87" s="204"/>
      <c r="INO87" s="205"/>
      <c r="INP87" s="206"/>
      <c r="INQ87" s="207"/>
      <c r="INR87" s="207"/>
      <c r="INS87" s="208"/>
      <c r="INT87" s="209"/>
      <c r="INU87" s="207"/>
      <c r="INV87" s="210"/>
      <c r="INW87" s="209"/>
      <c r="INX87" s="204"/>
      <c r="INY87" s="204"/>
      <c r="INZ87" s="204"/>
      <c r="IOA87" s="199"/>
      <c r="IOB87" s="167"/>
      <c r="IOC87" s="199"/>
      <c r="IOD87" s="200"/>
      <c r="IOE87" s="201"/>
      <c r="IOF87" s="202"/>
      <c r="IOG87" s="202"/>
      <c r="IOH87" s="202"/>
      <c r="IOI87" s="202"/>
      <c r="IOJ87" s="203"/>
      <c r="IOK87" s="204"/>
      <c r="IOL87" s="204"/>
      <c r="IOM87" s="204"/>
      <c r="ION87" s="205"/>
      <c r="IOO87" s="206"/>
      <c r="IOP87" s="207"/>
      <c r="IOQ87" s="207"/>
      <c r="IOR87" s="208"/>
      <c r="IOS87" s="209"/>
      <c r="IOT87" s="207"/>
      <c r="IOU87" s="210"/>
      <c r="IOV87" s="209"/>
      <c r="IOW87" s="204"/>
      <c r="IOX87" s="204"/>
      <c r="IOY87" s="204"/>
      <c r="IOZ87" s="199"/>
      <c r="IPA87" s="167"/>
      <c r="IPB87" s="199"/>
      <c r="IPC87" s="200"/>
      <c r="IPD87" s="201"/>
      <c r="IPE87" s="202"/>
      <c r="IPF87" s="202"/>
      <c r="IPG87" s="202"/>
      <c r="IPH87" s="202"/>
      <c r="IPI87" s="203"/>
      <c r="IPJ87" s="204"/>
      <c r="IPK87" s="204"/>
      <c r="IPL87" s="204"/>
      <c r="IPM87" s="205"/>
      <c r="IPN87" s="206"/>
      <c r="IPO87" s="207"/>
      <c r="IPP87" s="207"/>
      <c r="IPQ87" s="208"/>
      <c r="IPR87" s="209"/>
      <c r="IPS87" s="207"/>
      <c r="IPT87" s="210"/>
      <c r="IPU87" s="209"/>
      <c r="IPV87" s="204"/>
      <c r="IPW87" s="204"/>
      <c r="IPX87" s="204"/>
      <c r="IPY87" s="199"/>
      <c r="IPZ87" s="167"/>
      <c r="IQA87" s="199"/>
      <c r="IQB87" s="200"/>
      <c r="IQC87" s="201"/>
      <c r="IQD87" s="202"/>
      <c r="IQE87" s="202"/>
      <c r="IQF87" s="202"/>
      <c r="IQG87" s="202"/>
      <c r="IQH87" s="203"/>
      <c r="IQI87" s="204"/>
      <c r="IQJ87" s="204"/>
      <c r="IQK87" s="204"/>
      <c r="IQL87" s="205"/>
      <c r="IQM87" s="206"/>
      <c r="IQN87" s="207"/>
      <c r="IQO87" s="207"/>
      <c r="IQP87" s="208"/>
      <c r="IQQ87" s="209"/>
      <c r="IQR87" s="207"/>
      <c r="IQS87" s="210"/>
      <c r="IQT87" s="209"/>
      <c r="IQU87" s="204"/>
      <c r="IQV87" s="204"/>
      <c r="IQW87" s="204"/>
      <c r="IQX87" s="199"/>
      <c r="IQY87" s="167"/>
      <c r="IQZ87" s="199"/>
      <c r="IRA87" s="200"/>
      <c r="IRB87" s="201"/>
      <c r="IRC87" s="202"/>
      <c r="IRD87" s="202"/>
      <c r="IRE87" s="202"/>
      <c r="IRF87" s="202"/>
      <c r="IRG87" s="203"/>
      <c r="IRH87" s="204"/>
      <c r="IRI87" s="204"/>
      <c r="IRJ87" s="204"/>
      <c r="IRK87" s="205"/>
      <c r="IRL87" s="206"/>
      <c r="IRM87" s="207"/>
      <c r="IRN87" s="207"/>
      <c r="IRO87" s="208"/>
      <c r="IRP87" s="209"/>
      <c r="IRQ87" s="207"/>
      <c r="IRR87" s="210"/>
      <c r="IRS87" s="209"/>
      <c r="IRT87" s="204"/>
      <c r="IRU87" s="204"/>
      <c r="IRV87" s="204"/>
      <c r="IRW87" s="199"/>
      <c r="IRX87" s="167"/>
      <c r="IRY87" s="199"/>
      <c r="IRZ87" s="200"/>
      <c r="ISA87" s="201"/>
      <c r="ISB87" s="202"/>
      <c r="ISC87" s="202"/>
      <c r="ISD87" s="202"/>
      <c r="ISE87" s="202"/>
      <c r="ISF87" s="203"/>
      <c r="ISG87" s="204"/>
      <c r="ISH87" s="204"/>
      <c r="ISI87" s="204"/>
      <c r="ISJ87" s="205"/>
      <c r="ISK87" s="206"/>
      <c r="ISL87" s="207"/>
      <c r="ISM87" s="207"/>
      <c r="ISN87" s="208"/>
      <c r="ISO87" s="209"/>
      <c r="ISP87" s="207"/>
      <c r="ISQ87" s="210"/>
      <c r="ISR87" s="209"/>
      <c r="ISS87" s="204"/>
      <c r="IST87" s="204"/>
      <c r="ISU87" s="204"/>
      <c r="ISV87" s="199"/>
      <c r="ISW87" s="167"/>
      <c r="ISX87" s="199"/>
      <c r="ISY87" s="200"/>
      <c r="ISZ87" s="201"/>
      <c r="ITA87" s="202"/>
      <c r="ITB87" s="202"/>
      <c r="ITC87" s="202"/>
      <c r="ITD87" s="202"/>
      <c r="ITE87" s="203"/>
      <c r="ITF87" s="204"/>
      <c r="ITG87" s="204"/>
      <c r="ITH87" s="204"/>
      <c r="ITI87" s="205"/>
      <c r="ITJ87" s="206"/>
      <c r="ITK87" s="207"/>
      <c r="ITL87" s="207"/>
      <c r="ITM87" s="208"/>
      <c r="ITN87" s="209"/>
      <c r="ITO87" s="207"/>
      <c r="ITP87" s="210"/>
      <c r="ITQ87" s="209"/>
      <c r="ITR87" s="204"/>
      <c r="ITS87" s="204"/>
      <c r="ITT87" s="204"/>
      <c r="ITU87" s="199"/>
      <c r="ITV87" s="167"/>
      <c r="ITW87" s="199"/>
      <c r="ITX87" s="200"/>
      <c r="ITY87" s="201"/>
      <c r="ITZ87" s="202"/>
      <c r="IUA87" s="202"/>
      <c r="IUB87" s="202"/>
      <c r="IUC87" s="202"/>
      <c r="IUD87" s="203"/>
      <c r="IUE87" s="204"/>
      <c r="IUF87" s="204"/>
      <c r="IUG87" s="204"/>
      <c r="IUH87" s="205"/>
      <c r="IUI87" s="206"/>
      <c r="IUJ87" s="207"/>
      <c r="IUK87" s="207"/>
      <c r="IUL87" s="208"/>
      <c r="IUM87" s="209"/>
      <c r="IUN87" s="207"/>
      <c r="IUO87" s="210"/>
      <c r="IUP87" s="209"/>
      <c r="IUQ87" s="204"/>
      <c r="IUR87" s="204"/>
      <c r="IUS87" s="204"/>
      <c r="IUT87" s="199"/>
      <c r="IUU87" s="167"/>
      <c r="IUV87" s="199"/>
      <c r="IUW87" s="200"/>
      <c r="IUX87" s="201"/>
      <c r="IUY87" s="202"/>
      <c r="IUZ87" s="202"/>
      <c r="IVA87" s="202"/>
      <c r="IVB87" s="202"/>
      <c r="IVC87" s="203"/>
      <c r="IVD87" s="204"/>
      <c r="IVE87" s="204"/>
      <c r="IVF87" s="204"/>
      <c r="IVG87" s="205"/>
      <c r="IVH87" s="206"/>
      <c r="IVI87" s="207"/>
      <c r="IVJ87" s="207"/>
      <c r="IVK87" s="208"/>
      <c r="IVL87" s="209"/>
      <c r="IVM87" s="207"/>
      <c r="IVN87" s="210"/>
      <c r="IVO87" s="209"/>
      <c r="IVP87" s="204"/>
      <c r="IVQ87" s="204"/>
      <c r="IVR87" s="204"/>
      <c r="IVS87" s="199"/>
      <c r="IVT87" s="167"/>
      <c r="IVU87" s="199"/>
      <c r="IVV87" s="200"/>
      <c r="IVW87" s="201"/>
      <c r="IVX87" s="202"/>
      <c r="IVY87" s="202"/>
      <c r="IVZ87" s="202"/>
      <c r="IWA87" s="202"/>
      <c r="IWB87" s="203"/>
      <c r="IWC87" s="204"/>
      <c r="IWD87" s="204"/>
      <c r="IWE87" s="204"/>
      <c r="IWF87" s="205"/>
      <c r="IWG87" s="206"/>
      <c r="IWH87" s="207"/>
      <c r="IWI87" s="207"/>
      <c r="IWJ87" s="208"/>
      <c r="IWK87" s="209"/>
      <c r="IWL87" s="207"/>
      <c r="IWM87" s="210"/>
      <c r="IWN87" s="209"/>
      <c r="IWO87" s="204"/>
      <c r="IWP87" s="204"/>
      <c r="IWQ87" s="204"/>
      <c r="IWR87" s="199"/>
      <c r="IWS87" s="167"/>
      <c r="IWT87" s="199"/>
      <c r="IWU87" s="200"/>
      <c r="IWV87" s="201"/>
      <c r="IWW87" s="202"/>
      <c r="IWX87" s="202"/>
      <c r="IWY87" s="202"/>
      <c r="IWZ87" s="202"/>
      <c r="IXA87" s="203"/>
      <c r="IXB87" s="204"/>
      <c r="IXC87" s="204"/>
      <c r="IXD87" s="204"/>
      <c r="IXE87" s="205"/>
      <c r="IXF87" s="206"/>
      <c r="IXG87" s="207"/>
      <c r="IXH87" s="207"/>
      <c r="IXI87" s="208"/>
      <c r="IXJ87" s="209"/>
      <c r="IXK87" s="207"/>
      <c r="IXL87" s="210"/>
      <c r="IXM87" s="209"/>
      <c r="IXN87" s="204"/>
      <c r="IXO87" s="204"/>
      <c r="IXP87" s="204"/>
      <c r="IXQ87" s="199"/>
      <c r="IXR87" s="167"/>
      <c r="IXS87" s="199"/>
      <c r="IXT87" s="200"/>
      <c r="IXU87" s="201"/>
      <c r="IXV87" s="202"/>
      <c r="IXW87" s="202"/>
      <c r="IXX87" s="202"/>
      <c r="IXY87" s="202"/>
      <c r="IXZ87" s="203"/>
      <c r="IYA87" s="204"/>
      <c r="IYB87" s="204"/>
      <c r="IYC87" s="204"/>
      <c r="IYD87" s="205"/>
      <c r="IYE87" s="206"/>
      <c r="IYF87" s="207"/>
      <c r="IYG87" s="207"/>
      <c r="IYH87" s="208"/>
      <c r="IYI87" s="209"/>
      <c r="IYJ87" s="207"/>
      <c r="IYK87" s="210"/>
      <c r="IYL87" s="209"/>
      <c r="IYM87" s="204"/>
      <c r="IYN87" s="204"/>
      <c r="IYO87" s="204"/>
      <c r="IYP87" s="199"/>
      <c r="IYQ87" s="167"/>
      <c r="IYR87" s="199"/>
      <c r="IYS87" s="200"/>
      <c r="IYT87" s="201"/>
      <c r="IYU87" s="202"/>
      <c r="IYV87" s="202"/>
      <c r="IYW87" s="202"/>
      <c r="IYX87" s="202"/>
      <c r="IYY87" s="203"/>
      <c r="IYZ87" s="204"/>
      <c r="IZA87" s="204"/>
      <c r="IZB87" s="204"/>
      <c r="IZC87" s="205"/>
      <c r="IZD87" s="206"/>
      <c r="IZE87" s="207"/>
      <c r="IZF87" s="207"/>
      <c r="IZG87" s="208"/>
      <c r="IZH87" s="209"/>
      <c r="IZI87" s="207"/>
      <c r="IZJ87" s="210"/>
      <c r="IZK87" s="209"/>
      <c r="IZL87" s="204"/>
      <c r="IZM87" s="204"/>
      <c r="IZN87" s="204"/>
      <c r="IZO87" s="199"/>
      <c r="IZP87" s="167"/>
      <c r="IZQ87" s="199"/>
      <c r="IZR87" s="200"/>
      <c r="IZS87" s="201"/>
      <c r="IZT87" s="202"/>
      <c r="IZU87" s="202"/>
      <c r="IZV87" s="202"/>
      <c r="IZW87" s="202"/>
      <c r="IZX87" s="203"/>
      <c r="IZY87" s="204"/>
      <c r="IZZ87" s="204"/>
      <c r="JAA87" s="204"/>
      <c r="JAB87" s="205"/>
      <c r="JAC87" s="206"/>
      <c r="JAD87" s="207"/>
      <c r="JAE87" s="207"/>
      <c r="JAF87" s="208"/>
      <c r="JAG87" s="209"/>
      <c r="JAH87" s="207"/>
      <c r="JAI87" s="210"/>
      <c r="JAJ87" s="209"/>
      <c r="JAK87" s="204"/>
      <c r="JAL87" s="204"/>
      <c r="JAM87" s="204"/>
      <c r="JAN87" s="199"/>
      <c r="JAO87" s="167"/>
      <c r="JAP87" s="199"/>
      <c r="JAQ87" s="200"/>
      <c r="JAR87" s="201"/>
      <c r="JAS87" s="202"/>
      <c r="JAT87" s="202"/>
      <c r="JAU87" s="202"/>
      <c r="JAV87" s="202"/>
      <c r="JAW87" s="203"/>
      <c r="JAX87" s="204"/>
      <c r="JAY87" s="204"/>
      <c r="JAZ87" s="204"/>
      <c r="JBA87" s="205"/>
      <c r="JBB87" s="206"/>
      <c r="JBC87" s="207"/>
      <c r="JBD87" s="207"/>
      <c r="JBE87" s="208"/>
      <c r="JBF87" s="209"/>
      <c r="JBG87" s="207"/>
      <c r="JBH87" s="210"/>
      <c r="JBI87" s="209"/>
      <c r="JBJ87" s="204"/>
      <c r="JBK87" s="204"/>
      <c r="JBL87" s="204"/>
      <c r="JBM87" s="199"/>
      <c r="JBN87" s="167"/>
      <c r="JBO87" s="199"/>
      <c r="JBP87" s="200"/>
      <c r="JBQ87" s="201"/>
      <c r="JBR87" s="202"/>
      <c r="JBS87" s="202"/>
      <c r="JBT87" s="202"/>
      <c r="JBU87" s="202"/>
      <c r="JBV87" s="203"/>
      <c r="JBW87" s="204"/>
      <c r="JBX87" s="204"/>
      <c r="JBY87" s="204"/>
      <c r="JBZ87" s="205"/>
      <c r="JCA87" s="206"/>
      <c r="JCB87" s="207"/>
      <c r="JCC87" s="207"/>
      <c r="JCD87" s="208"/>
      <c r="JCE87" s="209"/>
      <c r="JCF87" s="207"/>
      <c r="JCG87" s="210"/>
      <c r="JCH87" s="209"/>
      <c r="JCI87" s="204"/>
      <c r="JCJ87" s="204"/>
      <c r="JCK87" s="204"/>
      <c r="JCL87" s="199"/>
      <c r="JCM87" s="167"/>
      <c r="JCN87" s="199"/>
      <c r="JCO87" s="200"/>
      <c r="JCP87" s="201"/>
      <c r="JCQ87" s="202"/>
      <c r="JCR87" s="202"/>
      <c r="JCS87" s="202"/>
      <c r="JCT87" s="202"/>
      <c r="JCU87" s="203"/>
      <c r="JCV87" s="204"/>
      <c r="JCW87" s="204"/>
      <c r="JCX87" s="204"/>
      <c r="JCY87" s="205"/>
      <c r="JCZ87" s="206"/>
      <c r="JDA87" s="207"/>
      <c r="JDB87" s="207"/>
      <c r="JDC87" s="208"/>
      <c r="JDD87" s="209"/>
      <c r="JDE87" s="207"/>
      <c r="JDF87" s="210"/>
      <c r="JDG87" s="209"/>
      <c r="JDH87" s="204"/>
      <c r="JDI87" s="204"/>
      <c r="JDJ87" s="204"/>
      <c r="JDK87" s="199"/>
      <c r="JDL87" s="167"/>
      <c r="JDM87" s="199"/>
      <c r="JDN87" s="200"/>
      <c r="JDO87" s="201"/>
      <c r="JDP87" s="202"/>
      <c r="JDQ87" s="202"/>
      <c r="JDR87" s="202"/>
      <c r="JDS87" s="202"/>
      <c r="JDT87" s="203"/>
      <c r="JDU87" s="204"/>
      <c r="JDV87" s="204"/>
      <c r="JDW87" s="204"/>
      <c r="JDX87" s="205"/>
      <c r="JDY87" s="206"/>
      <c r="JDZ87" s="207"/>
      <c r="JEA87" s="207"/>
      <c r="JEB87" s="208"/>
      <c r="JEC87" s="209"/>
      <c r="JED87" s="207"/>
      <c r="JEE87" s="210"/>
      <c r="JEF87" s="209"/>
      <c r="JEG87" s="204"/>
      <c r="JEH87" s="204"/>
      <c r="JEI87" s="204"/>
      <c r="JEJ87" s="199"/>
      <c r="JEK87" s="167"/>
      <c r="JEL87" s="199"/>
      <c r="JEM87" s="200"/>
      <c r="JEN87" s="201"/>
      <c r="JEO87" s="202"/>
      <c r="JEP87" s="202"/>
      <c r="JEQ87" s="202"/>
      <c r="JER87" s="202"/>
      <c r="JES87" s="203"/>
      <c r="JET87" s="204"/>
      <c r="JEU87" s="204"/>
      <c r="JEV87" s="204"/>
      <c r="JEW87" s="205"/>
      <c r="JEX87" s="206"/>
      <c r="JEY87" s="207"/>
      <c r="JEZ87" s="207"/>
      <c r="JFA87" s="208"/>
      <c r="JFB87" s="209"/>
      <c r="JFC87" s="207"/>
      <c r="JFD87" s="210"/>
      <c r="JFE87" s="209"/>
      <c r="JFF87" s="204"/>
      <c r="JFG87" s="204"/>
      <c r="JFH87" s="204"/>
      <c r="JFI87" s="199"/>
      <c r="JFJ87" s="167"/>
      <c r="JFK87" s="199"/>
      <c r="JFL87" s="200"/>
      <c r="JFM87" s="201"/>
      <c r="JFN87" s="202"/>
      <c r="JFO87" s="202"/>
      <c r="JFP87" s="202"/>
      <c r="JFQ87" s="202"/>
      <c r="JFR87" s="203"/>
      <c r="JFS87" s="204"/>
      <c r="JFT87" s="204"/>
      <c r="JFU87" s="204"/>
      <c r="JFV87" s="205"/>
      <c r="JFW87" s="206"/>
      <c r="JFX87" s="207"/>
      <c r="JFY87" s="207"/>
      <c r="JFZ87" s="208"/>
      <c r="JGA87" s="209"/>
      <c r="JGB87" s="207"/>
      <c r="JGC87" s="210"/>
      <c r="JGD87" s="209"/>
      <c r="JGE87" s="204"/>
      <c r="JGF87" s="204"/>
      <c r="JGG87" s="204"/>
      <c r="JGH87" s="199"/>
      <c r="JGI87" s="167"/>
      <c r="JGJ87" s="199"/>
      <c r="JGK87" s="200"/>
      <c r="JGL87" s="201"/>
      <c r="JGM87" s="202"/>
      <c r="JGN87" s="202"/>
      <c r="JGO87" s="202"/>
      <c r="JGP87" s="202"/>
      <c r="JGQ87" s="203"/>
      <c r="JGR87" s="204"/>
      <c r="JGS87" s="204"/>
      <c r="JGT87" s="204"/>
      <c r="JGU87" s="205"/>
      <c r="JGV87" s="206"/>
      <c r="JGW87" s="207"/>
      <c r="JGX87" s="207"/>
      <c r="JGY87" s="208"/>
      <c r="JGZ87" s="209"/>
      <c r="JHA87" s="207"/>
      <c r="JHB87" s="210"/>
      <c r="JHC87" s="209"/>
      <c r="JHD87" s="204"/>
      <c r="JHE87" s="204"/>
      <c r="JHF87" s="204"/>
      <c r="JHG87" s="199"/>
      <c r="JHH87" s="167"/>
      <c r="JHI87" s="199"/>
      <c r="JHJ87" s="200"/>
      <c r="JHK87" s="201"/>
      <c r="JHL87" s="202"/>
      <c r="JHM87" s="202"/>
      <c r="JHN87" s="202"/>
      <c r="JHO87" s="202"/>
      <c r="JHP87" s="203"/>
      <c r="JHQ87" s="204"/>
      <c r="JHR87" s="204"/>
      <c r="JHS87" s="204"/>
      <c r="JHT87" s="205"/>
      <c r="JHU87" s="206"/>
      <c r="JHV87" s="207"/>
      <c r="JHW87" s="207"/>
      <c r="JHX87" s="208"/>
      <c r="JHY87" s="209"/>
      <c r="JHZ87" s="207"/>
      <c r="JIA87" s="210"/>
      <c r="JIB87" s="209"/>
      <c r="JIC87" s="204"/>
      <c r="JID87" s="204"/>
      <c r="JIE87" s="204"/>
      <c r="JIF87" s="199"/>
      <c r="JIG87" s="167"/>
      <c r="JIH87" s="199"/>
      <c r="JII87" s="200"/>
      <c r="JIJ87" s="201"/>
      <c r="JIK87" s="202"/>
      <c r="JIL87" s="202"/>
      <c r="JIM87" s="202"/>
      <c r="JIN87" s="202"/>
      <c r="JIO87" s="203"/>
      <c r="JIP87" s="204"/>
      <c r="JIQ87" s="204"/>
      <c r="JIR87" s="204"/>
      <c r="JIS87" s="205"/>
      <c r="JIT87" s="206"/>
      <c r="JIU87" s="207"/>
      <c r="JIV87" s="207"/>
      <c r="JIW87" s="208"/>
      <c r="JIX87" s="209"/>
      <c r="JIY87" s="207"/>
      <c r="JIZ87" s="210"/>
      <c r="JJA87" s="209"/>
      <c r="JJB87" s="204"/>
      <c r="JJC87" s="204"/>
      <c r="JJD87" s="204"/>
      <c r="JJE87" s="199"/>
      <c r="JJF87" s="167"/>
      <c r="JJG87" s="199"/>
      <c r="JJH87" s="200"/>
      <c r="JJI87" s="201"/>
      <c r="JJJ87" s="202"/>
      <c r="JJK87" s="202"/>
      <c r="JJL87" s="202"/>
      <c r="JJM87" s="202"/>
      <c r="JJN87" s="203"/>
      <c r="JJO87" s="204"/>
      <c r="JJP87" s="204"/>
      <c r="JJQ87" s="204"/>
      <c r="JJR87" s="205"/>
      <c r="JJS87" s="206"/>
      <c r="JJT87" s="207"/>
      <c r="JJU87" s="207"/>
      <c r="JJV87" s="208"/>
      <c r="JJW87" s="209"/>
      <c r="JJX87" s="207"/>
      <c r="JJY87" s="210"/>
      <c r="JJZ87" s="209"/>
      <c r="JKA87" s="204"/>
      <c r="JKB87" s="204"/>
      <c r="JKC87" s="204"/>
      <c r="JKD87" s="199"/>
      <c r="JKE87" s="167"/>
      <c r="JKF87" s="199"/>
      <c r="JKG87" s="200"/>
      <c r="JKH87" s="201"/>
      <c r="JKI87" s="202"/>
      <c r="JKJ87" s="202"/>
      <c r="JKK87" s="202"/>
      <c r="JKL87" s="202"/>
      <c r="JKM87" s="203"/>
      <c r="JKN87" s="204"/>
      <c r="JKO87" s="204"/>
      <c r="JKP87" s="204"/>
      <c r="JKQ87" s="205"/>
      <c r="JKR87" s="206"/>
      <c r="JKS87" s="207"/>
      <c r="JKT87" s="207"/>
      <c r="JKU87" s="208"/>
      <c r="JKV87" s="209"/>
      <c r="JKW87" s="207"/>
      <c r="JKX87" s="210"/>
      <c r="JKY87" s="209"/>
      <c r="JKZ87" s="204"/>
      <c r="JLA87" s="204"/>
      <c r="JLB87" s="204"/>
      <c r="JLC87" s="199"/>
      <c r="JLD87" s="167"/>
      <c r="JLE87" s="199"/>
      <c r="JLF87" s="200"/>
      <c r="JLG87" s="201"/>
      <c r="JLH87" s="202"/>
      <c r="JLI87" s="202"/>
      <c r="JLJ87" s="202"/>
      <c r="JLK87" s="202"/>
      <c r="JLL87" s="203"/>
      <c r="JLM87" s="204"/>
      <c r="JLN87" s="204"/>
      <c r="JLO87" s="204"/>
      <c r="JLP87" s="205"/>
      <c r="JLQ87" s="206"/>
      <c r="JLR87" s="207"/>
      <c r="JLS87" s="207"/>
      <c r="JLT87" s="208"/>
      <c r="JLU87" s="209"/>
      <c r="JLV87" s="207"/>
      <c r="JLW87" s="210"/>
      <c r="JLX87" s="209"/>
      <c r="JLY87" s="204"/>
      <c r="JLZ87" s="204"/>
      <c r="JMA87" s="204"/>
      <c r="JMB87" s="199"/>
      <c r="JMC87" s="167"/>
      <c r="JMD87" s="199"/>
      <c r="JME87" s="200"/>
      <c r="JMF87" s="201"/>
      <c r="JMG87" s="202"/>
      <c r="JMH87" s="202"/>
      <c r="JMI87" s="202"/>
      <c r="JMJ87" s="202"/>
      <c r="JMK87" s="203"/>
      <c r="JML87" s="204"/>
      <c r="JMM87" s="204"/>
      <c r="JMN87" s="204"/>
      <c r="JMO87" s="205"/>
      <c r="JMP87" s="206"/>
      <c r="JMQ87" s="207"/>
      <c r="JMR87" s="207"/>
      <c r="JMS87" s="208"/>
      <c r="JMT87" s="209"/>
      <c r="JMU87" s="207"/>
      <c r="JMV87" s="210"/>
      <c r="JMW87" s="209"/>
      <c r="JMX87" s="204"/>
      <c r="JMY87" s="204"/>
      <c r="JMZ87" s="204"/>
      <c r="JNA87" s="199"/>
      <c r="JNB87" s="167"/>
      <c r="JNC87" s="199"/>
      <c r="JND87" s="200"/>
      <c r="JNE87" s="201"/>
      <c r="JNF87" s="202"/>
      <c r="JNG87" s="202"/>
      <c r="JNH87" s="202"/>
      <c r="JNI87" s="202"/>
      <c r="JNJ87" s="203"/>
      <c r="JNK87" s="204"/>
      <c r="JNL87" s="204"/>
      <c r="JNM87" s="204"/>
      <c r="JNN87" s="205"/>
      <c r="JNO87" s="206"/>
      <c r="JNP87" s="207"/>
      <c r="JNQ87" s="207"/>
      <c r="JNR87" s="208"/>
      <c r="JNS87" s="209"/>
      <c r="JNT87" s="207"/>
      <c r="JNU87" s="210"/>
      <c r="JNV87" s="209"/>
      <c r="JNW87" s="204"/>
      <c r="JNX87" s="204"/>
      <c r="JNY87" s="204"/>
      <c r="JNZ87" s="199"/>
      <c r="JOA87" s="167"/>
      <c r="JOB87" s="199"/>
      <c r="JOC87" s="200"/>
      <c r="JOD87" s="201"/>
      <c r="JOE87" s="202"/>
      <c r="JOF87" s="202"/>
      <c r="JOG87" s="202"/>
      <c r="JOH87" s="202"/>
      <c r="JOI87" s="203"/>
      <c r="JOJ87" s="204"/>
      <c r="JOK87" s="204"/>
      <c r="JOL87" s="204"/>
      <c r="JOM87" s="205"/>
      <c r="JON87" s="206"/>
      <c r="JOO87" s="207"/>
      <c r="JOP87" s="207"/>
      <c r="JOQ87" s="208"/>
      <c r="JOR87" s="209"/>
      <c r="JOS87" s="207"/>
      <c r="JOT87" s="210"/>
      <c r="JOU87" s="209"/>
      <c r="JOV87" s="204"/>
      <c r="JOW87" s="204"/>
      <c r="JOX87" s="204"/>
      <c r="JOY87" s="199"/>
      <c r="JOZ87" s="167"/>
      <c r="JPA87" s="199"/>
      <c r="JPB87" s="200"/>
      <c r="JPC87" s="201"/>
      <c r="JPD87" s="202"/>
      <c r="JPE87" s="202"/>
      <c r="JPF87" s="202"/>
      <c r="JPG87" s="202"/>
      <c r="JPH87" s="203"/>
      <c r="JPI87" s="204"/>
      <c r="JPJ87" s="204"/>
      <c r="JPK87" s="204"/>
      <c r="JPL87" s="205"/>
      <c r="JPM87" s="206"/>
      <c r="JPN87" s="207"/>
      <c r="JPO87" s="207"/>
      <c r="JPP87" s="208"/>
      <c r="JPQ87" s="209"/>
      <c r="JPR87" s="207"/>
      <c r="JPS87" s="210"/>
      <c r="JPT87" s="209"/>
      <c r="JPU87" s="204"/>
      <c r="JPV87" s="204"/>
      <c r="JPW87" s="204"/>
      <c r="JPX87" s="199"/>
      <c r="JPY87" s="167"/>
      <c r="JPZ87" s="199"/>
      <c r="JQA87" s="200"/>
      <c r="JQB87" s="201"/>
      <c r="JQC87" s="202"/>
      <c r="JQD87" s="202"/>
      <c r="JQE87" s="202"/>
      <c r="JQF87" s="202"/>
      <c r="JQG87" s="203"/>
      <c r="JQH87" s="204"/>
      <c r="JQI87" s="204"/>
      <c r="JQJ87" s="204"/>
      <c r="JQK87" s="205"/>
      <c r="JQL87" s="206"/>
      <c r="JQM87" s="207"/>
      <c r="JQN87" s="207"/>
      <c r="JQO87" s="208"/>
      <c r="JQP87" s="209"/>
      <c r="JQQ87" s="207"/>
      <c r="JQR87" s="210"/>
      <c r="JQS87" s="209"/>
      <c r="JQT87" s="204"/>
      <c r="JQU87" s="204"/>
      <c r="JQV87" s="204"/>
      <c r="JQW87" s="199"/>
      <c r="JQX87" s="167"/>
      <c r="JQY87" s="199"/>
      <c r="JQZ87" s="200"/>
      <c r="JRA87" s="201"/>
      <c r="JRB87" s="202"/>
      <c r="JRC87" s="202"/>
      <c r="JRD87" s="202"/>
      <c r="JRE87" s="202"/>
      <c r="JRF87" s="203"/>
      <c r="JRG87" s="204"/>
      <c r="JRH87" s="204"/>
      <c r="JRI87" s="204"/>
      <c r="JRJ87" s="205"/>
      <c r="JRK87" s="206"/>
      <c r="JRL87" s="207"/>
      <c r="JRM87" s="207"/>
      <c r="JRN87" s="208"/>
      <c r="JRO87" s="209"/>
      <c r="JRP87" s="207"/>
      <c r="JRQ87" s="210"/>
      <c r="JRR87" s="209"/>
      <c r="JRS87" s="204"/>
      <c r="JRT87" s="204"/>
      <c r="JRU87" s="204"/>
      <c r="JRV87" s="199"/>
      <c r="JRW87" s="167"/>
      <c r="JRX87" s="199"/>
      <c r="JRY87" s="200"/>
      <c r="JRZ87" s="201"/>
      <c r="JSA87" s="202"/>
      <c r="JSB87" s="202"/>
      <c r="JSC87" s="202"/>
      <c r="JSD87" s="202"/>
      <c r="JSE87" s="203"/>
      <c r="JSF87" s="204"/>
      <c r="JSG87" s="204"/>
      <c r="JSH87" s="204"/>
      <c r="JSI87" s="205"/>
      <c r="JSJ87" s="206"/>
      <c r="JSK87" s="207"/>
      <c r="JSL87" s="207"/>
      <c r="JSM87" s="208"/>
      <c r="JSN87" s="209"/>
      <c r="JSO87" s="207"/>
      <c r="JSP87" s="210"/>
      <c r="JSQ87" s="209"/>
      <c r="JSR87" s="204"/>
      <c r="JSS87" s="204"/>
      <c r="JST87" s="204"/>
      <c r="JSU87" s="199"/>
      <c r="JSV87" s="167"/>
      <c r="JSW87" s="199"/>
      <c r="JSX87" s="200"/>
      <c r="JSY87" s="201"/>
      <c r="JSZ87" s="202"/>
      <c r="JTA87" s="202"/>
      <c r="JTB87" s="202"/>
      <c r="JTC87" s="202"/>
      <c r="JTD87" s="203"/>
      <c r="JTE87" s="204"/>
      <c r="JTF87" s="204"/>
      <c r="JTG87" s="204"/>
      <c r="JTH87" s="205"/>
      <c r="JTI87" s="206"/>
      <c r="JTJ87" s="207"/>
      <c r="JTK87" s="207"/>
      <c r="JTL87" s="208"/>
      <c r="JTM87" s="209"/>
      <c r="JTN87" s="207"/>
      <c r="JTO87" s="210"/>
      <c r="JTP87" s="209"/>
      <c r="JTQ87" s="204"/>
      <c r="JTR87" s="204"/>
      <c r="JTS87" s="204"/>
      <c r="JTT87" s="199"/>
      <c r="JTU87" s="167"/>
      <c r="JTV87" s="199"/>
      <c r="JTW87" s="200"/>
      <c r="JTX87" s="201"/>
      <c r="JTY87" s="202"/>
      <c r="JTZ87" s="202"/>
      <c r="JUA87" s="202"/>
      <c r="JUB87" s="202"/>
      <c r="JUC87" s="203"/>
      <c r="JUD87" s="204"/>
      <c r="JUE87" s="204"/>
      <c r="JUF87" s="204"/>
      <c r="JUG87" s="205"/>
      <c r="JUH87" s="206"/>
      <c r="JUI87" s="207"/>
      <c r="JUJ87" s="207"/>
      <c r="JUK87" s="208"/>
      <c r="JUL87" s="209"/>
      <c r="JUM87" s="207"/>
      <c r="JUN87" s="210"/>
      <c r="JUO87" s="209"/>
      <c r="JUP87" s="204"/>
      <c r="JUQ87" s="204"/>
      <c r="JUR87" s="204"/>
      <c r="JUS87" s="199"/>
      <c r="JUT87" s="167"/>
      <c r="JUU87" s="199"/>
      <c r="JUV87" s="200"/>
      <c r="JUW87" s="201"/>
      <c r="JUX87" s="202"/>
      <c r="JUY87" s="202"/>
      <c r="JUZ87" s="202"/>
      <c r="JVA87" s="202"/>
      <c r="JVB87" s="203"/>
      <c r="JVC87" s="204"/>
      <c r="JVD87" s="204"/>
      <c r="JVE87" s="204"/>
      <c r="JVF87" s="205"/>
      <c r="JVG87" s="206"/>
      <c r="JVH87" s="207"/>
      <c r="JVI87" s="207"/>
      <c r="JVJ87" s="208"/>
      <c r="JVK87" s="209"/>
      <c r="JVL87" s="207"/>
      <c r="JVM87" s="210"/>
      <c r="JVN87" s="209"/>
      <c r="JVO87" s="204"/>
      <c r="JVP87" s="204"/>
      <c r="JVQ87" s="204"/>
      <c r="JVR87" s="199"/>
      <c r="JVS87" s="167"/>
      <c r="JVT87" s="199"/>
      <c r="JVU87" s="200"/>
      <c r="JVV87" s="201"/>
      <c r="JVW87" s="202"/>
      <c r="JVX87" s="202"/>
      <c r="JVY87" s="202"/>
      <c r="JVZ87" s="202"/>
      <c r="JWA87" s="203"/>
      <c r="JWB87" s="204"/>
      <c r="JWC87" s="204"/>
      <c r="JWD87" s="204"/>
      <c r="JWE87" s="205"/>
      <c r="JWF87" s="206"/>
      <c r="JWG87" s="207"/>
      <c r="JWH87" s="207"/>
      <c r="JWI87" s="208"/>
      <c r="JWJ87" s="209"/>
      <c r="JWK87" s="207"/>
      <c r="JWL87" s="210"/>
      <c r="JWM87" s="209"/>
      <c r="JWN87" s="204"/>
      <c r="JWO87" s="204"/>
      <c r="JWP87" s="204"/>
      <c r="JWQ87" s="199"/>
      <c r="JWR87" s="167"/>
      <c r="JWS87" s="199"/>
      <c r="JWT87" s="200"/>
      <c r="JWU87" s="201"/>
      <c r="JWV87" s="202"/>
      <c r="JWW87" s="202"/>
      <c r="JWX87" s="202"/>
      <c r="JWY87" s="202"/>
      <c r="JWZ87" s="203"/>
      <c r="JXA87" s="204"/>
      <c r="JXB87" s="204"/>
      <c r="JXC87" s="204"/>
      <c r="JXD87" s="205"/>
      <c r="JXE87" s="206"/>
      <c r="JXF87" s="207"/>
      <c r="JXG87" s="207"/>
      <c r="JXH87" s="208"/>
      <c r="JXI87" s="209"/>
      <c r="JXJ87" s="207"/>
      <c r="JXK87" s="210"/>
      <c r="JXL87" s="209"/>
      <c r="JXM87" s="204"/>
      <c r="JXN87" s="204"/>
      <c r="JXO87" s="204"/>
      <c r="JXP87" s="199"/>
      <c r="JXQ87" s="167"/>
      <c r="JXR87" s="199"/>
      <c r="JXS87" s="200"/>
      <c r="JXT87" s="201"/>
      <c r="JXU87" s="202"/>
      <c r="JXV87" s="202"/>
      <c r="JXW87" s="202"/>
      <c r="JXX87" s="202"/>
      <c r="JXY87" s="203"/>
      <c r="JXZ87" s="204"/>
      <c r="JYA87" s="204"/>
      <c r="JYB87" s="204"/>
      <c r="JYC87" s="205"/>
      <c r="JYD87" s="206"/>
      <c r="JYE87" s="207"/>
      <c r="JYF87" s="207"/>
      <c r="JYG87" s="208"/>
      <c r="JYH87" s="209"/>
      <c r="JYI87" s="207"/>
      <c r="JYJ87" s="210"/>
      <c r="JYK87" s="209"/>
      <c r="JYL87" s="204"/>
      <c r="JYM87" s="204"/>
      <c r="JYN87" s="204"/>
      <c r="JYO87" s="199"/>
      <c r="JYP87" s="167"/>
      <c r="JYQ87" s="199"/>
      <c r="JYR87" s="200"/>
      <c r="JYS87" s="201"/>
      <c r="JYT87" s="202"/>
      <c r="JYU87" s="202"/>
      <c r="JYV87" s="202"/>
      <c r="JYW87" s="202"/>
      <c r="JYX87" s="203"/>
      <c r="JYY87" s="204"/>
      <c r="JYZ87" s="204"/>
      <c r="JZA87" s="204"/>
      <c r="JZB87" s="205"/>
      <c r="JZC87" s="206"/>
      <c r="JZD87" s="207"/>
      <c r="JZE87" s="207"/>
      <c r="JZF87" s="208"/>
      <c r="JZG87" s="209"/>
      <c r="JZH87" s="207"/>
      <c r="JZI87" s="210"/>
      <c r="JZJ87" s="209"/>
      <c r="JZK87" s="204"/>
      <c r="JZL87" s="204"/>
      <c r="JZM87" s="204"/>
      <c r="JZN87" s="199"/>
      <c r="JZO87" s="167"/>
      <c r="JZP87" s="199"/>
      <c r="JZQ87" s="200"/>
      <c r="JZR87" s="201"/>
      <c r="JZS87" s="202"/>
      <c r="JZT87" s="202"/>
      <c r="JZU87" s="202"/>
      <c r="JZV87" s="202"/>
      <c r="JZW87" s="203"/>
      <c r="JZX87" s="204"/>
      <c r="JZY87" s="204"/>
      <c r="JZZ87" s="204"/>
      <c r="KAA87" s="205"/>
      <c r="KAB87" s="206"/>
      <c r="KAC87" s="207"/>
      <c r="KAD87" s="207"/>
      <c r="KAE87" s="208"/>
      <c r="KAF87" s="209"/>
      <c r="KAG87" s="207"/>
      <c r="KAH87" s="210"/>
      <c r="KAI87" s="209"/>
      <c r="KAJ87" s="204"/>
      <c r="KAK87" s="204"/>
      <c r="KAL87" s="204"/>
      <c r="KAM87" s="199"/>
      <c r="KAN87" s="167"/>
      <c r="KAO87" s="199"/>
      <c r="KAP87" s="200"/>
      <c r="KAQ87" s="201"/>
      <c r="KAR87" s="202"/>
      <c r="KAS87" s="202"/>
      <c r="KAT87" s="202"/>
      <c r="KAU87" s="202"/>
      <c r="KAV87" s="203"/>
      <c r="KAW87" s="204"/>
      <c r="KAX87" s="204"/>
      <c r="KAY87" s="204"/>
      <c r="KAZ87" s="205"/>
      <c r="KBA87" s="206"/>
      <c r="KBB87" s="207"/>
      <c r="KBC87" s="207"/>
      <c r="KBD87" s="208"/>
      <c r="KBE87" s="209"/>
      <c r="KBF87" s="207"/>
      <c r="KBG87" s="210"/>
      <c r="KBH87" s="209"/>
      <c r="KBI87" s="204"/>
      <c r="KBJ87" s="204"/>
      <c r="KBK87" s="204"/>
      <c r="KBL87" s="199"/>
      <c r="KBM87" s="167"/>
      <c r="KBN87" s="199"/>
      <c r="KBO87" s="200"/>
      <c r="KBP87" s="201"/>
      <c r="KBQ87" s="202"/>
      <c r="KBR87" s="202"/>
      <c r="KBS87" s="202"/>
      <c r="KBT87" s="202"/>
      <c r="KBU87" s="203"/>
      <c r="KBV87" s="204"/>
      <c r="KBW87" s="204"/>
      <c r="KBX87" s="204"/>
      <c r="KBY87" s="205"/>
      <c r="KBZ87" s="206"/>
      <c r="KCA87" s="207"/>
      <c r="KCB87" s="207"/>
      <c r="KCC87" s="208"/>
      <c r="KCD87" s="209"/>
      <c r="KCE87" s="207"/>
      <c r="KCF87" s="210"/>
      <c r="KCG87" s="209"/>
      <c r="KCH87" s="204"/>
      <c r="KCI87" s="204"/>
      <c r="KCJ87" s="204"/>
      <c r="KCK87" s="199"/>
      <c r="KCL87" s="167"/>
      <c r="KCM87" s="199"/>
      <c r="KCN87" s="200"/>
      <c r="KCO87" s="201"/>
      <c r="KCP87" s="202"/>
      <c r="KCQ87" s="202"/>
      <c r="KCR87" s="202"/>
      <c r="KCS87" s="202"/>
      <c r="KCT87" s="203"/>
      <c r="KCU87" s="204"/>
      <c r="KCV87" s="204"/>
      <c r="KCW87" s="204"/>
      <c r="KCX87" s="205"/>
      <c r="KCY87" s="206"/>
      <c r="KCZ87" s="207"/>
      <c r="KDA87" s="207"/>
      <c r="KDB87" s="208"/>
      <c r="KDC87" s="209"/>
      <c r="KDD87" s="207"/>
      <c r="KDE87" s="210"/>
      <c r="KDF87" s="209"/>
      <c r="KDG87" s="204"/>
      <c r="KDH87" s="204"/>
      <c r="KDI87" s="204"/>
      <c r="KDJ87" s="199"/>
      <c r="KDK87" s="167"/>
      <c r="KDL87" s="199"/>
      <c r="KDM87" s="200"/>
      <c r="KDN87" s="201"/>
      <c r="KDO87" s="202"/>
      <c r="KDP87" s="202"/>
      <c r="KDQ87" s="202"/>
      <c r="KDR87" s="202"/>
      <c r="KDS87" s="203"/>
      <c r="KDT87" s="204"/>
      <c r="KDU87" s="204"/>
      <c r="KDV87" s="204"/>
      <c r="KDW87" s="205"/>
      <c r="KDX87" s="206"/>
      <c r="KDY87" s="207"/>
      <c r="KDZ87" s="207"/>
      <c r="KEA87" s="208"/>
      <c r="KEB87" s="209"/>
      <c r="KEC87" s="207"/>
      <c r="KED87" s="210"/>
      <c r="KEE87" s="209"/>
      <c r="KEF87" s="204"/>
      <c r="KEG87" s="204"/>
      <c r="KEH87" s="204"/>
      <c r="KEI87" s="199"/>
      <c r="KEJ87" s="167"/>
      <c r="KEK87" s="199"/>
      <c r="KEL87" s="200"/>
      <c r="KEM87" s="201"/>
      <c r="KEN87" s="202"/>
      <c r="KEO87" s="202"/>
      <c r="KEP87" s="202"/>
      <c r="KEQ87" s="202"/>
      <c r="KER87" s="203"/>
      <c r="KES87" s="204"/>
      <c r="KET87" s="204"/>
      <c r="KEU87" s="204"/>
      <c r="KEV87" s="205"/>
      <c r="KEW87" s="206"/>
      <c r="KEX87" s="207"/>
      <c r="KEY87" s="207"/>
      <c r="KEZ87" s="208"/>
      <c r="KFA87" s="209"/>
      <c r="KFB87" s="207"/>
      <c r="KFC87" s="210"/>
      <c r="KFD87" s="209"/>
      <c r="KFE87" s="204"/>
      <c r="KFF87" s="204"/>
      <c r="KFG87" s="204"/>
      <c r="KFH87" s="199"/>
      <c r="KFI87" s="167"/>
      <c r="KFJ87" s="199"/>
      <c r="KFK87" s="200"/>
      <c r="KFL87" s="201"/>
      <c r="KFM87" s="202"/>
      <c r="KFN87" s="202"/>
      <c r="KFO87" s="202"/>
      <c r="KFP87" s="202"/>
      <c r="KFQ87" s="203"/>
      <c r="KFR87" s="204"/>
      <c r="KFS87" s="204"/>
      <c r="KFT87" s="204"/>
      <c r="KFU87" s="205"/>
      <c r="KFV87" s="206"/>
      <c r="KFW87" s="207"/>
      <c r="KFX87" s="207"/>
      <c r="KFY87" s="208"/>
      <c r="KFZ87" s="209"/>
      <c r="KGA87" s="207"/>
      <c r="KGB87" s="210"/>
      <c r="KGC87" s="209"/>
      <c r="KGD87" s="204"/>
      <c r="KGE87" s="204"/>
      <c r="KGF87" s="204"/>
      <c r="KGG87" s="199"/>
      <c r="KGH87" s="167"/>
      <c r="KGI87" s="199"/>
      <c r="KGJ87" s="200"/>
      <c r="KGK87" s="201"/>
      <c r="KGL87" s="202"/>
      <c r="KGM87" s="202"/>
      <c r="KGN87" s="202"/>
      <c r="KGO87" s="202"/>
      <c r="KGP87" s="203"/>
      <c r="KGQ87" s="204"/>
      <c r="KGR87" s="204"/>
      <c r="KGS87" s="204"/>
      <c r="KGT87" s="205"/>
      <c r="KGU87" s="206"/>
      <c r="KGV87" s="207"/>
      <c r="KGW87" s="207"/>
      <c r="KGX87" s="208"/>
      <c r="KGY87" s="209"/>
      <c r="KGZ87" s="207"/>
      <c r="KHA87" s="210"/>
      <c r="KHB87" s="209"/>
      <c r="KHC87" s="204"/>
      <c r="KHD87" s="204"/>
      <c r="KHE87" s="204"/>
      <c r="KHF87" s="199"/>
      <c r="KHG87" s="167"/>
      <c r="KHH87" s="199"/>
      <c r="KHI87" s="200"/>
      <c r="KHJ87" s="201"/>
      <c r="KHK87" s="202"/>
      <c r="KHL87" s="202"/>
      <c r="KHM87" s="202"/>
      <c r="KHN87" s="202"/>
      <c r="KHO87" s="203"/>
      <c r="KHP87" s="204"/>
      <c r="KHQ87" s="204"/>
      <c r="KHR87" s="204"/>
      <c r="KHS87" s="205"/>
      <c r="KHT87" s="206"/>
      <c r="KHU87" s="207"/>
      <c r="KHV87" s="207"/>
      <c r="KHW87" s="208"/>
      <c r="KHX87" s="209"/>
      <c r="KHY87" s="207"/>
      <c r="KHZ87" s="210"/>
      <c r="KIA87" s="209"/>
      <c r="KIB87" s="204"/>
      <c r="KIC87" s="204"/>
      <c r="KID87" s="204"/>
      <c r="KIE87" s="199"/>
      <c r="KIF87" s="167"/>
      <c r="KIG87" s="199"/>
      <c r="KIH87" s="200"/>
      <c r="KII87" s="201"/>
      <c r="KIJ87" s="202"/>
      <c r="KIK87" s="202"/>
      <c r="KIL87" s="202"/>
      <c r="KIM87" s="202"/>
      <c r="KIN87" s="203"/>
      <c r="KIO87" s="204"/>
      <c r="KIP87" s="204"/>
      <c r="KIQ87" s="204"/>
      <c r="KIR87" s="205"/>
      <c r="KIS87" s="206"/>
      <c r="KIT87" s="207"/>
      <c r="KIU87" s="207"/>
      <c r="KIV87" s="208"/>
      <c r="KIW87" s="209"/>
      <c r="KIX87" s="207"/>
      <c r="KIY87" s="210"/>
      <c r="KIZ87" s="209"/>
      <c r="KJA87" s="204"/>
      <c r="KJB87" s="204"/>
      <c r="KJC87" s="204"/>
      <c r="KJD87" s="199"/>
      <c r="KJE87" s="167"/>
      <c r="KJF87" s="199"/>
      <c r="KJG87" s="200"/>
      <c r="KJH87" s="201"/>
      <c r="KJI87" s="202"/>
      <c r="KJJ87" s="202"/>
      <c r="KJK87" s="202"/>
      <c r="KJL87" s="202"/>
      <c r="KJM87" s="203"/>
      <c r="KJN87" s="204"/>
      <c r="KJO87" s="204"/>
      <c r="KJP87" s="204"/>
      <c r="KJQ87" s="205"/>
      <c r="KJR87" s="206"/>
      <c r="KJS87" s="207"/>
      <c r="KJT87" s="207"/>
      <c r="KJU87" s="208"/>
      <c r="KJV87" s="209"/>
      <c r="KJW87" s="207"/>
      <c r="KJX87" s="210"/>
      <c r="KJY87" s="209"/>
      <c r="KJZ87" s="204"/>
      <c r="KKA87" s="204"/>
      <c r="KKB87" s="204"/>
      <c r="KKC87" s="199"/>
      <c r="KKD87" s="167"/>
      <c r="KKE87" s="199"/>
      <c r="KKF87" s="200"/>
      <c r="KKG87" s="201"/>
      <c r="KKH87" s="202"/>
      <c r="KKI87" s="202"/>
      <c r="KKJ87" s="202"/>
      <c r="KKK87" s="202"/>
      <c r="KKL87" s="203"/>
      <c r="KKM87" s="204"/>
      <c r="KKN87" s="204"/>
      <c r="KKO87" s="204"/>
      <c r="KKP87" s="205"/>
      <c r="KKQ87" s="206"/>
      <c r="KKR87" s="207"/>
      <c r="KKS87" s="207"/>
      <c r="KKT87" s="208"/>
      <c r="KKU87" s="209"/>
      <c r="KKV87" s="207"/>
      <c r="KKW87" s="210"/>
      <c r="KKX87" s="209"/>
      <c r="KKY87" s="204"/>
      <c r="KKZ87" s="204"/>
      <c r="KLA87" s="204"/>
      <c r="KLB87" s="199"/>
      <c r="KLC87" s="167"/>
      <c r="KLD87" s="199"/>
      <c r="KLE87" s="200"/>
      <c r="KLF87" s="201"/>
      <c r="KLG87" s="202"/>
      <c r="KLH87" s="202"/>
      <c r="KLI87" s="202"/>
      <c r="KLJ87" s="202"/>
      <c r="KLK87" s="203"/>
      <c r="KLL87" s="204"/>
      <c r="KLM87" s="204"/>
      <c r="KLN87" s="204"/>
      <c r="KLO87" s="205"/>
      <c r="KLP87" s="206"/>
      <c r="KLQ87" s="207"/>
      <c r="KLR87" s="207"/>
      <c r="KLS87" s="208"/>
      <c r="KLT87" s="209"/>
      <c r="KLU87" s="207"/>
      <c r="KLV87" s="210"/>
      <c r="KLW87" s="209"/>
      <c r="KLX87" s="204"/>
      <c r="KLY87" s="204"/>
      <c r="KLZ87" s="204"/>
      <c r="KMA87" s="199"/>
      <c r="KMB87" s="167"/>
      <c r="KMC87" s="199"/>
      <c r="KMD87" s="200"/>
      <c r="KME87" s="201"/>
      <c r="KMF87" s="202"/>
      <c r="KMG87" s="202"/>
      <c r="KMH87" s="202"/>
      <c r="KMI87" s="202"/>
      <c r="KMJ87" s="203"/>
      <c r="KMK87" s="204"/>
      <c r="KML87" s="204"/>
      <c r="KMM87" s="204"/>
      <c r="KMN87" s="205"/>
      <c r="KMO87" s="206"/>
      <c r="KMP87" s="207"/>
      <c r="KMQ87" s="207"/>
      <c r="KMR87" s="208"/>
      <c r="KMS87" s="209"/>
      <c r="KMT87" s="207"/>
      <c r="KMU87" s="210"/>
      <c r="KMV87" s="209"/>
      <c r="KMW87" s="204"/>
      <c r="KMX87" s="204"/>
      <c r="KMY87" s="204"/>
      <c r="KMZ87" s="199"/>
      <c r="KNA87" s="167"/>
      <c r="KNB87" s="199"/>
      <c r="KNC87" s="200"/>
      <c r="KND87" s="201"/>
      <c r="KNE87" s="202"/>
      <c r="KNF87" s="202"/>
      <c r="KNG87" s="202"/>
      <c r="KNH87" s="202"/>
      <c r="KNI87" s="203"/>
      <c r="KNJ87" s="204"/>
      <c r="KNK87" s="204"/>
      <c r="KNL87" s="204"/>
      <c r="KNM87" s="205"/>
      <c r="KNN87" s="206"/>
      <c r="KNO87" s="207"/>
      <c r="KNP87" s="207"/>
      <c r="KNQ87" s="208"/>
      <c r="KNR87" s="209"/>
      <c r="KNS87" s="207"/>
      <c r="KNT87" s="210"/>
      <c r="KNU87" s="209"/>
      <c r="KNV87" s="204"/>
      <c r="KNW87" s="204"/>
      <c r="KNX87" s="204"/>
      <c r="KNY87" s="199"/>
      <c r="KNZ87" s="167"/>
      <c r="KOA87" s="199"/>
      <c r="KOB87" s="200"/>
      <c r="KOC87" s="201"/>
      <c r="KOD87" s="202"/>
      <c r="KOE87" s="202"/>
      <c r="KOF87" s="202"/>
      <c r="KOG87" s="202"/>
      <c r="KOH87" s="203"/>
      <c r="KOI87" s="204"/>
      <c r="KOJ87" s="204"/>
      <c r="KOK87" s="204"/>
      <c r="KOL87" s="205"/>
      <c r="KOM87" s="206"/>
      <c r="KON87" s="207"/>
      <c r="KOO87" s="207"/>
      <c r="KOP87" s="208"/>
      <c r="KOQ87" s="209"/>
      <c r="KOR87" s="207"/>
      <c r="KOS87" s="210"/>
      <c r="KOT87" s="209"/>
      <c r="KOU87" s="204"/>
      <c r="KOV87" s="204"/>
      <c r="KOW87" s="204"/>
      <c r="KOX87" s="199"/>
      <c r="KOY87" s="167"/>
      <c r="KOZ87" s="199"/>
      <c r="KPA87" s="200"/>
      <c r="KPB87" s="201"/>
      <c r="KPC87" s="202"/>
      <c r="KPD87" s="202"/>
      <c r="KPE87" s="202"/>
      <c r="KPF87" s="202"/>
      <c r="KPG87" s="203"/>
      <c r="KPH87" s="204"/>
      <c r="KPI87" s="204"/>
      <c r="KPJ87" s="204"/>
      <c r="KPK87" s="205"/>
      <c r="KPL87" s="206"/>
      <c r="KPM87" s="207"/>
      <c r="KPN87" s="207"/>
      <c r="KPO87" s="208"/>
      <c r="KPP87" s="209"/>
      <c r="KPQ87" s="207"/>
      <c r="KPR87" s="210"/>
      <c r="KPS87" s="209"/>
      <c r="KPT87" s="204"/>
      <c r="KPU87" s="204"/>
      <c r="KPV87" s="204"/>
      <c r="KPW87" s="199"/>
      <c r="KPX87" s="167"/>
      <c r="KPY87" s="199"/>
      <c r="KPZ87" s="200"/>
      <c r="KQA87" s="201"/>
      <c r="KQB87" s="202"/>
      <c r="KQC87" s="202"/>
      <c r="KQD87" s="202"/>
      <c r="KQE87" s="202"/>
      <c r="KQF87" s="203"/>
      <c r="KQG87" s="204"/>
      <c r="KQH87" s="204"/>
      <c r="KQI87" s="204"/>
      <c r="KQJ87" s="205"/>
      <c r="KQK87" s="206"/>
      <c r="KQL87" s="207"/>
      <c r="KQM87" s="207"/>
      <c r="KQN87" s="208"/>
      <c r="KQO87" s="209"/>
      <c r="KQP87" s="207"/>
      <c r="KQQ87" s="210"/>
      <c r="KQR87" s="209"/>
      <c r="KQS87" s="204"/>
      <c r="KQT87" s="204"/>
      <c r="KQU87" s="204"/>
      <c r="KQV87" s="199"/>
      <c r="KQW87" s="167"/>
      <c r="KQX87" s="199"/>
      <c r="KQY87" s="200"/>
      <c r="KQZ87" s="201"/>
      <c r="KRA87" s="202"/>
      <c r="KRB87" s="202"/>
      <c r="KRC87" s="202"/>
      <c r="KRD87" s="202"/>
      <c r="KRE87" s="203"/>
      <c r="KRF87" s="204"/>
      <c r="KRG87" s="204"/>
      <c r="KRH87" s="204"/>
      <c r="KRI87" s="205"/>
      <c r="KRJ87" s="206"/>
      <c r="KRK87" s="207"/>
      <c r="KRL87" s="207"/>
      <c r="KRM87" s="208"/>
      <c r="KRN87" s="209"/>
      <c r="KRO87" s="207"/>
      <c r="KRP87" s="210"/>
      <c r="KRQ87" s="209"/>
      <c r="KRR87" s="204"/>
      <c r="KRS87" s="204"/>
      <c r="KRT87" s="204"/>
      <c r="KRU87" s="199"/>
      <c r="KRV87" s="167"/>
      <c r="KRW87" s="199"/>
      <c r="KRX87" s="200"/>
      <c r="KRY87" s="201"/>
      <c r="KRZ87" s="202"/>
      <c r="KSA87" s="202"/>
      <c r="KSB87" s="202"/>
      <c r="KSC87" s="202"/>
      <c r="KSD87" s="203"/>
      <c r="KSE87" s="204"/>
      <c r="KSF87" s="204"/>
      <c r="KSG87" s="204"/>
      <c r="KSH87" s="205"/>
      <c r="KSI87" s="206"/>
      <c r="KSJ87" s="207"/>
      <c r="KSK87" s="207"/>
      <c r="KSL87" s="208"/>
      <c r="KSM87" s="209"/>
      <c r="KSN87" s="207"/>
      <c r="KSO87" s="210"/>
      <c r="KSP87" s="209"/>
      <c r="KSQ87" s="204"/>
      <c r="KSR87" s="204"/>
      <c r="KSS87" s="204"/>
      <c r="KST87" s="199"/>
      <c r="KSU87" s="167"/>
      <c r="KSV87" s="199"/>
      <c r="KSW87" s="200"/>
      <c r="KSX87" s="201"/>
      <c r="KSY87" s="202"/>
      <c r="KSZ87" s="202"/>
      <c r="KTA87" s="202"/>
      <c r="KTB87" s="202"/>
      <c r="KTC87" s="203"/>
      <c r="KTD87" s="204"/>
      <c r="KTE87" s="204"/>
      <c r="KTF87" s="204"/>
      <c r="KTG87" s="205"/>
      <c r="KTH87" s="206"/>
      <c r="KTI87" s="207"/>
      <c r="KTJ87" s="207"/>
      <c r="KTK87" s="208"/>
      <c r="KTL87" s="209"/>
      <c r="KTM87" s="207"/>
      <c r="KTN87" s="210"/>
      <c r="KTO87" s="209"/>
      <c r="KTP87" s="204"/>
      <c r="KTQ87" s="204"/>
      <c r="KTR87" s="204"/>
      <c r="KTS87" s="199"/>
      <c r="KTT87" s="167"/>
      <c r="KTU87" s="199"/>
      <c r="KTV87" s="200"/>
      <c r="KTW87" s="201"/>
      <c r="KTX87" s="202"/>
      <c r="KTY87" s="202"/>
      <c r="KTZ87" s="202"/>
      <c r="KUA87" s="202"/>
      <c r="KUB87" s="203"/>
      <c r="KUC87" s="204"/>
      <c r="KUD87" s="204"/>
      <c r="KUE87" s="204"/>
      <c r="KUF87" s="205"/>
      <c r="KUG87" s="206"/>
      <c r="KUH87" s="207"/>
      <c r="KUI87" s="207"/>
      <c r="KUJ87" s="208"/>
      <c r="KUK87" s="209"/>
      <c r="KUL87" s="207"/>
      <c r="KUM87" s="210"/>
      <c r="KUN87" s="209"/>
      <c r="KUO87" s="204"/>
      <c r="KUP87" s="204"/>
      <c r="KUQ87" s="204"/>
      <c r="KUR87" s="199"/>
      <c r="KUS87" s="167"/>
      <c r="KUT87" s="199"/>
      <c r="KUU87" s="200"/>
      <c r="KUV87" s="201"/>
      <c r="KUW87" s="202"/>
      <c r="KUX87" s="202"/>
      <c r="KUY87" s="202"/>
      <c r="KUZ87" s="202"/>
      <c r="KVA87" s="203"/>
      <c r="KVB87" s="204"/>
      <c r="KVC87" s="204"/>
      <c r="KVD87" s="204"/>
      <c r="KVE87" s="205"/>
      <c r="KVF87" s="206"/>
      <c r="KVG87" s="207"/>
      <c r="KVH87" s="207"/>
      <c r="KVI87" s="208"/>
      <c r="KVJ87" s="209"/>
      <c r="KVK87" s="207"/>
      <c r="KVL87" s="210"/>
      <c r="KVM87" s="209"/>
      <c r="KVN87" s="204"/>
      <c r="KVO87" s="204"/>
      <c r="KVP87" s="204"/>
      <c r="KVQ87" s="199"/>
      <c r="KVR87" s="167"/>
      <c r="KVS87" s="199"/>
      <c r="KVT87" s="200"/>
      <c r="KVU87" s="201"/>
      <c r="KVV87" s="202"/>
      <c r="KVW87" s="202"/>
      <c r="KVX87" s="202"/>
      <c r="KVY87" s="202"/>
      <c r="KVZ87" s="203"/>
      <c r="KWA87" s="204"/>
      <c r="KWB87" s="204"/>
      <c r="KWC87" s="204"/>
      <c r="KWD87" s="205"/>
      <c r="KWE87" s="206"/>
      <c r="KWF87" s="207"/>
      <c r="KWG87" s="207"/>
      <c r="KWH87" s="208"/>
      <c r="KWI87" s="209"/>
      <c r="KWJ87" s="207"/>
      <c r="KWK87" s="210"/>
      <c r="KWL87" s="209"/>
      <c r="KWM87" s="204"/>
      <c r="KWN87" s="204"/>
      <c r="KWO87" s="204"/>
      <c r="KWP87" s="199"/>
      <c r="KWQ87" s="167"/>
      <c r="KWR87" s="199"/>
      <c r="KWS87" s="200"/>
      <c r="KWT87" s="201"/>
      <c r="KWU87" s="202"/>
      <c r="KWV87" s="202"/>
      <c r="KWW87" s="202"/>
      <c r="KWX87" s="202"/>
      <c r="KWY87" s="203"/>
      <c r="KWZ87" s="204"/>
      <c r="KXA87" s="204"/>
      <c r="KXB87" s="204"/>
      <c r="KXC87" s="205"/>
      <c r="KXD87" s="206"/>
      <c r="KXE87" s="207"/>
      <c r="KXF87" s="207"/>
      <c r="KXG87" s="208"/>
      <c r="KXH87" s="209"/>
      <c r="KXI87" s="207"/>
      <c r="KXJ87" s="210"/>
      <c r="KXK87" s="209"/>
      <c r="KXL87" s="204"/>
      <c r="KXM87" s="204"/>
      <c r="KXN87" s="204"/>
      <c r="KXO87" s="199"/>
      <c r="KXP87" s="167"/>
      <c r="KXQ87" s="199"/>
      <c r="KXR87" s="200"/>
      <c r="KXS87" s="201"/>
      <c r="KXT87" s="202"/>
      <c r="KXU87" s="202"/>
      <c r="KXV87" s="202"/>
      <c r="KXW87" s="202"/>
      <c r="KXX87" s="203"/>
      <c r="KXY87" s="204"/>
      <c r="KXZ87" s="204"/>
      <c r="KYA87" s="204"/>
      <c r="KYB87" s="205"/>
      <c r="KYC87" s="206"/>
      <c r="KYD87" s="207"/>
      <c r="KYE87" s="207"/>
      <c r="KYF87" s="208"/>
      <c r="KYG87" s="209"/>
      <c r="KYH87" s="207"/>
      <c r="KYI87" s="210"/>
      <c r="KYJ87" s="209"/>
      <c r="KYK87" s="204"/>
      <c r="KYL87" s="204"/>
      <c r="KYM87" s="204"/>
      <c r="KYN87" s="199"/>
      <c r="KYO87" s="167"/>
      <c r="KYP87" s="199"/>
      <c r="KYQ87" s="200"/>
      <c r="KYR87" s="201"/>
      <c r="KYS87" s="202"/>
      <c r="KYT87" s="202"/>
      <c r="KYU87" s="202"/>
      <c r="KYV87" s="202"/>
      <c r="KYW87" s="203"/>
      <c r="KYX87" s="204"/>
      <c r="KYY87" s="204"/>
      <c r="KYZ87" s="204"/>
      <c r="KZA87" s="205"/>
      <c r="KZB87" s="206"/>
      <c r="KZC87" s="207"/>
      <c r="KZD87" s="207"/>
      <c r="KZE87" s="208"/>
      <c r="KZF87" s="209"/>
      <c r="KZG87" s="207"/>
      <c r="KZH87" s="210"/>
      <c r="KZI87" s="209"/>
      <c r="KZJ87" s="204"/>
      <c r="KZK87" s="204"/>
      <c r="KZL87" s="204"/>
      <c r="KZM87" s="199"/>
      <c r="KZN87" s="167"/>
      <c r="KZO87" s="199"/>
      <c r="KZP87" s="200"/>
      <c r="KZQ87" s="201"/>
      <c r="KZR87" s="202"/>
      <c r="KZS87" s="202"/>
      <c r="KZT87" s="202"/>
      <c r="KZU87" s="202"/>
      <c r="KZV87" s="203"/>
      <c r="KZW87" s="204"/>
      <c r="KZX87" s="204"/>
      <c r="KZY87" s="204"/>
      <c r="KZZ87" s="205"/>
      <c r="LAA87" s="206"/>
      <c r="LAB87" s="207"/>
      <c r="LAC87" s="207"/>
      <c r="LAD87" s="208"/>
      <c r="LAE87" s="209"/>
      <c r="LAF87" s="207"/>
      <c r="LAG87" s="210"/>
      <c r="LAH87" s="209"/>
      <c r="LAI87" s="204"/>
      <c r="LAJ87" s="204"/>
      <c r="LAK87" s="204"/>
      <c r="LAL87" s="199"/>
      <c r="LAM87" s="167"/>
      <c r="LAN87" s="199"/>
      <c r="LAO87" s="200"/>
      <c r="LAP87" s="201"/>
      <c r="LAQ87" s="202"/>
      <c r="LAR87" s="202"/>
      <c r="LAS87" s="202"/>
      <c r="LAT87" s="202"/>
      <c r="LAU87" s="203"/>
      <c r="LAV87" s="204"/>
      <c r="LAW87" s="204"/>
      <c r="LAX87" s="204"/>
      <c r="LAY87" s="205"/>
      <c r="LAZ87" s="206"/>
      <c r="LBA87" s="207"/>
      <c r="LBB87" s="207"/>
      <c r="LBC87" s="208"/>
      <c r="LBD87" s="209"/>
      <c r="LBE87" s="207"/>
      <c r="LBF87" s="210"/>
      <c r="LBG87" s="209"/>
      <c r="LBH87" s="204"/>
      <c r="LBI87" s="204"/>
      <c r="LBJ87" s="204"/>
      <c r="LBK87" s="199"/>
      <c r="LBL87" s="167"/>
      <c r="LBM87" s="199"/>
      <c r="LBN87" s="200"/>
      <c r="LBO87" s="201"/>
      <c r="LBP87" s="202"/>
      <c r="LBQ87" s="202"/>
      <c r="LBR87" s="202"/>
      <c r="LBS87" s="202"/>
      <c r="LBT87" s="203"/>
      <c r="LBU87" s="204"/>
      <c r="LBV87" s="204"/>
      <c r="LBW87" s="204"/>
      <c r="LBX87" s="205"/>
      <c r="LBY87" s="206"/>
      <c r="LBZ87" s="207"/>
      <c r="LCA87" s="207"/>
      <c r="LCB87" s="208"/>
      <c r="LCC87" s="209"/>
      <c r="LCD87" s="207"/>
      <c r="LCE87" s="210"/>
      <c r="LCF87" s="209"/>
      <c r="LCG87" s="204"/>
      <c r="LCH87" s="204"/>
      <c r="LCI87" s="204"/>
      <c r="LCJ87" s="199"/>
      <c r="LCK87" s="167"/>
      <c r="LCL87" s="199"/>
      <c r="LCM87" s="200"/>
      <c r="LCN87" s="201"/>
      <c r="LCO87" s="202"/>
      <c r="LCP87" s="202"/>
      <c r="LCQ87" s="202"/>
      <c r="LCR87" s="202"/>
      <c r="LCS87" s="203"/>
      <c r="LCT87" s="204"/>
      <c r="LCU87" s="204"/>
      <c r="LCV87" s="204"/>
      <c r="LCW87" s="205"/>
      <c r="LCX87" s="206"/>
      <c r="LCY87" s="207"/>
      <c r="LCZ87" s="207"/>
      <c r="LDA87" s="208"/>
      <c r="LDB87" s="209"/>
      <c r="LDC87" s="207"/>
      <c r="LDD87" s="210"/>
      <c r="LDE87" s="209"/>
      <c r="LDF87" s="204"/>
      <c r="LDG87" s="204"/>
      <c r="LDH87" s="204"/>
      <c r="LDI87" s="199"/>
      <c r="LDJ87" s="167"/>
      <c r="LDK87" s="199"/>
      <c r="LDL87" s="200"/>
      <c r="LDM87" s="201"/>
      <c r="LDN87" s="202"/>
      <c r="LDO87" s="202"/>
      <c r="LDP87" s="202"/>
      <c r="LDQ87" s="202"/>
      <c r="LDR87" s="203"/>
      <c r="LDS87" s="204"/>
      <c r="LDT87" s="204"/>
      <c r="LDU87" s="204"/>
      <c r="LDV87" s="205"/>
      <c r="LDW87" s="206"/>
      <c r="LDX87" s="207"/>
      <c r="LDY87" s="207"/>
      <c r="LDZ87" s="208"/>
      <c r="LEA87" s="209"/>
      <c r="LEB87" s="207"/>
      <c r="LEC87" s="210"/>
      <c r="LED87" s="209"/>
      <c r="LEE87" s="204"/>
      <c r="LEF87" s="204"/>
      <c r="LEG87" s="204"/>
      <c r="LEH87" s="199"/>
      <c r="LEI87" s="167"/>
      <c r="LEJ87" s="199"/>
      <c r="LEK87" s="200"/>
      <c r="LEL87" s="201"/>
      <c r="LEM87" s="202"/>
      <c r="LEN87" s="202"/>
      <c r="LEO87" s="202"/>
      <c r="LEP87" s="202"/>
      <c r="LEQ87" s="203"/>
      <c r="LER87" s="204"/>
      <c r="LES87" s="204"/>
      <c r="LET87" s="204"/>
      <c r="LEU87" s="205"/>
      <c r="LEV87" s="206"/>
      <c r="LEW87" s="207"/>
      <c r="LEX87" s="207"/>
      <c r="LEY87" s="208"/>
      <c r="LEZ87" s="209"/>
      <c r="LFA87" s="207"/>
      <c r="LFB87" s="210"/>
      <c r="LFC87" s="209"/>
      <c r="LFD87" s="204"/>
      <c r="LFE87" s="204"/>
      <c r="LFF87" s="204"/>
      <c r="LFG87" s="199"/>
      <c r="LFH87" s="167"/>
      <c r="LFI87" s="199"/>
      <c r="LFJ87" s="200"/>
      <c r="LFK87" s="201"/>
      <c r="LFL87" s="202"/>
      <c r="LFM87" s="202"/>
      <c r="LFN87" s="202"/>
      <c r="LFO87" s="202"/>
      <c r="LFP87" s="203"/>
      <c r="LFQ87" s="204"/>
      <c r="LFR87" s="204"/>
      <c r="LFS87" s="204"/>
      <c r="LFT87" s="205"/>
      <c r="LFU87" s="206"/>
      <c r="LFV87" s="207"/>
      <c r="LFW87" s="207"/>
      <c r="LFX87" s="208"/>
      <c r="LFY87" s="209"/>
      <c r="LFZ87" s="207"/>
      <c r="LGA87" s="210"/>
      <c r="LGB87" s="209"/>
      <c r="LGC87" s="204"/>
      <c r="LGD87" s="204"/>
      <c r="LGE87" s="204"/>
      <c r="LGF87" s="199"/>
      <c r="LGG87" s="167"/>
      <c r="LGH87" s="199"/>
      <c r="LGI87" s="200"/>
      <c r="LGJ87" s="201"/>
      <c r="LGK87" s="202"/>
      <c r="LGL87" s="202"/>
      <c r="LGM87" s="202"/>
      <c r="LGN87" s="202"/>
      <c r="LGO87" s="203"/>
      <c r="LGP87" s="204"/>
      <c r="LGQ87" s="204"/>
      <c r="LGR87" s="204"/>
      <c r="LGS87" s="205"/>
      <c r="LGT87" s="206"/>
      <c r="LGU87" s="207"/>
      <c r="LGV87" s="207"/>
      <c r="LGW87" s="208"/>
      <c r="LGX87" s="209"/>
      <c r="LGY87" s="207"/>
      <c r="LGZ87" s="210"/>
      <c r="LHA87" s="209"/>
      <c r="LHB87" s="204"/>
      <c r="LHC87" s="204"/>
      <c r="LHD87" s="204"/>
      <c r="LHE87" s="199"/>
      <c r="LHF87" s="167"/>
      <c r="LHG87" s="199"/>
      <c r="LHH87" s="200"/>
      <c r="LHI87" s="201"/>
      <c r="LHJ87" s="202"/>
      <c r="LHK87" s="202"/>
      <c r="LHL87" s="202"/>
      <c r="LHM87" s="202"/>
      <c r="LHN87" s="203"/>
      <c r="LHO87" s="204"/>
      <c r="LHP87" s="204"/>
      <c r="LHQ87" s="204"/>
      <c r="LHR87" s="205"/>
      <c r="LHS87" s="206"/>
      <c r="LHT87" s="207"/>
      <c r="LHU87" s="207"/>
      <c r="LHV87" s="208"/>
      <c r="LHW87" s="209"/>
      <c r="LHX87" s="207"/>
      <c r="LHY87" s="210"/>
      <c r="LHZ87" s="209"/>
      <c r="LIA87" s="204"/>
      <c r="LIB87" s="204"/>
      <c r="LIC87" s="204"/>
      <c r="LID87" s="199"/>
      <c r="LIE87" s="167"/>
      <c r="LIF87" s="199"/>
      <c r="LIG87" s="200"/>
      <c r="LIH87" s="201"/>
      <c r="LII87" s="202"/>
      <c r="LIJ87" s="202"/>
      <c r="LIK87" s="202"/>
      <c r="LIL87" s="202"/>
      <c r="LIM87" s="203"/>
      <c r="LIN87" s="204"/>
      <c r="LIO87" s="204"/>
      <c r="LIP87" s="204"/>
      <c r="LIQ87" s="205"/>
      <c r="LIR87" s="206"/>
      <c r="LIS87" s="207"/>
      <c r="LIT87" s="207"/>
      <c r="LIU87" s="208"/>
      <c r="LIV87" s="209"/>
      <c r="LIW87" s="207"/>
      <c r="LIX87" s="210"/>
      <c r="LIY87" s="209"/>
      <c r="LIZ87" s="204"/>
      <c r="LJA87" s="204"/>
      <c r="LJB87" s="204"/>
      <c r="LJC87" s="199"/>
      <c r="LJD87" s="167"/>
      <c r="LJE87" s="199"/>
      <c r="LJF87" s="200"/>
      <c r="LJG87" s="201"/>
      <c r="LJH87" s="202"/>
      <c r="LJI87" s="202"/>
      <c r="LJJ87" s="202"/>
      <c r="LJK87" s="202"/>
      <c r="LJL87" s="203"/>
      <c r="LJM87" s="204"/>
      <c r="LJN87" s="204"/>
      <c r="LJO87" s="204"/>
      <c r="LJP87" s="205"/>
      <c r="LJQ87" s="206"/>
      <c r="LJR87" s="207"/>
      <c r="LJS87" s="207"/>
      <c r="LJT87" s="208"/>
      <c r="LJU87" s="209"/>
      <c r="LJV87" s="207"/>
      <c r="LJW87" s="210"/>
      <c r="LJX87" s="209"/>
      <c r="LJY87" s="204"/>
      <c r="LJZ87" s="204"/>
      <c r="LKA87" s="204"/>
      <c r="LKB87" s="199"/>
      <c r="LKC87" s="167"/>
      <c r="LKD87" s="199"/>
      <c r="LKE87" s="200"/>
      <c r="LKF87" s="201"/>
      <c r="LKG87" s="202"/>
      <c r="LKH87" s="202"/>
      <c r="LKI87" s="202"/>
      <c r="LKJ87" s="202"/>
      <c r="LKK87" s="203"/>
      <c r="LKL87" s="204"/>
      <c r="LKM87" s="204"/>
      <c r="LKN87" s="204"/>
      <c r="LKO87" s="205"/>
      <c r="LKP87" s="206"/>
      <c r="LKQ87" s="207"/>
      <c r="LKR87" s="207"/>
      <c r="LKS87" s="208"/>
      <c r="LKT87" s="209"/>
      <c r="LKU87" s="207"/>
      <c r="LKV87" s="210"/>
      <c r="LKW87" s="209"/>
      <c r="LKX87" s="204"/>
      <c r="LKY87" s="204"/>
      <c r="LKZ87" s="204"/>
      <c r="LLA87" s="199"/>
      <c r="LLB87" s="167"/>
      <c r="LLC87" s="199"/>
      <c r="LLD87" s="200"/>
      <c r="LLE87" s="201"/>
      <c r="LLF87" s="202"/>
      <c r="LLG87" s="202"/>
      <c r="LLH87" s="202"/>
      <c r="LLI87" s="202"/>
      <c r="LLJ87" s="203"/>
      <c r="LLK87" s="204"/>
      <c r="LLL87" s="204"/>
      <c r="LLM87" s="204"/>
      <c r="LLN87" s="205"/>
      <c r="LLO87" s="206"/>
      <c r="LLP87" s="207"/>
      <c r="LLQ87" s="207"/>
      <c r="LLR87" s="208"/>
      <c r="LLS87" s="209"/>
      <c r="LLT87" s="207"/>
      <c r="LLU87" s="210"/>
      <c r="LLV87" s="209"/>
      <c r="LLW87" s="204"/>
      <c r="LLX87" s="204"/>
      <c r="LLY87" s="204"/>
      <c r="LLZ87" s="199"/>
      <c r="LMA87" s="167"/>
      <c r="LMB87" s="199"/>
      <c r="LMC87" s="200"/>
      <c r="LMD87" s="201"/>
      <c r="LME87" s="202"/>
      <c r="LMF87" s="202"/>
      <c r="LMG87" s="202"/>
      <c r="LMH87" s="202"/>
      <c r="LMI87" s="203"/>
      <c r="LMJ87" s="204"/>
      <c r="LMK87" s="204"/>
      <c r="LML87" s="204"/>
      <c r="LMM87" s="205"/>
      <c r="LMN87" s="206"/>
      <c r="LMO87" s="207"/>
      <c r="LMP87" s="207"/>
      <c r="LMQ87" s="208"/>
      <c r="LMR87" s="209"/>
      <c r="LMS87" s="207"/>
      <c r="LMT87" s="210"/>
      <c r="LMU87" s="209"/>
      <c r="LMV87" s="204"/>
      <c r="LMW87" s="204"/>
      <c r="LMX87" s="204"/>
      <c r="LMY87" s="199"/>
      <c r="LMZ87" s="167"/>
      <c r="LNA87" s="199"/>
      <c r="LNB87" s="200"/>
      <c r="LNC87" s="201"/>
      <c r="LND87" s="202"/>
      <c r="LNE87" s="202"/>
      <c r="LNF87" s="202"/>
      <c r="LNG87" s="202"/>
      <c r="LNH87" s="203"/>
      <c r="LNI87" s="204"/>
      <c r="LNJ87" s="204"/>
      <c r="LNK87" s="204"/>
      <c r="LNL87" s="205"/>
      <c r="LNM87" s="206"/>
      <c r="LNN87" s="207"/>
      <c r="LNO87" s="207"/>
      <c r="LNP87" s="208"/>
      <c r="LNQ87" s="209"/>
      <c r="LNR87" s="207"/>
      <c r="LNS87" s="210"/>
      <c r="LNT87" s="209"/>
      <c r="LNU87" s="204"/>
      <c r="LNV87" s="204"/>
      <c r="LNW87" s="204"/>
      <c r="LNX87" s="199"/>
      <c r="LNY87" s="167"/>
      <c r="LNZ87" s="199"/>
      <c r="LOA87" s="200"/>
      <c r="LOB87" s="201"/>
      <c r="LOC87" s="202"/>
      <c r="LOD87" s="202"/>
      <c r="LOE87" s="202"/>
      <c r="LOF87" s="202"/>
      <c r="LOG87" s="203"/>
      <c r="LOH87" s="204"/>
      <c r="LOI87" s="204"/>
      <c r="LOJ87" s="204"/>
      <c r="LOK87" s="205"/>
      <c r="LOL87" s="206"/>
      <c r="LOM87" s="207"/>
      <c r="LON87" s="207"/>
      <c r="LOO87" s="208"/>
      <c r="LOP87" s="209"/>
      <c r="LOQ87" s="207"/>
      <c r="LOR87" s="210"/>
      <c r="LOS87" s="209"/>
      <c r="LOT87" s="204"/>
      <c r="LOU87" s="204"/>
      <c r="LOV87" s="204"/>
      <c r="LOW87" s="199"/>
      <c r="LOX87" s="167"/>
      <c r="LOY87" s="199"/>
      <c r="LOZ87" s="200"/>
      <c r="LPA87" s="201"/>
      <c r="LPB87" s="202"/>
      <c r="LPC87" s="202"/>
      <c r="LPD87" s="202"/>
      <c r="LPE87" s="202"/>
      <c r="LPF87" s="203"/>
      <c r="LPG87" s="204"/>
      <c r="LPH87" s="204"/>
      <c r="LPI87" s="204"/>
      <c r="LPJ87" s="205"/>
      <c r="LPK87" s="206"/>
      <c r="LPL87" s="207"/>
      <c r="LPM87" s="207"/>
      <c r="LPN87" s="208"/>
      <c r="LPO87" s="209"/>
      <c r="LPP87" s="207"/>
      <c r="LPQ87" s="210"/>
      <c r="LPR87" s="209"/>
      <c r="LPS87" s="204"/>
      <c r="LPT87" s="204"/>
      <c r="LPU87" s="204"/>
      <c r="LPV87" s="199"/>
      <c r="LPW87" s="167"/>
      <c r="LPX87" s="199"/>
      <c r="LPY87" s="200"/>
      <c r="LPZ87" s="201"/>
      <c r="LQA87" s="202"/>
      <c r="LQB87" s="202"/>
      <c r="LQC87" s="202"/>
      <c r="LQD87" s="202"/>
      <c r="LQE87" s="203"/>
      <c r="LQF87" s="204"/>
      <c r="LQG87" s="204"/>
      <c r="LQH87" s="204"/>
      <c r="LQI87" s="205"/>
      <c r="LQJ87" s="206"/>
      <c r="LQK87" s="207"/>
      <c r="LQL87" s="207"/>
      <c r="LQM87" s="208"/>
      <c r="LQN87" s="209"/>
      <c r="LQO87" s="207"/>
      <c r="LQP87" s="210"/>
      <c r="LQQ87" s="209"/>
      <c r="LQR87" s="204"/>
      <c r="LQS87" s="204"/>
      <c r="LQT87" s="204"/>
      <c r="LQU87" s="199"/>
      <c r="LQV87" s="167"/>
      <c r="LQW87" s="199"/>
      <c r="LQX87" s="200"/>
      <c r="LQY87" s="201"/>
      <c r="LQZ87" s="202"/>
      <c r="LRA87" s="202"/>
      <c r="LRB87" s="202"/>
      <c r="LRC87" s="202"/>
      <c r="LRD87" s="203"/>
      <c r="LRE87" s="204"/>
      <c r="LRF87" s="204"/>
      <c r="LRG87" s="204"/>
      <c r="LRH87" s="205"/>
      <c r="LRI87" s="206"/>
      <c r="LRJ87" s="207"/>
      <c r="LRK87" s="207"/>
      <c r="LRL87" s="208"/>
      <c r="LRM87" s="209"/>
      <c r="LRN87" s="207"/>
      <c r="LRO87" s="210"/>
      <c r="LRP87" s="209"/>
      <c r="LRQ87" s="204"/>
      <c r="LRR87" s="204"/>
      <c r="LRS87" s="204"/>
      <c r="LRT87" s="199"/>
      <c r="LRU87" s="167"/>
      <c r="LRV87" s="199"/>
      <c r="LRW87" s="200"/>
      <c r="LRX87" s="201"/>
      <c r="LRY87" s="202"/>
      <c r="LRZ87" s="202"/>
      <c r="LSA87" s="202"/>
      <c r="LSB87" s="202"/>
      <c r="LSC87" s="203"/>
      <c r="LSD87" s="204"/>
      <c r="LSE87" s="204"/>
      <c r="LSF87" s="204"/>
      <c r="LSG87" s="205"/>
      <c r="LSH87" s="206"/>
      <c r="LSI87" s="207"/>
      <c r="LSJ87" s="207"/>
      <c r="LSK87" s="208"/>
      <c r="LSL87" s="209"/>
      <c r="LSM87" s="207"/>
      <c r="LSN87" s="210"/>
      <c r="LSO87" s="209"/>
      <c r="LSP87" s="204"/>
      <c r="LSQ87" s="204"/>
      <c r="LSR87" s="204"/>
      <c r="LSS87" s="199"/>
      <c r="LST87" s="167"/>
      <c r="LSU87" s="199"/>
      <c r="LSV87" s="200"/>
      <c r="LSW87" s="201"/>
      <c r="LSX87" s="202"/>
      <c r="LSY87" s="202"/>
      <c r="LSZ87" s="202"/>
      <c r="LTA87" s="202"/>
      <c r="LTB87" s="203"/>
      <c r="LTC87" s="204"/>
      <c r="LTD87" s="204"/>
      <c r="LTE87" s="204"/>
      <c r="LTF87" s="205"/>
      <c r="LTG87" s="206"/>
      <c r="LTH87" s="207"/>
      <c r="LTI87" s="207"/>
      <c r="LTJ87" s="208"/>
      <c r="LTK87" s="209"/>
      <c r="LTL87" s="207"/>
      <c r="LTM87" s="210"/>
      <c r="LTN87" s="209"/>
      <c r="LTO87" s="204"/>
      <c r="LTP87" s="204"/>
      <c r="LTQ87" s="204"/>
      <c r="LTR87" s="199"/>
      <c r="LTS87" s="167"/>
      <c r="LTT87" s="199"/>
      <c r="LTU87" s="200"/>
      <c r="LTV87" s="201"/>
      <c r="LTW87" s="202"/>
      <c r="LTX87" s="202"/>
      <c r="LTY87" s="202"/>
      <c r="LTZ87" s="202"/>
      <c r="LUA87" s="203"/>
      <c r="LUB87" s="204"/>
      <c r="LUC87" s="204"/>
      <c r="LUD87" s="204"/>
      <c r="LUE87" s="205"/>
      <c r="LUF87" s="206"/>
      <c r="LUG87" s="207"/>
      <c r="LUH87" s="207"/>
      <c r="LUI87" s="208"/>
      <c r="LUJ87" s="209"/>
      <c r="LUK87" s="207"/>
      <c r="LUL87" s="210"/>
      <c r="LUM87" s="209"/>
      <c r="LUN87" s="204"/>
      <c r="LUO87" s="204"/>
      <c r="LUP87" s="204"/>
      <c r="LUQ87" s="199"/>
      <c r="LUR87" s="167"/>
      <c r="LUS87" s="199"/>
      <c r="LUT87" s="200"/>
      <c r="LUU87" s="201"/>
      <c r="LUV87" s="202"/>
      <c r="LUW87" s="202"/>
      <c r="LUX87" s="202"/>
      <c r="LUY87" s="202"/>
      <c r="LUZ87" s="203"/>
      <c r="LVA87" s="204"/>
      <c r="LVB87" s="204"/>
      <c r="LVC87" s="204"/>
      <c r="LVD87" s="205"/>
      <c r="LVE87" s="206"/>
      <c r="LVF87" s="207"/>
      <c r="LVG87" s="207"/>
      <c r="LVH87" s="208"/>
      <c r="LVI87" s="209"/>
      <c r="LVJ87" s="207"/>
      <c r="LVK87" s="210"/>
      <c r="LVL87" s="209"/>
      <c r="LVM87" s="204"/>
      <c r="LVN87" s="204"/>
      <c r="LVO87" s="204"/>
      <c r="LVP87" s="199"/>
      <c r="LVQ87" s="167"/>
      <c r="LVR87" s="199"/>
      <c r="LVS87" s="200"/>
      <c r="LVT87" s="201"/>
      <c r="LVU87" s="202"/>
      <c r="LVV87" s="202"/>
      <c r="LVW87" s="202"/>
      <c r="LVX87" s="202"/>
      <c r="LVY87" s="203"/>
      <c r="LVZ87" s="204"/>
      <c r="LWA87" s="204"/>
      <c r="LWB87" s="204"/>
      <c r="LWC87" s="205"/>
      <c r="LWD87" s="206"/>
      <c r="LWE87" s="207"/>
      <c r="LWF87" s="207"/>
      <c r="LWG87" s="208"/>
      <c r="LWH87" s="209"/>
      <c r="LWI87" s="207"/>
      <c r="LWJ87" s="210"/>
      <c r="LWK87" s="209"/>
      <c r="LWL87" s="204"/>
      <c r="LWM87" s="204"/>
      <c r="LWN87" s="204"/>
      <c r="LWO87" s="199"/>
      <c r="LWP87" s="167"/>
      <c r="LWQ87" s="199"/>
      <c r="LWR87" s="200"/>
      <c r="LWS87" s="201"/>
      <c r="LWT87" s="202"/>
      <c r="LWU87" s="202"/>
      <c r="LWV87" s="202"/>
      <c r="LWW87" s="202"/>
      <c r="LWX87" s="203"/>
      <c r="LWY87" s="204"/>
      <c r="LWZ87" s="204"/>
      <c r="LXA87" s="204"/>
      <c r="LXB87" s="205"/>
      <c r="LXC87" s="206"/>
      <c r="LXD87" s="207"/>
      <c r="LXE87" s="207"/>
      <c r="LXF87" s="208"/>
      <c r="LXG87" s="209"/>
      <c r="LXH87" s="207"/>
      <c r="LXI87" s="210"/>
      <c r="LXJ87" s="209"/>
      <c r="LXK87" s="204"/>
      <c r="LXL87" s="204"/>
      <c r="LXM87" s="204"/>
      <c r="LXN87" s="199"/>
      <c r="LXO87" s="167"/>
      <c r="LXP87" s="199"/>
      <c r="LXQ87" s="200"/>
      <c r="LXR87" s="201"/>
      <c r="LXS87" s="202"/>
      <c r="LXT87" s="202"/>
      <c r="LXU87" s="202"/>
      <c r="LXV87" s="202"/>
      <c r="LXW87" s="203"/>
      <c r="LXX87" s="204"/>
      <c r="LXY87" s="204"/>
      <c r="LXZ87" s="204"/>
      <c r="LYA87" s="205"/>
      <c r="LYB87" s="206"/>
      <c r="LYC87" s="207"/>
      <c r="LYD87" s="207"/>
      <c r="LYE87" s="208"/>
      <c r="LYF87" s="209"/>
      <c r="LYG87" s="207"/>
      <c r="LYH87" s="210"/>
      <c r="LYI87" s="209"/>
      <c r="LYJ87" s="204"/>
      <c r="LYK87" s="204"/>
      <c r="LYL87" s="204"/>
      <c r="LYM87" s="199"/>
      <c r="LYN87" s="167"/>
      <c r="LYO87" s="199"/>
      <c r="LYP87" s="200"/>
      <c r="LYQ87" s="201"/>
      <c r="LYR87" s="202"/>
      <c r="LYS87" s="202"/>
      <c r="LYT87" s="202"/>
      <c r="LYU87" s="202"/>
      <c r="LYV87" s="203"/>
      <c r="LYW87" s="204"/>
      <c r="LYX87" s="204"/>
      <c r="LYY87" s="204"/>
      <c r="LYZ87" s="205"/>
      <c r="LZA87" s="206"/>
      <c r="LZB87" s="207"/>
      <c r="LZC87" s="207"/>
      <c r="LZD87" s="208"/>
      <c r="LZE87" s="209"/>
      <c r="LZF87" s="207"/>
      <c r="LZG87" s="210"/>
      <c r="LZH87" s="209"/>
      <c r="LZI87" s="204"/>
      <c r="LZJ87" s="204"/>
      <c r="LZK87" s="204"/>
      <c r="LZL87" s="199"/>
      <c r="LZM87" s="167"/>
      <c r="LZN87" s="199"/>
      <c r="LZO87" s="200"/>
      <c r="LZP87" s="201"/>
      <c r="LZQ87" s="202"/>
      <c r="LZR87" s="202"/>
      <c r="LZS87" s="202"/>
      <c r="LZT87" s="202"/>
      <c r="LZU87" s="203"/>
      <c r="LZV87" s="204"/>
      <c r="LZW87" s="204"/>
      <c r="LZX87" s="204"/>
      <c r="LZY87" s="205"/>
      <c r="LZZ87" s="206"/>
      <c r="MAA87" s="207"/>
      <c r="MAB87" s="207"/>
      <c r="MAC87" s="208"/>
      <c r="MAD87" s="209"/>
      <c r="MAE87" s="207"/>
      <c r="MAF87" s="210"/>
      <c r="MAG87" s="209"/>
      <c r="MAH87" s="204"/>
      <c r="MAI87" s="204"/>
      <c r="MAJ87" s="204"/>
      <c r="MAK87" s="199"/>
      <c r="MAL87" s="167"/>
      <c r="MAM87" s="199"/>
      <c r="MAN87" s="200"/>
      <c r="MAO87" s="201"/>
      <c r="MAP87" s="202"/>
      <c r="MAQ87" s="202"/>
      <c r="MAR87" s="202"/>
      <c r="MAS87" s="202"/>
      <c r="MAT87" s="203"/>
      <c r="MAU87" s="204"/>
      <c r="MAV87" s="204"/>
      <c r="MAW87" s="204"/>
      <c r="MAX87" s="205"/>
      <c r="MAY87" s="206"/>
      <c r="MAZ87" s="207"/>
      <c r="MBA87" s="207"/>
      <c r="MBB87" s="208"/>
      <c r="MBC87" s="209"/>
      <c r="MBD87" s="207"/>
      <c r="MBE87" s="210"/>
      <c r="MBF87" s="209"/>
      <c r="MBG87" s="204"/>
      <c r="MBH87" s="204"/>
      <c r="MBI87" s="204"/>
      <c r="MBJ87" s="199"/>
      <c r="MBK87" s="167"/>
      <c r="MBL87" s="199"/>
      <c r="MBM87" s="200"/>
      <c r="MBN87" s="201"/>
      <c r="MBO87" s="202"/>
      <c r="MBP87" s="202"/>
      <c r="MBQ87" s="202"/>
      <c r="MBR87" s="202"/>
      <c r="MBS87" s="203"/>
      <c r="MBT87" s="204"/>
      <c r="MBU87" s="204"/>
      <c r="MBV87" s="204"/>
      <c r="MBW87" s="205"/>
      <c r="MBX87" s="206"/>
      <c r="MBY87" s="207"/>
      <c r="MBZ87" s="207"/>
      <c r="MCA87" s="208"/>
      <c r="MCB87" s="209"/>
      <c r="MCC87" s="207"/>
      <c r="MCD87" s="210"/>
      <c r="MCE87" s="209"/>
      <c r="MCF87" s="204"/>
      <c r="MCG87" s="204"/>
      <c r="MCH87" s="204"/>
      <c r="MCI87" s="199"/>
      <c r="MCJ87" s="167"/>
      <c r="MCK87" s="199"/>
      <c r="MCL87" s="200"/>
      <c r="MCM87" s="201"/>
      <c r="MCN87" s="202"/>
      <c r="MCO87" s="202"/>
      <c r="MCP87" s="202"/>
      <c r="MCQ87" s="202"/>
      <c r="MCR87" s="203"/>
      <c r="MCS87" s="204"/>
      <c r="MCT87" s="204"/>
      <c r="MCU87" s="204"/>
      <c r="MCV87" s="205"/>
      <c r="MCW87" s="206"/>
      <c r="MCX87" s="207"/>
      <c r="MCY87" s="207"/>
      <c r="MCZ87" s="208"/>
      <c r="MDA87" s="209"/>
      <c r="MDB87" s="207"/>
      <c r="MDC87" s="210"/>
      <c r="MDD87" s="209"/>
      <c r="MDE87" s="204"/>
      <c r="MDF87" s="204"/>
      <c r="MDG87" s="204"/>
      <c r="MDH87" s="199"/>
      <c r="MDI87" s="167"/>
      <c r="MDJ87" s="199"/>
      <c r="MDK87" s="200"/>
      <c r="MDL87" s="201"/>
      <c r="MDM87" s="202"/>
      <c r="MDN87" s="202"/>
      <c r="MDO87" s="202"/>
      <c r="MDP87" s="202"/>
      <c r="MDQ87" s="203"/>
      <c r="MDR87" s="204"/>
      <c r="MDS87" s="204"/>
      <c r="MDT87" s="204"/>
      <c r="MDU87" s="205"/>
      <c r="MDV87" s="206"/>
      <c r="MDW87" s="207"/>
      <c r="MDX87" s="207"/>
      <c r="MDY87" s="208"/>
      <c r="MDZ87" s="209"/>
      <c r="MEA87" s="207"/>
      <c r="MEB87" s="210"/>
      <c r="MEC87" s="209"/>
      <c r="MED87" s="204"/>
      <c r="MEE87" s="204"/>
      <c r="MEF87" s="204"/>
      <c r="MEG87" s="199"/>
      <c r="MEH87" s="167"/>
      <c r="MEI87" s="199"/>
      <c r="MEJ87" s="200"/>
      <c r="MEK87" s="201"/>
      <c r="MEL87" s="202"/>
      <c r="MEM87" s="202"/>
      <c r="MEN87" s="202"/>
      <c r="MEO87" s="202"/>
      <c r="MEP87" s="203"/>
      <c r="MEQ87" s="204"/>
      <c r="MER87" s="204"/>
      <c r="MES87" s="204"/>
      <c r="MET87" s="205"/>
      <c r="MEU87" s="206"/>
      <c r="MEV87" s="207"/>
      <c r="MEW87" s="207"/>
      <c r="MEX87" s="208"/>
      <c r="MEY87" s="209"/>
      <c r="MEZ87" s="207"/>
      <c r="MFA87" s="210"/>
      <c r="MFB87" s="209"/>
      <c r="MFC87" s="204"/>
      <c r="MFD87" s="204"/>
      <c r="MFE87" s="204"/>
      <c r="MFF87" s="199"/>
      <c r="MFG87" s="167"/>
      <c r="MFH87" s="199"/>
      <c r="MFI87" s="200"/>
      <c r="MFJ87" s="201"/>
      <c r="MFK87" s="202"/>
      <c r="MFL87" s="202"/>
      <c r="MFM87" s="202"/>
      <c r="MFN87" s="202"/>
      <c r="MFO87" s="203"/>
      <c r="MFP87" s="204"/>
      <c r="MFQ87" s="204"/>
      <c r="MFR87" s="204"/>
      <c r="MFS87" s="205"/>
      <c r="MFT87" s="206"/>
      <c r="MFU87" s="207"/>
      <c r="MFV87" s="207"/>
      <c r="MFW87" s="208"/>
      <c r="MFX87" s="209"/>
      <c r="MFY87" s="207"/>
      <c r="MFZ87" s="210"/>
      <c r="MGA87" s="209"/>
      <c r="MGB87" s="204"/>
      <c r="MGC87" s="204"/>
      <c r="MGD87" s="204"/>
      <c r="MGE87" s="199"/>
      <c r="MGF87" s="167"/>
      <c r="MGG87" s="199"/>
      <c r="MGH87" s="200"/>
      <c r="MGI87" s="201"/>
      <c r="MGJ87" s="202"/>
      <c r="MGK87" s="202"/>
      <c r="MGL87" s="202"/>
      <c r="MGM87" s="202"/>
      <c r="MGN87" s="203"/>
      <c r="MGO87" s="204"/>
      <c r="MGP87" s="204"/>
      <c r="MGQ87" s="204"/>
      <c r="MGR87" s="205"/>
      <c r="MGS87" s="206"/>
      <c r="MGT87" s="207"/>
      <c r="MGU87" s="207"/>
      <c r="MGV87" s="208"/>
      <c r="MGW87" s="209"/>
      <c r="MGX87" s="207"/>
      <c r="MGY87" s="210"/>
      <c r="MGZ87" s="209"/>
      <c r="MHA87" s="204"/>
      <c r="MHB87" s="204"/>
      <c r="MHC87" s="204"/>
      <c r="MHD87" s="199"/>
      <c r="MHE87" s="167"/>
      <c r="MHF87" s="199"/>
      <c r="MHG87" s="200"/>
      <c r="MHH87" s="201"/>
      <c r="MHI87" s="202"/>
      <c r="MHJ87" s="202"/>
      <c r="MHK87" s="202"/>
      <c r="MHL87" s="202"/>
      <c r="MHM87" s="203"/>
      <c r="MHN87" s="204"/>
      <c r="MHO87" s="204"/>
      <c r="MHP87" s="204"/>
      <c r="MHQ87" s="205"/>
      <c r="MHR87" s="206"/>
      <c r="MHS87" s="207"/>
      <c r="MHT87" s="207"/>
      <c r="MHU87" s="208"/>
      <c r="MHV87" s="209"/>
      <c r="MHW87" s="207"/>
      <c r="MHX87" s="210"/>
      <c r="MHY87" s="209"/>
      <c r="MHZ87" s="204"/>
      <c r="MIA87" s="204"/>
      <c r="MIB87" s="204"/>
      <c r="MIC87" s="199"/>
      <c r="MID87" s="167"/>
      <c r="MIE87" s="199"/>
      <c r="MIF87" s="200"/>
      <c r="MIG87" s="201"/>
      <c r="MIH87" s="202"/>
      <c r="MII87" s="202"/>
      <c r="MIJ87" s="202"/>
      <c r="MIK87" s="202"/>
      <c r="MIL87" s="203"/>
      <c r="MIM87" s="204"/>
      <c r="MIN87" s="204"/>
      <c r="MIO87" s="204"/>
      <c r="MIP87" s="205"/>
      <c r="MIQ87" s="206"/>
      <c r="MIR87" s="207"/>
      <c r="MIS87" s="207"/>
      <c r="MIT87" s="208"/>
      <c r="MIU87" s="209"/>
      <c r="MIV87" s="207"/>
      <c r="MIW87" s="210"/>
      <c r="MIX87" s="209"/>
      <c r="MIY87" s="204"/>
      <c r="MIZ87" s="204"/>
      <c r="MJA87" s="204"/>
      <c r="MJB87" s="199"/>
      <c r="MJC87" s="167"/>
      <c r="MJD87" s="199"/>
      <c r="MJE87" s="200"/>
      <c r="MJF87" s="201"/>
      <c r="MJG87" s="202"/>
      <c r="MJH87" s="202"/>
      <c r="MJI87" s="202"/>
      <c r="MJJ87" s="202"/>
      <c r="MJK87" s="203"/>
      <c r="MJL87" s="204"/>
      <c r="MJM87" s="204"/>
      <c r="MJN87" s="204"/>
      <c r="MJO87" s="205"/>
      <c r="MJP87" s="206"/>
      <c r="MJQ87" s="207"/>
      <c r="MJR87" s="207"/>
      <c r="MJS87" s="208"/>
      <c r="MJT87" s="209"/>
      <c r="MJU87" s="207"/>
      <c r="MJV87" s="210"/>
      <c r="MJW87" s="209"/>
      <c r="MJX87" s="204"/>
      <c r="MJY87" s="204"/>
      <c r="MJZ87" s="204"/>
      <c r="MKA87" s="199"/>
      <c r="MKB87" s="167"/>
      <c r="MKC87" s="199"/>
      <c r="MKD87" s="200"/>
      <c r="MKE87" s="201"/>
      <c r="MKF87" s="202"/>
      <c r="MKG87" s="202"/>
      <c r="MKH87" s="202"/>
      <c r="MKI87" s="202"/>
      <c r="MKJ87" s="203"/>
      <c r="MKK87" s="204"/>
      <c r="MKL87" s="204"/>
      <c r="MKM87" s="204"/>
      <c r="MKN87" s="205"/>
      <c r="MKO87" s="206"/>
      <c r="MKP87" s="207"/>
      <c r="MKQ87" s="207"/>
      <c r="MKR87" s="208"/>
      <c r="MKS87" s="209"/>
      <c r="MKT87" s="207"/>
      <c r="MKU87" s="210"/>
      <c r="MKV87" s="209"/>
      <c r="MKW87" s="204"/>
      <c r="MKX87" s="204"/>
      <c r="MKY87" s="204"/>
      <c r="MKZ87" s="199"/>
      <c r="MLA87" s="167"/>
      <c r="MLB87" s="199"/>
      <c r="MLC87" s="200"/>
      <c r="MLD87" s="201"/>
      <c r="MLE87" s="202"/>
      <c r="MLF87" s="202"/>
      <c r="MLG87" s="202"/>
      <c r="MLH87" s="202"/>
      <c r="MLI87" s="203"/>
      <c r="MLJ87" s="204"/>
      <c r="MLK87" s="204"/>
      <c r="MLL87" s="204"/>
      <c r="MLM87" s="205"/>
      <c r="MLN87" s="206"/>
      <c r="MLO87" s="207"/>
      <c r="MLP87" s="207"/>
      <c r="MLQ87" s="208"/>
      <c r="MLR87" s="209"/>
      <c r="MLS87" s="207"/>
      <c r="MLT87" s="210"/>
      <c r="MLU87" s="209"/>
      <c r="MLV87" s="204"/>
      <c r="MLW87" s="204"/>
      <c r="MLX87" s="204"/>
      <c r="MLY87" s="199"/>
      <c r="MLZ87" s="167"/>
      <c r="MMA87" s="199"/>
      <c r="MMB87" s="200"/>
      <c r="MMC87" s="201"/>
      <c r="MMD87" s="202"/>
      <c r="MME87" s="202"/>
      <c r="MMF87" s="202"/>
      <c r="MMG87" s="202"/>
      <c r="MMH87" s="203"/>
      <c r="MMI87" s="204"/>
      <c r="MMJ87" s="204"/>
      <c r="MMK87" s="204"/>
      <c r="MML87" s="205"/>
      <c r="MMM87" s="206"/>
      <c r="MMN87" s="207"/>
      <c r="MMO87" s="207"/>
      <c r="MMP87" s="208"/>
      <c r="MMQ87" s="209"/>
      <c r="MMR87" s="207"/>
      <c r="MMS87" s="210"/>
      <c r="MMT87" s="209"/>
      <c r="MMU87" s="204"/>
      <c r="MMV87" s="204"/>
      <c r="MMW87" s="204"/>
      <c r="MMX87" s="199"/>
      <c r="MMY87" s="167"/>
      <c r="MMZ87" s="199"/>
      <c r="MNA87" s="200"/>
      <c r="MNB87" s="201"/>
      <c r="MNC87" s="202"/>
      <c r="MND87" s="202"/>
      <c r="MNE87" s="202"/>
      <c r="MNF87" s="202"/>
      <c r="MNG87" s="203"/>
      <c r="MNH87" s="204"/>
      <c r="MNI87" s="204"/>
      <c r="MNJ87" s="204"/>
      <c r="MNK87" s="205"/>
      <c r="MNL87" s="206"/>
      <c r="MNM87" s="207"/>
      <c r="MNN87" s="207"/>
      <c r="MNO87" s="208"/>
      <c r="MNP87" s="209"/>
      <c r="MNQ87" s="207"/>
      <c r="MNR87" s="210"/>
      <c r="MNS87" s="209"/>
      <c r="MNT87" s="204"/>
      <c r="MNU87" s="204"/>
      <c r="MNV87" s="204"/>
      <c r="MNW87" s="199"/>
      <c r="MNX87" s="167"/>
      <c r="MNY87" s="199"/>
      <c r="MNZ87" s="200"/>
      <c r="MOA87" s="201"/>
      <c r="MOB87" s="202"/>
      <c r="MOC87" s="202"/>
      <c r="MOD87" s="202"/>
      <c r="MOE87" s="202"/>
      <c r="MOF87" s="203"/>
      <c r="MOG87" s="204"/>
      <c r="MOH87" s="204"/>
      <c r="MOI87" s="204"/>
      <c r="MOJ87" s="205"/>
      <c r="MOK87" s="206"/>
      <c r="MOL87" s="207"/>
      <c r="MOM87" s="207"/>
      <c r="MON87" s="208"/>
      <c r="MOO87" s="209"/>
      <c r="MOP87" s="207"/>
      <c r="MOQ87" s="210"/>
      <c r="MOR87" s="209"/>
      <c r="MOS87" s="204"/>
      <c r="MOT87" s="204"/>
      <c r="MOU87" s="204"/>
      <c r="MOV87" s="199"/>
      <c r="MOW87" s="167"/>
      <c r="MOX87" s="199"/>
      <c r="MOY87" s="200"/>
      <c r="MOZ87" s="201"/>
      <c r="MPA87" s="202"/>
      <c r="MPB87" s="202"/>
      <c r="MPC87" s="202"/>
      <c r="MPD87" s="202"/>
      <c r="MPE87" s="203"/>
      <c r="MPF87" s="204"/>
      <c r="MPG87" s="204"/>
      <c r="MPH87" s="204"/>
      <c r="MPI87" s="205"/>
      <c r="MPJ87" s="206"/>
      <c r="MPK87" s="207"/>
      <c r="MPL87" s="207"/>
      <c r="MPM87" s="208"/>
      <c r="MPN87" s="209"/>
      <c r="MPO87" s="207"/>
      <c r="MPP87" s="210"/>
      <c r="MPQ87" s="209"/>
      <c r="MPR87" s="204"/>
      <c r="MPS87" s="204"/>
      <c r="MPT87" s="204"/>
      <c r="MPU87" s="199"/>
      <c r="MPV87" s="167"/>
      <c r="MPW87" s="199"/>
      <c r="MPX87" s="200"/>
      <c r="MPY87" s="201"/>
      <c r="MPZ87" s="202"/>
      <c r="MQA87" s="202"/>
      <c r="MQB87" s="202"/>
      <c r="MQC87" s="202"/>
      <c r="MQD87" s="203"/>
      <c r="MQE87" s="204"/>
      <c r="MQF87" s="204"/>
      <c r="MQG87" s="204"/>
      <c r="MQH87" s="205"/>
      <c r="MQI87" s="206"/>
      <c r="MQJ87" s="207"/>
      <c r="MQK87" s="207"/>
      <c r="MQL87" s="208"/>
      <c r="MQM87" s="209"/>
      <c r="MQN87" s="207"/>
      <c r="MQO87" s="210"/>
      <c r="MQP87" s="209"/>
      <c r="MQQ87" s="204"/>
      <c r="MQR87" s="204"/>
      <c r="MQS87" s="204"/>
      <c r="MQT87" s="199"/>
      <c r="MQU87" s="167"/>
      <c r="MQV87" s="199"/>
      <c r="MQW87" s="200"/>
      <c r="MQX87" s="201"/>
      <c r="MQY87" s="202"/>
      <c r="MQZ87" s="202"/>
      <c r="MRA87" s="202"/>
      <c r="MRB87" s="202"/>
      <c r="MRC87" s="203"/>
      <c r="MRD87" s="204"/>
      <c r="MRE87" s="204"/>
      <c r="MRF87" s="204"/>
      <c r="MRG87" s="205"/>
      <c r="MRH87" s="206"/>
      <c r="MRI87" s="207"/>
      <c r="MRJ87" s="207"/>
      <c r="MRK87" s="208"/>
      <c r="MRL87" s="209"/>
      <c r="MRM87" s="207"/>
      <c r="MRN87" s="210"/>
      <c r="MRO87" s="209"/>
      <c r="MRP87" s="204"/>
      <c r="MRQ87" s="204"/>
      <c r="MRR87" s="204"/>
      <c r="MRS87" s="199"/>
      <c r="MRT87" s="167"/>
      <c r="MRU87" s="199"/>
      <c r="MRV87" s="200"/>
      <c r="MRW87" s="201"/>
      <c r="MRX87" s="202"/>
      <c r="MRY87" s="202"/>
      <c r="MRZ87" s="202"/>
      <c r="MSA87" s="202"/>
      <c r="MSB87" s="203"/>
      <c r="MSC87" s="204"/>
      <c r="MSD87" s="204"/>
      <c r="MSE87" s="204"/>
      <c r="MSF87" s="205"/>
      <c r="MSG87" s="206"/>
      <c r="MSH87" s="207"/>
      <c r="MSI87" s="207"/>
      <c r="MSJ87" s="208"/>
      <c r="MSK87" s="209"/>
      <c r="MSL87" s="207"/>
      <c r="MSM87" s="210"/>
      <c r="MSN87" s="209"/>
      <c r="MSO87" s="204"/>
      <c r="MSP87" s="204"/>
      <c r="MSQ87" s="204"/>
      <c r="MSR87" s="199"/>
      <c r="MSS87" s="167"/>
      <c r="MST87" s="199"/>
      <c r="MSU87" s="200"/>
      <c r="MSV87" s="201"/>
      <c r="MSW87" s="202"/>
      <c r="MSX87" s="202"/>
      <c r="MSY87" s="202"/>
      <c r="MSZ87" s="202"/>
      <c r="MTA87" s="203"/>
      <c r="MTB87" s="204"/>
      <c r="MTC87" s="204"/>
      <c r="MTD87" s="204"/>
      <c r="MTE87" s="205"/>
      <c r="MTF87" s="206"/>
      <c r="MTG87" s="207"/>
      <c r="MTH87" s="207"/>
      <c r="MTI87" s="208"/>
      <c r="MTJ87" s="209"/>
      <c r="MTK87" s="207"/>
      <c r="MTL87" s="210"/>
      <c r="MTM87" s="209"/>
      <c r="MTN87" s="204"/>
      <c r="MTO87" s="204"/>
      <c r="MTP87" s="204"/>
      <c r="MTQ87" s="199"/>
      <c r="MTR87" s="167"/>
      <c r="MTS87" s="199"/>
      <c r="MTT87" s="200"/>
      <c r="MTU87" s="201"/>
      <c r="MTV87" s="202"/>
      <c r="MTW87" s="202"/>
      <c r="MTX87" s="202"/>
      <c r="MTY87" s="202"/>
      <c r="MTZ87" s="203"/>
      <c r="MUA87" s="204"/>
      <c r="MUB87" s="204"/>
      <c r="MUC87" s="204"/>
      <c r="MUD87" s="205"/>
      <c r="MUE87" s="206"/>
      <c r="MUF87" s="207"/>
      <c r="MUG87" s="207"/>
      <c r="MUH87" s="208"/>
      <c r="MUI87" s="209"/>
      <c r="MUJ87" s="207"/>
      <c r="MUK87" s="210"/>
      <c r="MUL87" s="209"/>
      <c r="MUM87" s="204"/>
      <c r="MUN87" s="204"/>
      <c r="MUO87" s="204"/>
      <c r="MUP87" s="199"/>
      <c r="MUQ87" s="167"/>
      <c r="MUR87" s="199"/>
      <c r="MUS87" s="200"/>
      <c r="MUT87" s="201"/>
      <c r="MUU87" s="202"/>
      <c r="MUV87" s="202"/>
      <c r="MUW87" s="202"/>
      <c r="MUX87" s="202"/>
      <c r="MUY87" s="203"/>
      <c r="MUZ87" s="204"/>
      <c r="MVA87" s="204"/>
      <c r="MVB87" s="204"/>
      <c r="MVC87" s="205"/>
      <c r="MVD87" s="206"/>
      <c r="MVE87" s="207"/>
      <c r="MVF87" s="207"/>
      <c r="MVG87" s="208"/>
      <c r="MVH87" s="209"/>
      <c r="MVI87" s="207"/>
      <c r="MVJ87" s="210"/>
      <c r="MVK87" s="209"/>
      <c r="MVL87" s="204"/>
      <c r="MVM87" s="204"/>
      <c r="MVN87" s="204"/>
      <c r="MVO87" s="199"/>
      <c r="MVP87" s="167"/>
      <c r="MVQ87" s="199"/>
      <c r="MVR87" s="200"/>
      <c r="MVS87" s="201"/>
      <c r="MVT87" s="202"/>
      <c r="MVU87" s="202"/>
      <c r="MVV87" s="202"/>
      <c r="MVW87" s="202"/>
      <c r="MVX87" s="203"/>
      <c r="MVY87" s="204"/>
      <c r="MVZ87" s="204"/>
      <c r="MWA87" s="204"/>
      <c r="MWB87" s="205"/>
      <c r="MWC87" s="206"/>
      <c r="MWD87" s="207"/>
      <c r="MWE87" s="207"/>
      <c r="MWF87" s="208"/>
      <c r="MWG87" s="209"/>
      <c r="MWH87" s="207"/>
      <c r="MWI87" s="210"/>
      <c r="MWJ87" s="209"/>
      <c r="MWK87" s="204"/>
      <c r="MWL87" s="204"/>
      <c r="MWM87" s="204"/>
      <c r="MWN87" s="199"/>
      <c r="MWO87" s="167"/>
      <c r="MWP87" s="199"/>
      <c r="MWQ87" s="200"/>
      <c r="MWR87" s="201"/>
      <c r="MWS87" s="202"/>
      <c r="MWT87" s="202"/>
      <c r="MWU87" s="202"/>
      <c r="MWV87" s="202"/>
      <c r="MWW87" s="203"/>
      <c r="MWX87" s="204"/>
      <c r="MWY87" s="204"/>
      <c r="MWZ87" s="204"/>
      <c r="MXA87" s="205"/>
      <c r="MXB87" s="206"/>
      <c r="MXC87" s="207"/>
      <c r="MXD87" s="207"/>
      <c r="MXE87" s="208"/>
      <c r="MXF87" s="209"/>
      <c r="MXG87" s="207"/>
      <c r="MXH87" s="210"/>
      <c r="MXI87" s="209"/>
      <c r="MXJ87" s="204"/>
      <c r="MXK87" s="204"/>
      <c r="MXL87" s="204"/>
      <c r="MXM87" s="199"/>
      <c r="MXN87" s="167"/>
      <c r="MXO87" s="199"/>
      <c r="MXP87" s="200"/>
      <c r="MXQ87" s="201"/>
      <c r="MXR87" s="202"/>
      <c r="MXS87" s="202"/>
      <c r="MXT87" s="202"/>
      <c r="MXU87" s="202"/>
      <c r="MXV87" s="203"/>
      <c r="MXW87" s="204"/>
      <c r="MXX87" s="204"/>
      <c r="MXY87" s="204"/>
      <c r="MXZ87" s="205"/>
      <c r="MYA87" s="206"/>
      <c r="MYB87" s="207"/>
      <c r="MYC87" s="207"/>
      <c r="MYD87" s="208"/>
      <c r="MYE87" s="209"/>
      <c r="MYF87" s="207"/>
      <c r="MYG87" s="210"/>
      <c r="MYH87" s="209"/>
      <c r="MYI87" s="204"/>
      <c r="MYJ87" s="204"/>
      <c r="MYK87" s="204"/>
      <c r="MYL87" s="199"/>
      <c r="MYM87" s="167"/>
      <c r="MYN87" s="199"/>
      <c r="MYO87" s="200"/>
      <c r="MYP87" s="201"/>
      <c r="MYQ87" s="202"/>
      <c r="MYR87" s="202"/>
      <c r="MYS87" s="202"/>
      <c r="MYT87" s="202"/>
      <c r="MYU87" s="203"/>
      <c r="MYV87" s="204"/>
      <c r="MYW87" s="204"/>
      <c r="MYX87" s="204"/>
      <c r="MYY87" s="205"/>
      <c r="MYZ87" s="206"/>
      <c r="MZA87" s="207"/>
      <c r="MZB87" s="207"/>
      <c r="MZC87" s="208"/>
      <c r="MZD87" s="209"/>
      <c r="MZE87" s="207"/>
      <c r="MZF87" s="210"/>
      <c r="MZG87" s="209"/>
      <c r="MZH87" s="204"/>
      <c r="MZI87" s="204"/>
      <c r="MZJ87" s="204"/>
      <c r="MZK87" s="199"/>
      <c r="MZL87" s="167"/>
      <c r="MZM87" s="199"/>
      <c r="MZN87" s="200"/>
      <c r="MZO87" s="201"/>
      <c r="MZP87" s="202"/>
      <c r="MZQ87" s="202"/>
      <c r="MZR87" s="202"/>
      <c r="MZS87" s="202"/>
      <c r="MZT87" s="203"/>
      <c r="MZU87" s="204"/>
      <c r="MZV87" s="204"/>
      <c r="MZW87" s="204"/>
      <c r="MZX87" s="205"/>
      <c r="MZY87" s="206"/>
      <c r="MZZ87" s="207"/>
      <c r="NAA87" s="207"/>
      <c r="NAB87" s="208"/>
      <c r="NAC87" s="209"/>
      <c r="NAD87" s="207"/>
      <c r="NAE87" s="210"/>
      <c r="NAF87" s="209"/>
      <c r="NAG87" s="204"/>
      <c r="NAH87" s="204"/>
      <c r="NAI87" s="204"/>
      <c r="NAJ87" s="199"/>
      <c r="NAK87" s="167"/>
      <c r="NAL87" s="199"/>
      <c r="NAM87" s="200"/>
      <c r="NAN87" s="201"/>
      <c r="NAO87" s="202"/>
      <c r="NAP87" s="202"/>
      <c r="NAQ87" s="202"/>
      <c r="NAR87" s="202"/>
      <c r="NAS87" s="203"/>
      <c r="NAT87" s="204"/>
      <c r="NAU87" s="204"/>
      <c r="NAV87" s="204"/>
      <c r="NAW87" s="205"/>
      <c r="NAX87" s="206"/>
      <c r="NAY87" s="207"/>
      <c r="NAZ87" s="207"/>
      <c r="NBA87" s="208"/>
      <c r="NBB87" s="209"/>
      <c r="NBC87" s="207"/>
      <c r="NBD87" s="210"/>
      <c r="NBE87" s="209"/>
      <c r="NBF87" s="204"/>
      <c r="NBG87" s="204"/>
      <c r="NBH87" s="204"/>
      <c r="NBI87" s="199"/>
      <c r="NBJ87" s="167"/>
      <c r="NBK87" s="199"/>
      <c r="NBL87" s="200"/>
      <c r="NBM87" s="201"/>
      <c r="NBN87" s="202"/>
      <c r="NBO87" s="202"/>
      <c r="NBP87" s="202"/>
      <c r="NBQ87" s="202"/>
      <c r="NBR87" s="203"/>
      <c r="NBS87" s="204"/>
      <c r="NBT87" s="204"/>
      <c r="NBU87" s="204"/>
      <c r="NBV87" s="205"/>
      <c r="NBW87" s="206"/>
      <c r="NBX87" s="207"/>
      <c r="NBY87" s="207"/>
      <c r="NBZ87" s="208"/>
      <c r="NCA87" s="209"/>
      <c r="NCB87" s="207"/>
      <c r="NCC87" s="210"/>
      <c r="NCD87" s="209"/>
      <c r="NCE87" s="204"/>
      <c r="NCF87" s="204"/>
      <c r="NCG87" s="204"/>
      <c r="NCH87" s="199"/>
      <c r="NCI87" s="167"/>
      <c r="NCJ87" s="199"/>
      <c r="NCK87" s="200"/>
      <c r="NCL87" s="201"/>
      <c r="NCM87" s="202"/>
      <c r="NCN87" s="202"/>
      <c r="NCO87" s="202"/>
      <c r="NCP87" s="202"/>
      <c r="NCQ87" s="203"/>
      <c r="NCR87" s="204"/>
      <c r="NCS87" s="204"/>
      <c r="NCT87" s="204"/>
      <c r="NCU87" s="205"/>
      <c r="NCV87" s="206"/>
      <c r="NCW87" s="207"/>
      <c r="NCX87" s="207"/>
      <c r="NCY87" s="208"/>
      <c r="NCZ87" s="209"/>
      <c r="NDA87" s="207"/>
      <c r="NDB87" s="210"/>
      <c r="NDC87" s="209"/>
      <c r="NDD87" s="204"/>
      <c r="NDE87" s="204"/>
      <c r="NDF87" s="204"/>
      <c r="NDG87" s="199"/>
      <c r="NDH87" s="167"/>
      <c r="NDI87" s="199"/>
      <c r="NDJ87" s="200"/>
      <c r="NDK87" s="201"/>
      <c r="NDL87" s="202"/>
      <c r="NDM87" s="202"/>
      <c r="NDN87" s="202"/>
      <c r="NDO87" s="202"/>
      <c r="NDP87" s="203"/>
      <c r="NDQ87" s="204"/>
      <c r="NDR87" s="204"/>
      <c r="NDS87" s="204"/>
      <c r="NDT87" s="205"/>
      <c r="NDU87" s="206"/>
      <c r="NDV87" s="207"/>
      <c r="NDW87" s="207"/>
      <c r="NDX87" s="208"/>
      <c r="NDY87" s="209"/>
      <c r="NDZ87" s="207"/>
      <c r="NEA87" s="210"/>
      <c r="NEB87" s="209"/>
      <c r="NEC87" s="204"/>
      <c r="NED87" s="204"/>
      <c r="NEE87" s="204"/>
      <c r="NEF87" s="199"/>
      <c r="NEG87" s="167"/>
      <c r="NEH87" s="199"/>
      <c r="NEI87" s="200"/>
      <c r="NEJ87" s="201"/>
      <c r="NEK87" s="202"/>
      <c r="NEL87" s="202"/>
      <c r="NEM87" s="202"/>
      <c r="NEN87" s="202"/>
      <c r="NEO87" s="203"/>
      <c r="NEP87" s="204"/>
      <c r="NEQ87" s="204"/>
      <c r="NER87" s="204"/>
      <c r="NES87" s="205"/>
      <c r="NET87" s="206"/>
      <c r="NEU87" s="207"/>
      <c r="NEV87" s="207"/>
      <c r="NEW87" s="208"/>
      <c r="NEX87" s="209"/>
      <c r="NEY87" s="207"/>
      <c r="NEZ87" s="210"/>
      <c r="NFA87" s="209"/>
      <c r="NFB87" s="204"/>
      <c r="NFC87" s="204"/>
      <c r="NFD87" s="204"/>
      <c r="NFE87" s="199"/>
      <c r="NFF87" s="167"/>
      <c r="NFG87" s="199"/>
      <c r="NFH87" s="200"/>
      <c r="NFI87" s="201"/>
      <c r="NFJ87" s="202"/>
      <c r="NFK87" s="202"/>
      <c r="NFL87" s="202"/>
      <c r="NFM87" s="202"/>
      <c r="NFN87" s="203"/>
      <c r="NFO87" s="204"/>
      <c r="NFP87" s="204"/>
      <c r="NFQ87" s="204"/>
      <c r="NFR87" s="205"/>
      <c r="NFS87" s="206"/>
      <c r="NFT87" s="207"/>
      <c r="NFU87" s="207"/>
      <c r="NFV87" s="208"/>
      <c r="NFW87" s="209"/>
      <c r="NFX87" s="207"/>
      <c r="NFY87" s="210"/>
      <c r="NFZ87" s="209"/>
      <c r="NGA87" s="204"/>
      <c r="NGB87" s="204"/>
      <c r="NGC87" s="204"/>
      <c r="NGD87" s="199"/>
      <c r="NGE87" s="167"/>
      <c r="NGF87" s="199"/>
      <c r="NGG87" s="200"/>
      <c r="NGH87" s="201"/>
      <c r="NGI87" s="202"/>
      <c r="NGJ87" s="202"/>
      <c r="NGK87" s="202"/>
      <c r="NGL87" s="202"/>
      <c r="NGM87" s="203"/>
      <c r="NGN87" s="204"/>
      <c r="NGO87" s="204"/>
      <c r="NGP87" s="204"/>
      <c r="NGQ87" s="205"/>
      <c r="NGR87" s="206"/>
      <c r="NGS87" s="207"/>
      <c r="NGT87" s="207"/>
      <c r="NGU87" s="208"/>
      <c r="NGV87" s="209"/>
      <c r="NGW87" s="207"/>
      <c r="NGX87" s="210"/>
      <c r="NGY87" s="209"/>
      <c r="NGZ87" s="204"/>
      <c r="NHA87" s="204"/>
      <c r="NHB87" s="204"/>
      <c r="NHC87" s="199"/>
      <c r="NHD87" s="167"/>
      <c r="NHE87" s="199"/>
      <c r="NHF87" s="200"/>
      <c r="NHG87" s="201"/>
      <c r="NHH87" s="202"/>
      <c r="NHI87" s="202"/>
      <c r="NHJ87" s="202"/>
      <c r="NHK87" s="202"/>
      <c r="NHL87" s="203"/>
      <c r="NHM87" s="204"/>
      <c r="NHN87" s="204"/>
      <c r="NHO87" s="204"/>
      <c r="NHP87" s="205"/>
      <c r="NHQ87" s="206"/>
      <c r="NHR87" s="207"/>
      <c r="NHS87" s="207"/>
      <c r="NHT87" s="208"/>
      <c r="NHU87" s="209"/>
      <c r="NHV87" s="207"/>
      <c r="NHW87" s="210"/>
      <c r="NHX87" s="209"/>
      <c r="NHY87" s="204"/>
      <c r="NHZ87" s="204"/>
      <c r="NIA87" s="204"/>
      <c r="NIB87" s="199"/>
      <c r="NIC87" s="167"/>
      <c r="NID87" s="199"/>
      <c r="NIE87" s="200"/>
      <c r="NIF87" s="201"/>
      <c r="NIG87" s="202"/>
      <c r="NIH87" s="202"/>
      <c r="NII87" s="202"/>
      <c r="NIJ87" s="202"/>
      <c r="NIK87" s="203"/>
      <c r="NIL87" s="204"/>
      <c r="NIM87" s="204"/>
      <c r="NIN87" s="204"/>
      <c r="NIO87" s="205"/>
      <c r="NIP87" s="206"/>
      <c r="NIQ87" s="207"/>
      <c r="NIR87" s="207"/>
      <c r="NIS87" s="208"/>
      <c r="NIT87" s="209"/>
      <c r="NIU87" s="207"/>
      <c r="NIV87" s="210"/>
      <c r="NIW87" s="209"/>
      <c r="NIX87" s="204"/>
      <c r="NIY87" s="204"/>
      <c r="NIZ87" s="204"/>
      <c r="NJA87" s="199"/>
      <c r="NJB87" s="167"/>
      <c r="NJC87" s="199"/>
      <c r="NJD87" s="200"/>
      <c r="NJE87" s="201"/>
      <c r="NJF87" s="202"/>
      <c r="NJG87" s="202"/>
      <c r="NJH87" s="202"/>
      <c r="NJI87" s="202"/>
      <c r="NJJ87" s="203"/>
      <c r="NJK87" s="204"/>
      <c r="NJL87" s="204"/>
      <c r="NJM87" s="204"/>
      <c r="NJN87" s="205"/>
      <c r="NJO87" s="206"/>
      <c r="NJP87" s="207"/>
      <c r="NJQ87" s="207"/>
      <c r="NJR87" s="208"/>
      <c r="NJS87" s="209"/>
      <c r="NJT87" s="207"/>
      <c r="NJU87" s="210"/>
      <c r="NJV87" s="209"/>
      <c r="NJW87" s="204"/>
      <c r="NJX87" s="204"/>
      <c r="NJY87" s="204"/>
      <c r="NJZ87" s="199"/>
      <c r="NKA87" s="167"/>
      <c r="NKB87" s="199"/>
      <c r="NKC87" s="200"/>
      <c r="NKD87" s="201"/>
      <c r="NKE87" s="202"/>
      <c r="NKF87" s="202"/>
      <c r="NKG87" s="202"/>
      <c r="NKH87" s="202"/>
      <c r="NKI87" s="203"/>
      <c r="NKJ87" s="204"/>
      <c r="NKK87" s="204"/>
      <c r="NKL87" s="204"/>
      <c r="NKM87" s="205"/>
      <c r="NKN87" s="206"/>
      <c r="NKO87" s="207"/>
      <c r="NKP87" s="207"/>
      <c r="NKQ87" s="208"/>
      <c r="NKR87" s="209"/>
      <c r="NKS87" s="207"/>
      <c r="NKT87" s="210"/>
      <c r="NKU87" s="209"/>
      <c r="NKV87" s="204"/>
      <c r="NKW87" s="204"/>
      <c r="NKX87" s="204"/>
      <c r="NKY87" s="199"/>
      <c r="NKZ87" s="167"/>
      <c r="NLA87" s="199"/>
      <c r="NLB87" s="200"/>
      <c r="NLC87" s="201"/>
      <c r="NLD87" s="202"/>
      <c r="NLE87" s="202"/>
      <c r="NLF87" s="202"/>
      <c r="NLG87" s="202"/>
      <c r="NLH87" s="203"/>
      <c r="NLI87" s="204"/>
      <c r="NLJ87" s="204"/>
      <c r="NLK87" s="204"/>
      <c r="NLL87" s="205"/>
      <c r="NLM87" s="206"/>
      <c r="NLN87" s="207"/>
      <c r="NLO87" s="207"/>
      <c r="NLP87" s="208"/>
      <c r="NLQ87" s="209"/>
      <c r="NLR87" s="207"/>
      <c r="NLS87" s="210"/>
      <c r="NLT87" s="209"/>
      <c r="NLU87" s="204"/>
      <c r="NLV87" s="204"/>
      <c r="NLW87" s="204"/>
      <c r="NLX87" s="199"/>
      <c r="NLY87" s="167"/>
      <c r="NLZ87" s="199"/>
      <c r="NMA87" s="200"/>
      <c r="NMB87" s="201"/>
      <c r="NMC87" s="202"/>
      <c r="NMD87" s="202"/>
      <c r="NME87" s="202"/>
      <c r="NMF87" s="202"/>
      <c r="NMG87" s="203"/>
      <c r="NMH87" s="204"/>
      <c r="NMI87" s="204"/>
      <c r="NMJ87" s="204"/>
      <c r="NMK87" s="205"/>
      <c r="NML87" s="206"/>
      <c r="NMM87" s="207"/>
      <c r="NMN87" s="207"/>
      <c r="NMO87" s="208"/>
      <c r="NMP87" s="209"/>
      <c r="NMQ87" s="207"/>
      <c r="NMR87" s="210"/>
      <c r="NMS87" s="209"/>
      <c r="NMT87" s="204"/>
      <c r="NMU87" s="204"/>
      <c r="NMV87" s="204"/>
      <c r="NMW87" s="199"/>
      <c r="NMX87" s="167"/>
      <c r="NMY87" s="199"/>
      <c r="NMZ87" s="200"/>
      <c r="NNA87" s="201"/>
      <c r="NNB87" s="202"/>
      <c r="NNC87" s="202"/>
      <c r="NND87" s="202"/>
      <c r="NNE87" s="202"/>
      <c r="NNF87" s="203"/>
      <c r="NNG87" s="204"/>
      <c r="NNH87" s="204"/>
      <c r="NNI87" s="204"/>
      <c r="NNJ87" s="205"/>
      <c r="NNK87" s="206"/>
      <c r="NNL87" s="207"/>
      <c r="NNM87" s="207"/>
      <c r="NNN87" s="208"/>
      <c r="NNO87" s="209"/>
      <c r="NNP87" s="207"/>
      <c r="NNQ87" s="210"/>
      <c r="NNR87" s="209"/>
      <c r="NNS87" s="204"/>
      <c r="NNT87" s="204"/>
      <c r="NNU87" s="204"/>
      <c r="NNV87" s="199"/>
      <c r="NNW87" s="167"/>
      <c r="NNX87" s="199"/>
      <c r="NNY87" s="200"/>
      <c r="NNZ87" s="201"/>
      <c r="NOA87" s="202"/>
      <c r="NOB87" s="202"/>
      <c r="NOC87" s="202"/>
      <c r="NOD87" s="202"/>
      <c r="NOE87" s="203"/>
      <c r="NOF87" s="204"/>
      <c r="NOG87" s="204"/>
      <c r="NOH87" s="204"/>
      <c r="NOI87" s="205"/>
      <c r="NOJ87" s="206"/>
      <c r="NOK87" s="207"/>
      <c r="NOL87" s="207"/>
      <c r="NOM87" s="208"/>
      <c r="NON87" s="209"/>
      <c r="NOO87" s="207"/>
      <c r="NOP87" s="210"/>
      <c r="NOQ87" s="209"/>
      <c r="NOR87" s="204"/>
      <c r="NOS87" s="204"/>
      <c r="NOT87" s="204"/>
      <c r="NOU87" s="199"/>
      <c r="NOV87" s="167"/>
      <c r="NOW87" s="199"/>
      <c r="NOX87" s="200"/>
      <c r="NOY87" s="201"/>
      <c r="NOZ87" s="202"/>
      <c r="NPA87" s="202"/>
      <c r="NPB87" s="202"/>
      <c r="NPC87" s="202"/>
      <c r="NPD87" s="203"/>
      <c r="NPE87" s="204"/>
      <c r="NPF87" s="204"/>
      <c r="NPG87" s="204"/>
      <c r="NPH87" s="205"/>
      <c r="NPI87" s="206"/>
      <c r="NPJ87" s="207"/>
      <c r="NPK87" s="207"/>
      <c r="NPL87" s="208"/>
      <c r="NPM87" s="209"/>
      <c r="NPN87" s="207"/>
      <c r="NPO87" s="210"/>
      <c r="NPP87" s="209"/>
      <c r="NPQ87" s="204"/>
      <c r="NPR87" s="204"/>
      <c r="NPS87" s="204"/>
      <c r="NPT87" s="199"/>
      <c r="NPU87" s="167"/>
      <c r="NPV87" s="199"/>
      <c r="NPW87" s="200"/>
      <c r="NPX87" s="201"/>
      <c r="NPY87" s="202"/>
      <c r="NPZ87" s="202"/>
      <c r="NQA87" s="202"/>
      <c r="NQB87" s="202"/>
      <c r="NQC87" s="203"/>
      <c r="NQD87" s="204"/>
      <c r="NQE87" s="204"/>
      <c r="NQF87" s="204"/>
      <c r="NQG87" s="205"/>
      <c r="NQH87" s="206"/>
      <c r="NQI87" s="207"/>
      <c r="NQJ87" s="207"/>
      <c r="NQK87" s="208"/>
      <c r="NQL87" s="209"/>
      <c r="NQM87" s="207"/>
      <c r="NQN87" s="210"/>
      <c r="NQO87" s="209"/>
      <c r="NQP87" s="204"/>
      <c r="NQQ87" s="204"/>
      <c r="NQR87" s="204"/>
      <c r="NQS87" s="199"/>
      <c r="NQT87" s="167"/>
      <c r="NQU87" s="199"/>
      <c r="NQV87" s="200"/>
      <c r="NQW87" s="201"/>
      <c r="NQX87" s="202"/>
      <c r="NQY87" s="202"/>
      <c r="NQZ87" s="202"/>
      <c r="NRA87" s="202"/>
      <c r="NRB87" s="203"/>
      <c r="NRC87" s="204"/>
      <c r="NRD87" s="204"/>
      <c r="NRE87" s="204"/>
      <c r="NRF87" s="205"/>
      <c r="NRG87" s="206"/>
      <c r="NRH87" s="207"/>
      <c r="NRI87" s="207"/>
      <c r="NRJ87" s="208"/>
      <c r="NRK87" s="209"/>
      <c r="NRL87" s="207"/>
      <c r="NRM87" s="210"/>
      <c r="NRN87" s="209"/>
      <c r="NRO87" s="204"/>
      <c r="NRP87" s="204"/>
      <c r="NRQ87" s="204"/>
      <c r="NRR87" s="199"/>
      <c r="NRS87" s="167"/>
      <c r="NRT87" s="199"/>
      <c r="NRU87" s="200"/>
      <c r="NRV87" s="201"/>
      <c r="NRW87" s="202"/>
      <c r="NRX87" s="202"/>
      <c r="NRY87" s="202"/>
      <c r="NRZ87" s="202"/>
      <c r="NSA87" s="203"/>
      <c r="NSB87" s="204"/>
      <c r="NSC87" s="204"/>
      <c r="NSD87" s="204"/>
      <c r="NSE87" s="205"/>
      <c r="NSF87" s="206"/>
      <c r="NSG87" s="207"/>
      <c r="NSH87" s="207"/>
      <c r="NSI87" s="208"/>
      <c r="NSJ87" s="209"/>
      <c r="NSK87" s="207"/>
      <c r="NSL87" s="210"/>
      <c r="NSM87" s="209"/>
      <c r="NSN87" s="204"/>
      <c r="NSO87" s="204"/>
      <c r="NSP87" s="204"/>
      <c r="NSQ87" s="199"/>
      <c r="NSR87" s="167"/>
      <c r="NSS87" s="199"/>
      <c r="NST87" s="200"/>
      <c r="NSU87" s="201"/>
      <c r="NSV87" s="202"/>
      <c r="NSW87" s="202"/>
      <c r="NSX87" s="202"/>
      <c r="NSY87" s="202"/>
      <c r="NSZ87" s="203"/>
      <c r="NTA87" s="204"/>
      <c r="NTB87" s="204"/>
      <c r="NTC87" s="204"/>
      <c r="NTD87" s="205"/>
      <c r="NTE87" s="206"/>
      <c r="NTF87" s="207"/>
      <c r="NTG87" s="207"/>
      <c r="NTH87" s="208"/>
      <c r="NTI87" s="209"/>
      <c r="NTJ87" s="207"/>
      <c r="NTK87" s="210"/>
      <c r="NTL87" s="209"/>
      <c r="NTM87" s="204"/>
      <c r="NTN87" s="204"/>
      <c r="NTO87" s="204"/>
      <c r="NTP87" s="199"/>
      <c r="NTQ87" s="167"/>
      <c r="NTR87" s="199"/>
      <c r="NTS87" s="200"/>
      <c r="NTT87" s="201"/>
      <c r="NTU87" s="202"/>
      <c r="NTV87" s="202"/>
      <c r="NTW87" s="202"/>
      <c r="NTX87" s="202"/>
      <c r="NTY87" s="203"/>
      <c r="NTZ87" s="204"/>
      <c r="NUA87" s="204"/>
      <c r="NUB87" s="204"/>
      <c r="NUC87" s="205"/>
      <c r="NUD87" s="206"/>
      <c r="NUE87" s="207"/>
      <c r="NUF87" s="207"/>
      <c r="NUG87" s="208"/>
      <c r="NUH87" s="209"/>
      <c r="NUI87" s="207"/>
      <c r="NUJ87" s="210"/>
      <c r="NUK87" s="209"/>
      <c r="NUL87" s="204"/>
      <c r="NUM87" s="204"/>
      <c r="NUN87" s="204"/>
      <c r="NUO87" s="199"/>
      <c r="NUP87" s="167"/>
      <c r="NUQ87" s="199"/>
      <c r="NUR87" s="200"/>
      <c r="NUS87" s="201"/>
      <c r="NUT87" s="202"/>
      <c r="NUU87" s="202"/>
      <c r="NUV87" s="202"/>
      <c r="NUW87" s="202"/>
      <c r="NUX87" s="203"/>
      <c r="NUY87" s="204"/>
      <c r="NUZ87" s="204"/>
      <c r="NVA87" s="204"/>
      <c r="NVB87" s="205"/>
      <c r="NVC87" s="206"/>
      <c r="NVD87" s="207"/>
      <c r="NVE87" s="207"/>
      <c r="NVF87" s="208"/>
      <c r="NVG87" s="209"/>
      <c r="NVH87" s="207"/>
      <c r="NVI87" s="210"/>
      <c r="NVJ87" s="209"/>
      <c r="NVK87" s="204"/>
      <c r="NVL87" s="204"/>
      <c r="NVM87" s="204"/>
      <c r="NVN87" s="199"/>
      <c r="NVO87" s="167"/>
      <c r="NVP87" s="199"/>
      <c r="NVQ87" s="200"/>
      <c r="NVR87" s="201"/>
      <c r="NVS87" s="202"/>
      <c r="NVT87" s="202"/>
      <c r="NVU87" s="202"/>
      <c r="NVV87" s="202"/>
      <c r="NVW87" s="203"/>
      <c r="NVX87" s="204"/>
      <c r="NVY87" s="204"/>
      <c r="NVZ87" s="204"/>
      <c r="NWA87" s="205"/>
      <c r="NWB87" s="206"/>
      <c r="NWC87" s="207"/>
      <c r="NWD87" s="207"/>
      <c r="NWE87" s="208"/>
      <c r="NWF87" s="209"/>
      <c r="NWG87" s="207"/>
      <c r="NWH87" s="210"/>
      <c r="NWI87" s="209"/>
      <c r="NWJ87" s="204"/>
      <c r="NWK87" s="204"/>
      <c r="NWL87" s="204"/>
      <c r="NWM87" s="199"/>
      <c r="NWN87" s="167"/>
      <c r="NWO87" s="199"/>
      <c r="NWP87" s="200"/>
      <c r="NWQ87" s="201"/>
      <c r="NWR87" s="202"/>
      <c r="NWS87" s="202"/>
      <c r="NWT87" s="202"/>
      <c r="NWU87" s="202"/>
      <c r="NWV87" s="203"/>
      <c r="NWW87" s="204"/>
      <c r="NWX87" s="204"/>
      <c r="NWY87" s="204"/>
      <c r="NWZ87" s="205"/>
      <c r="NXA87" s="206"/>
      <c r="NXB87" s="207"/>
      <c r="NXC87" s="207"/>
      <c r="NXD87" s="208"/>
      <c r="NXE87" s="209"/>
      <c r="NXF87" s="207"/>
      <c r="NXG87" s="210"/>
      <c r="NXH87" s="209"/>
      <c r="NXI87" s="204"/>
      <c r="NXJ87" s="204"/>
      <c r="NXK87" s="204"/>
      <c r="NXL87" s="199"/>
      <c r="NXM87" s="167"/>
      <c r="NXN87" s="199"/>
      <c r="NXO87" s="200"/>
      <c r="NXP87" s="201"/>
      <c r="NXQ87" s="202"/>
      <c r="NXR87" s="202"/>
      <c r="NXS87" s="202"/>
      <c r="NXT87" s="202"/>
      <c r="NXU87" s="203"/>
      <c r="NXV87" s="204"/>
      <c r="NXW87" s="204"/>
      <c r="NXX87" s="204"/>
      <c r="NXY87" s="205"/>
      <c r="NXZ87" s="206"/>
      <c r="NYA87" s="207"/>
      <c r="NYB87" s="207"/>
      <c r="NYC87" s="208"/>
      <c r="NYD87" s="209"/>
      <c r="NYE87" s="207"/>
      <c r="NYF87" s="210"/>
      <c r="NYG87" s="209"/>
      <c r="NYH87" s="204"/>
      <c r="NYI87" s="204"/>
      <c r="NYJ87" s="204"/>
      <c r="NYK87" s="199"/>
      <c r="NYL87" s="167"/>
      <c r="NYM87" s="199"/>
      <c r="NYN87" s="200"/>
      <c r="NYO87" s="201"/>
      <c r="NYP87" s="202"/>
      <c r="NYQ87" s="202"/>
      <c r="NYR87" s="202"/>
      <c r="NYS87" s="202"/>
      <c r="NYT87" s="203"/>
      <c r="NYU87" s="204"/>
      <c r="NYV87" s="204"/>
      <c r="NYW87" s="204"/>
      <c r="NYX87" s="205"/>
      <c r="NYY87" s="206"/>
      <c r="NYZ87" s="207"/>
      <c r="NZA87" s="207"/>
      <c r="NZB87" s="208"/>
      <c r="NZC87" s="209"/>
      <c r="NZD87" s="207"/>
      <c r="NZE87" s="210"/>
      <c r="NZF87" s="209"/>
      <c r="NZG87" s="204"/>
      <c r="NZH87" s="204"/>
      <c r="NZI87" s="204"/>
      <c r="NZJ87" s="199"/>
      <c r="NZK87" s="167"/>
      <c r="NZL87" s="199"/>
      <c r="NZM87" s="200"/>
      <c r="NZN87" s="201"/>
      <c r="NZO87" s="202"/>
      <c r="NZP87" s="202"/>
      <c r="NZQ87" s="202"/>
      <c r="NZR87" s="202"/>
      <c r="NZS87" s="203"/>
      <c r="NZT87" s="204"/>
      <c r="NZU87" s="204"/>
      <c r="NZV87" s="204"/>
      <c r="NZW87" s="205"/>
      <c r="NZX87" s="206"/>
      <c r="NZY87" s="207"/>
      <c r="NZZ87" s="207"/>
      <c r="OAA87" s="208"/>
      <c r="OAB87" s="209"/>
      <c r="OAC87" s="207"/>
      <c r="OAD87" s="210"/>
      <c r="OAE87" s="209"/>
      <c r="OAF87" s="204"/>
      <c r="OAG87" s="204"/>
      <c r="OAH87" s="204"/>
      <c r="OAI87" s="199"/>
      <c r="OAJ87" s="167"/>
      <c r="OAK87" s="199"/>
      <c r="OAL87" s="200"/>
      <c r="OAM87" s="201"/>
      <c r="OAN87" s="202"/>
      <c r="OAO87" s="202"/>
      <c r="OAP87" s="202"/>
      <c r="OAQ87" s="202"/>
      <c r="OAR87" s="203"/>
      <c r="OAS87" s="204"/>
      <c r="OAT87" s="204"/>
      <c r="OAU87" s="204"/>
      <c r="OAV87" s="205"/>
      <c r="OAW87" s="206"/>
      <c r="OAX87" s="207"/>
      <c r="OAY87" s="207"/>
      <c r="OAZ87" s="208"/>
      <c r="OBA87" s="209"/>
      <c r="OBB87" s="207"/>
      <c r="OBC87" s="210"/>
      <c r="OBD87" s="209"/>
      <c r="OBE87" s="204"/>
      <c r="OBF87" s="204"/>
      <c r="OBG87" s="204"/>
      <c r="OBH87" s="199"/>
      <c r="OBI87" s="167"/>
      <c r="OBJ87" s="199"/>
      <c r="OBK87" s="200"/>
      <c r="OBL87" s="201"/>
      <c r="OBM87" s="202"/>
      <c r="OBN87" s="202"/>
      <c r="OBO87" s="202"/>
      <c r="OBP87" s="202"/>
      <c r="OBQ87" s="203"/>
      <c r="OBR87" s="204"/>
      <c r="OBS87" s="204"/>
      <c r="OBT87" s="204"/>
      <c r="OBU87" s="205"/>
      <c r="OBV87" s="206"/>
      <c r="OBW87" s="207"/>
      <c r="OBX87" s="207"/>
      <c r="OBY87" s="208"/>
      <c r="OBZ87" s="209"/>
      <c r="OCA87" s="207"/>
      <c r="OCB87" s="210"/>
      <c r="OCC87" s="209"/>
      <c r="OCD87" s="204"/>
      <c r="OCE87" s="204"/>
      <c r="OCF87" s="204"/>
      <c r="OCG87" s="199"/>
      <c r="OCH87" s="167"/>
      <c r="OCI87" s="199"/>
      <c r="OCJ87" s="200"/>
      <c r="OCK87" s="201"/>
      <c r="OCL87" s="202"/>
      <c r="OCM87" s="202"/>
      <c r="OCN87" s="202"/>
      <c r="OCO87" s="202"/>
      <c r="OCP87" s="203"/>
      <c r="OCQ87" s="204"/>
      <c r="OCR87" s="204"/>
      <c r="OCS87" s="204"/>
      <c r="OCT87" s="205"/>
      <c r="OCU87" s="206"/>
      <c r="OCV87" s="207"/>
      <c r="OCW87" s="207"/>
      <c r="OCX87" s="208"/>
      <c r="OCY87" s="209"/>
      <c r="OCZ87" s="207"/>
      <c r="ODA87" s="210"/>
      <c r="ODB87" s="209"/>
      <c r="ODC87" s="204"/>
      <c r="ODD87" s="204"/>
      <c r="ODE87" s="204"/>
      <c r="ODF87" s="199"/>
      <c r="ODG87" s="167"/>
      <c r="ODH87" s="199"/>
      <c r="ODI87" s="200"/>
      <c r="ODJ87" s="201"/>
      <c r="ODK87" s="202"/>
      <c r="ODL87" s="202"/>
      <c r="ODM87" s="202"/>
      <c r="ODN87" s="202"/>
      <c r="ODO87" s="203"/>
      <c r="ODP87" s="204"/>
      <c r="ODQ87" s="204"/>
      <c r="ODR87" s="204"/>
      <c r="ODS87" s="205"/>
      <c r="ODT87" s="206"/>
      <c r="ODU87" s="207"/>
      <c r="ODV87" s="207"/>
      <c r="ODW87" s="208"/>
      <c r="ODX87" s="209"/>
      <c r="ODY87" s="207"/>
      <c r="ODZ87" s="210"/>
      <c r="OEA87" s="209"/>
      <c r="OEB87" s="204"/>
      <c r="OEC87" s="204"/>
      <c r="OED87" s="204"/>
      <c r="OEE87" s="199"/>
      <c r="OEF87" s="167"/>
      <c r="OEG87" s="199"/>
      <c r="OEH87" s="200"/>
      <c r="OEI87" s="201"/>
      <c r="OEJ87" s="202"/>
      <c r="OEK87" s="202"/>
      <c r="OEL87" s="202"/>
      <c r="OEM87" s="202"/>
      <c r="OEN87" s="203"/>
      <c r="OEO87" s="204"/>
      <c r="OEP87" s="204"/>
      <c r="OEQ87" s="204"/>
      <c r="OER87" s="205"/>
      <c r="OES87" s="206"/>
      <c r="OET87" s="207"/>
      <c r="OEU87" s="207"/>
      <c r="OEV87" s="208"/>
      <c r="OEW87" s="209"/>
      <c r="OEX87" s="207"/>
      <c r="OEY87" s="210"/>
      <c r="OEZ87" s="209"/>
      <c r="OFA87" s="204"/>
      <c r="OFB87" s="204"/>
      <c r="OFC87" s="204"/>
      <c r="OFD87" s="199"/>
      <c r="OFE87" s="167"/>
      <c r="OFF87" s="199"/>
      <c r="OFG87" s="200"/>
      <c r="OFH87" s="201"/>
      <c r="OFI87" s="202"/>
      <c r="OFJ87" s="202"/>
      <c r="OFK87" s="202"/>
      <c r="OFL87" s="202"/>
      <c r="OFM87" s="203"/>
      <c r="OFN87" s="204"/>
      <c r="OFO87" s="204"/>
      <c r="OFP87" s="204"/>
      <c r="OFQ87" s="205"/>
      <c r="OFR87" s="206"/>
      <c r="OFS87" s="207"/>
      <c r="OFT87" s="207"/>
      <c r="OFU87" s="208"/>
      <c r="OFV87" s="209"/>
      <c r="OFW87" s="207"/>
      <c r="OFX87" s="210"/>
      <c r="OFY87" s="209"/>
      <c r="OFZ87" s="204"/>
      <c r="OGA87" s="204"/>
      <c r="OGB87" s="204"/>
      <c r="OGC87" s="199"/>
      <c r="OGD87" s="167"/>
      <c r="OGE87" s="199"/>
      <c r="OGF87" s="200"/>
      <c r="OGG87" s="201"/>
      <c r="OGH87" s="202"/>
      <c r="OGI87" s="202"/>
      <c r="OGJ87" s="202"/>
      <c r="OGK87" s="202"/>
      <c r="OGL87" s="203"/>
      <c r="OGM87" s="204"/>
      <c r="OGN87" s="204"/>
      <c r="OGO87" s="204"/>
      <c r="OGP87" s="205"/>
      <c r="OGQ87" s="206"/>
      <c r="OGR87" s="207"/>
      <c r="OGS87" s="207"/>
      <c r="OGT87" s="208"/>
      <c r="OGU87" s="209"/>
      <c r="OGV87" s="207"/>
      <c r="OGW87" s="210"/>
      <c r="OGX87" s="209"/>
      <c r="OGY87" s="204"/>
      <c r="OGZ87" s="204"/>
      <c r="OHA87" s="204"/>
      <c r="OHB87" s="199"/>
      <c r="OHC87" s="167"/>
      <c r="OHD87" s="199"/>
      <c r="OHE87" s="200"/>
      <c r="OHF87" s="201"/>
      <c r="OHG87" s="202"/>
      <c r="OHH87" s="202"/>
      <c r="OHI87" s="202"/>
      <c r="OHJ87" s="202"/>
      <c r="OHK87" s="203"/>
      <c r="OHL87" s="204"/>
      <c r="OHM87" s="204"/>
      <c r="OHN87" s="204"/>
      <c r="OHO87" s="205"/>
      <c r="OHP87" s="206"/>
      <c r="OHQ87" s="207"/>
      <c r="OHR87" s="207"/>
      <c r="OHS87" s="208"/>
      <c r="OHT87" s="209"/>
      <c r="OHU87" s="207"/>
      <c r="OHV87" s="210"/>
      <c r="OHW87" s="209"/>
      <c r="OHX87" s="204"/>
      <c r="OHY87" s="204"/>
      <c r="OHZ87" s="204"/>
      <c r="OIA87" s="199"/>
      <c r="OIB87" s="167"/>
      <c r="OIC87" s="199"/>
      <c r="OID87" s="200"/>
      <c r="OIE87" s="201"/>
      <c r="OIF87" s="202"/>
      <c r="OIG87" s="202"/>
      <c r="OIH87" s="202"/>
      <c r="OII87" s="202"/>
      <c r="OIJ87" s="203"/>
      <c r="OIK87" s="204"/>
      <c r="OIL87" s="204"/>
      <c r="OIM87" s="204"/>
      <c r="OIN87" s="205"/>
      <c r="OIO87" s="206"/>
      <c r="OIP87" s="207"/>
      <c r="OIQ87" s="207"/>
      <c r="OIR87" s="208"/>
      <c r="OIS87" s="209"/>
      <c r="OIT87" s="207"/>
      <c r="OIU87" s="210"/>
      <c r="OIV87" s="209"/>
      <c r="OIW87" s="204"/>
      <c r="OIX87" s="204"/>
      <c r="OIY87" s="204"/>
      <c r="OIZ87" s="199"/>
      <c r="OJA87" s="167"/>
      <c r="OJB87" s="199"/>
      <c r="OJC87" s="200"/>
      <c r="OJD87" s="201"/>
      <c r="OJE87" s="202"/>
      <c r="OJF87" s="202"/>
      <c r="OJG87" s="202"/>
      <c r="OJH87" s="202"/>
      <c r="OJI87" s="203"/>
      <c r="OJJ87" s="204"/>
      <c r="OJK87" s="204"/>
      <c r="OJL87" s="204"/>
      <c r="OJM87" s="205"/>
      <c r="OJN87" s="206"/>
      <c r="OJO87" s="207"/>
      <c r="OJP87" s="207"/>
      <c r="OJQ87" s="208"/>
      <c r="OJR87" s="209"/>
      <c r="OJS87" s="207"/>
      <c r="OJT87" s="210"/>
      <c r="OJU87" s="209"/>
      <c r="OJV87" s="204"/>
      <c r="OJW87" s="204"/>
      <c r="OJX87" s="204"/>
      <c r="OJY87" s="199"/>
      <c r="OJZ87" s="167"/>
      <c r="OKA87" s="199"/>
      <c r="OKB87" s="200"/>
      <c r="OKC87" s="201"/>
      <c r="OKD87" s="202"/>
      <c r="OKE87" s="202"/>
      <c r="OKF87" s="202"/>
      <c r="OKG87" s="202"/>
      <c r="OKH87" s="203"/>
      <c r="OKI87" s="204"/>
      <c r="OKJ87" s="204"/>
      <c r="OKK87" s="204"/>
      <c r="OKL87" s="205"/>
      <c r="OKM87" s="206"/>
      <c r="OKN87" s="207"/>
      <c r="OKO87" s="207"/>
      <c r="OKP87" s="208"/>
      <c r="OKQ87" s="209"/>
      <c r="OKR87" s="207"/>
      <c r="OKS87" s="210"/>
      <c r="OKT87" s="209"/>
      <c r="OKU87" s="204"/>
      <c r="OKV87" s="204"/>
      <c r="OKW87" s="204"/>
      <c r="OKX87" s="199"/>
      <c r="OKY87" s="167"/>
      <c r="OKZ87" s="199"/>
      <c r="OLA87" s="200"/>
      <c r="OLB87" s="201"/>
      <c r="OLC87" s="202"/>
      <c r="OLD87" s="202"/>
      <c r="OLE87" s="202"/>
      <c r="OLF87" s="202"/>
      <c r="OLG87" s="203"/>
      <c r="OLH87" s="204"/>
      <c r="OLI87" s="204"/>
      <c r="OLJ87" s="204"/>
      <c r="OLK87" s="205"/>
      <c r="OLL87" s="206"/>
      <c r="OLM87" s="207"/>
      <c r="OLN87" s="207"/>
      <c r="OLO87" s="208"/>
      <c r="OLP87" s="209"/>
      <c r="OLQ87" s="207"/>
      <c r="OLR87" s="210"/>
      <c r="OLS87" s="209"/>
      <c r="OLT87" s="204"/>
      <c r="OLU87" s="204"/>
      <c r="OLV87" s="204"/>
      <c r="OLW87" s="199"/>
      <c r="OLX87" s="167"/>
      <c r="OLY87" s="199"/>
      <c r="OLZ87" s="200"/>
      <c r="OMA87" s="201"/>
      <c r="OMB87" s="202"/>
      <c r="OMC87" s="202"/>
      <c r="OMD87" s="202"/>
      <c r="OME87" s="202"/>
      <c r="OMF87" s="203"/>
      <c r="OMG87" s="204"/>
      <c r="OMH87" s="204"/>
      <c r="OMI87" s="204"/>
      <c r="OMJ87" s="205"/>
      <c r="OMK87" s="206"/>
      <c r="OML87" s="207"/>
      <c r="OMM87" s="207"/>
      <c r="OMN87" s="208"/>
      <c r="OMO87" s="209"/>
      <c r="OMP87" s="207"/>
      <c r="OMQ87" s="210"/>
      <c r="OMR87" s="209"/>
      <c r="OMS87" s="204"/>
      <c r="OMT87" s="204"/>
      <c r="OMU87" s="204"/>
      <c r="OMV87" s="199"/>
      <c r="OMW87" s="167"/>
      <c r="OMX87" s="199"/>
      <c r="OMY87" s="200"/>
      <c r="OMZ87" s="201"/>
      <c r="ONA87" s="202"/>
      <c r="ONB87" s="202"/>
      <c r="ONC87" s="202"/>
      <c r="OND87" s="202"/>
      <c r="ONE87" s="203"/>
      <c r="ONF87" s="204"/>
      <c r="ONG87" s="204"/>
      <c r="ONH87" s="204"/>
      <c r="ONI87" s="205"/>
      <c r="ONJ87" s="206"/>
      <c r="ONK87" s="207"/>
      <c r="ONL87" s="207"/>
      <c r="ONM87" s="208"/>
      <c r="ONN87" s="209"/>
      <c r="ONO87" s="207"/>
      <c r="ONP87" s="210"/>
      <c r="ONQ87" s="209"/>
      <c r="ONR87" s="204"/>
      <c r="ONS87" s="204"/>
      <c r="ONT87" s="204"/>
      <c r="ONU87" s="199"/>
      <c r="ONV87" s="167"/>
      <c r="ONW87" s="199"/>
      <c r="ONX87" s="200"/>
      <c r="ONY87" s="201"/>
      <c r="ONZ87" s="202"/>
      <c r="OOA87" s="202"/>
      <c r="OOB87" s="202"/>
      <c r="OOC87" s="202"/>
      <c r="OOD87" s="203"/>
      <c r="OOE87" s="204"/>
      <c r="OOF87" s="204"/>
      <c r="OOG87" s="204"/>
      <c r="OOH87" s="205"/>
      <c r="OOI87" s="206"/>
      <c r="OOJ87" s="207"/>
      <c r="OOK87" s="207"/>
      <c r="OOL87" s="208"/>
      <c r="OOM87" s="209"/>
      <c r="OON87" s="207"/>
      <c r="OOO87" s="210"/>
      <c r="OOP87" s="209"/>
      <c r="OOQ87" s="204"/>
      <c r="OOR87" s="204"/>
      <c r="OOS87" s="204"/>
      <c r="OOT87" s="199"/>
      <c r="OOU87" s="167"/>
      <c r="OOV87" s="199"/>
      <c r="OOW87" s="200"/>
      <c r="OOX87" s="201"/>
      <c r="OOY87" s="202"/>
      <c r="OOZ87" s="202"/>
      <c r="OPA87" s="202"/>
      <c r="OPB87" s="202"/>
      <c r="OPC87" s="203"/>
      <c r="OPD87" s="204"/>
      <c r="OPE87" s="204"/>
      <c r="OPF87" s="204"/>
      <c r="OPG87" s="205"/>
      <c r="OPH87" s="206"/>
      <c r="OPI87" s="207"/>
      <c r="OPJ87" s="207"/>
      <c r="OPK87" s="208"/>
      <c r="OPL87" s="209"/>
      <c r="OPM87" s="207"/>
      <c r="OPN87" s="210"/>
      <c r="OPO87" s="209"/>
      <c r="OPP87" s="204"/>
      <c r="OPQ87" s="204"/>
      <c r="OPR87" s="204"/>
      <c r="OPS87" s="199"/>
      <c r="OPT87" s="167"/>
      <c r="OPU87" s="199"/>
      <c r="OPV87" s="200"/>
      <c r="OPW87" s="201"/>
      <c r="OPX87" s="202"/>
      <c r="OPY87" s="202"/>
      <c r="OPZ87" s="202"/>
      <c r="OQA87" s="202"/>
      <c r="OQB87" s="203"/>
      <c r="OQC87" s="204"/>
      <c r="OQD87" s="204"/>
      <c r="OQE87" s="204"/>
      <c r="OQF87" s="205"/>
      <c r="OQG87" s="206"/>
      <c r="OQH87" s="207"/>
      <c r="OQI87" s="207"/>
      <c r="OQJ87" s="208"/>
      <c r="OQK87" s="209"/>
      <c r="OQL87" s="207"/>
      <c r="OQM87" s="210"/>
      <c r="OQN87" s="209"/>
      <c r="OQO87" s="204"/>
      <c r="OQP87" s="204"/>
      <c r="OQQ87" s="204"/>
      <c r="OQR87" s="199"/>
      <c r="OQS87" s="167"/>
      <c r="OQT87" s="199"/>
      <c r="OQU87" s="200"/>
      <c r="OQV87" s="201"/>
      <c r="OQW87" s="202"/>
      <c r="OQX87" s="202"/>
      <c r="OQY87" s="202"/>
      <c r="OQZ87" s="202"/>
      <c r="ORA87" s="203"/>
      <c r="ORB87" s="204"/>
      <c r="ORC87" s="204"/>
      <c r="ORD87" s="204"/>
      <c r="ORE87" s="205"/>
      <c r="ORF87" s="206"/>
      <c r="ORG87" s="207"/>
      <c r="ORH87" s="207"/>
      <c r="ORI87" s="208"/>
      <c r="ORJ87" s="209"/>
      <c r="ORK87" s="207"/>
      <c r="ORL87" s="210"/>
      <c r="ORM87" s="209"/>
      <c r="ORN87" s="204"/>
      <c r="ORO87" s="204"/>
      <c r="ORP87" s="204"/>
      <c r="ORQ87" s="199"/>
      <c r="ORR87" s="167"/>
      <c r="ORS87" s="199"/>
      <c r="ORT87" s="200"/>
      <c r="ORU87" s="201"/>
      <c r="ORV87" s="202"/>
      <c r="ORW87" s="202"/>
      <c r="ORX87" s="202"/>
      <c r="ORY87" s="202"/>
      <c r="ORZ87" s="203"/>
      <c r="OSA87" s="204"/>
      <c r="OSB87" s="204"/>
      <c r="OSC87" s="204"/>
      <c r="OSD87" s="205"/>
      <c r="OSE87" s="206"/>
      <c r="OSF87" s="207"/>
      <c r="OSG87" s="207"/>
      <c r="OSH87" s="208"/>
      <c r="OSI87" s="209"/>
      <c r="OSJ87" s="207"/>
      <c r="OSK87" s="210"/>
      <c r="OSL87" s="209"/>
      <c r="OSM87" s="204"/>
      <c r="OSN87" s="204"/>
      <c r="OSO87" s="204"/>
      <c r="OSP87" s="199"/>
      <c r="OSQ87" s="167"/>
      <c r="OSR87" s="199"/>
      <c r="OSS87" s="200"/>
      <c r="OST87" s="201"/>
      <c r="OSU87" s="202"/>
      <c r="OSV87" s="202"/>
      <c r="OSW87" s="202"/>
      <c r="OSX87" s="202"/>
      <c r="OSY87" s="203"/>
      <c r="OSZ87" s="204"/>
      <c r="OTA87" s="204"/>
      <c r="OTB87" s="204"/>
      <c r="OTC87" s="205"/>
      <c r="OTD87" s="206"/>
      <c r="OTE87" s="207"/>
      <c r="OTF87" s="207"/>
      <c r="OTG87" s="208"/>
      <c r="OTH87" s="209"/>
      <c r="OTI87" s="207"/>
      <c r="OTJ87" s="210"/>
      <c r="OTK87" s="209"/>
      <c r="OTL87" s="204"/>
      <c r="OTM87" s="204"/>
      <c r="OTN87" s="204"/>
      <c r="OTO87" s="199"/>
      <c r="OTP87" s="167"/>
      <c r="OTQ87" s="199"/>
      <c r="OTR87" s="200"/>
      <c r="OTS87" s="201"/>
      <c r="OTT87" s="202"/>
      <c r="OTU87" s="202"/>
      <c r="OTV87" s="202"/>
      <c r="OTW87" s="202"/>
      <c r="OTX87" s="203"/>
      <c r="OTY87" s="204"/>
      <c r="OTZ87" s="204"/>
      <c r="OUA87" s="204"/>
      <c r="OUB87" s="205"/>
      <c r="OUC87" s="206"/>
      <c r="OUD87" s="207"/>
      <c r="OUE87" s="207"/>
      <c r="OUF87" s="208"/>
      <c r="OUG87" s="209"/>
      <c r="OUH87" s="207"/>
      <c r="OUI87" s="210"/>
      <c r="OUJ87" s="209"/>
      <c r="OUK87" s="204"/>
      <c r="OUL87" s="204"/>
      <c r="OUM87" s="204"/>
      <c r="OUN87" s="199"/>
      <c r="OUO87" s="167"/>
      <c r="OUP87" s="199"/>
      <c r="OUQ87" s="200"/>
      <c r="OUR87" s="201"/>
      <c r="OUS87" s="202"/>
      <c r="OUT87" s="202"/>
      <c r="OUU87" s="202"/>
      <c r="OUV87" s="202"/>
      <c r="OUW87" s="203"/>
      <c r="OUX87" s="204"/>
      <c r="OUY87" s="204"/>
      <c r="OUZ87" s="204"/>
      <c r="OVA87" s="205"/>
      <c r="OVB87" s="206"/>
      <c r="OVC87" s="207"/>
      <c r="OVD87" s="207"/>
      <c r="OVE87" s="208"/>
      <c r="OVF87" s="209"/>
      <c r="OVG87" s="207"/>
      <c r="OVH87" s="210"/>
      <c r="OVI87" s="209"/>
      <c r="OVJ87" s="204"/>
      <c r="OVK87" s="204"/>
      <c r="OVL87" s="204"/>
      <c r="OVM87" s="199"/>
      <c r="OVN87" s="167"/>
      <c r="OVO87" s="199"/>
      <c r="OVP87" s="200"/>
      <c r="OVQ87" s="201"/>
      <c r="OVR87" s="202"/>
      <c r="OVS87" s="202"/>
      <c r="OVT87" s="202"/>
      <c r="OVU87" s="202"/>
      <c r="OVV87" s="203"/>
      <c r="OVW87" s="204"/>
      <c r="OVX87" s="204"/>
      <c r="OVY87" s="204"/>
      <c r="OVZ87" s="205"/>
      <c r="OWA87" s="206"/>
      <c r="OWB87" s="207"/>
      <c r="OWC87" s="207"/>
      <c r="OWD87" s="208"/>
      <c r="OWE87" s="209"/>
      <c r="OWF87" s="207"/>
      <c r="OWG87" s="210"/>
      <c r="OWH87" s="209"/>
      <c r="OWI87" s="204"/>
      <c r="OWJ87" s="204"/>
      <c r="OWK87" s="204"/>
      <c r="OWL87" s="199"/>
      <c r="OWM87" s="167"/>
      <c r="OWN87" s="199"/>
      <c r="OWO87" s="200"/>
      <c r="OWP87" s="201"/>
      <c r="OWQ87" s="202"/>
      <c r="OWR87" s="202"/>
      <c r="OWS87" s="202"/>
      <c r="OWT87" s="202"/>
      <c r="OWU87" s="203"/>
      <c r="OWV87" s="204"/>
      <c r="OWW87" s="204"/>
      <c r="OWX87" s="204"/>
      <c r="OWY87" s="205"/>
      <c r="OWZ87" s="206"/>
      <c r="OXA87" s="207"/>
      <c r="OXB87" s="207"/>
      <c r="OXC87" s="208"/>
      <c r="OXD87" s="209"/>
      <c r="OXE87" s="207"/>
      <c r="OXF87" s="210"/>
      <c r="OXG87" s="209"/>
      <c r="OXH87" s="204"/>
      <c r="OXI87" s="204"/>
      <c r="OXJ87" s="204"/>
      <c r="OXK87" s="199"/>
      <c r="OXL87" s="167"/>
      <c r="OXM87" s="199"/>
      <c r="OXN87" s="200"/>
      <c r="OXO87" s="201"/>
      <c r="OXP87" s="202"/>
      <c r="OXQ87" s="202"/>
      <c r="OXR87" s="202"/>
      <c r="OXS87" s="202"/>
      <c r="OXT87" s="203"/>
      <c r="OXU87" s="204"/>
      <c r="OXV87" s="204"/>
      <c r="OXW87" s="204"/>
      <c r="OXX87" s="205"/>
      <c r="OXY87" s="206"/>
      <c r="OXZ87" s="207"/>
      <c r="OYA87" s="207"/>
      <c r="OYB87" s="208"/>
      <c r="OYC87" s="209"/>
      <c r="OYD87" s="207"/>
      <c r="OYE87" s="210"/>
      <c r="OYF87" s="209"/>
      <c r="OYG87" s="204"/>
      <c r="OYH87" s="204"/>
      <c r="OYI87" s="204"/>
      <c r="OYJ87" s="199"/>
      <c r="OYK87" s="167"/>
      <c r="OYL87" s="199"/>
      <c r="OYM87" s="200"/>
      <c r="OYN87" s="201"/>
      <c r="OYO87" s="202"/>
      <c r="OYP87" s="202"/>
      <c r="OYQ87" s="202"/>
      <c r="OYR87" s="202"/>
      <c r="OYS87" s="203"/>
      <c r="OYT87" s="204"/>
      <c r="OYU87" s="204"/>
      <c r="OYV87" s="204"/>
      <c r="OYW87" s="205"/>
      <c r="OYX87" s="206"/>
      <c r="OYY87" s="207"/>
      <c r="OYZ87" s="207"/>
      <c r="OZA87" s="208"/>
      <c r="OZB87" s="209"/>
      <c r="OZC87" s="207"/>
      <c r="OZD87" s="210"/>
      <c r="OZE87" s="209"/>
      <c r="OZF87" s="204"/>
      <c r="OZG87" s="204"/>
      <c r="OZH87" s="204"/>
      <c r="OZI87" s="199"/>
      <c r="OZJ87" s="167"/>
      <c r="OZK87" s="199"/>
      <c r="OZL87" s="200"/>
      <c r="OZM87" s="201"/>
      <c r="OZN87" s="202"/>
      <c r="OZO87" s="202"/>
      <c r="OZP87" s="202"/>
      <c r="OZQ87" s="202"/>
      <c r="OZR87" s="203"/>
      <c r="OZS87" s="204"/>
      <c r="OZT87" s="204"/>
      <c r="OZU87" s="204"/>
      <c r="OZV87" s="205"/>
      <c r="OZW87" s="206"/>
      <c r="OZX87" s="207"/>
      <c r="OZY87" s="207"/>
      <c r="OZZ87" s="208"/>
      <c r="PAA87" s="209"/>
      <c r="PAB87" s="207"/>
      <c r="PAC87" s="210"/>
      <c r="PAD87" s="209"/>
      <c r="PAE87" s="204"/>
      <c r="PAF87" s="204"/>
      <c r="PAG87" s="204"/>
      <c r="PAH87" s="199"/>
      <c r="PAI87" s="167"/>
      <c r="PAJ87" s="199"/>
      <c r="PAK87" s="200"/>
      <c r="PAL87" s="201"/>
      <c r="PAM87" s="202"/>
      <c r="PAN87" s="202"/>
      <c r="PAO87" s="202"/>
      <c r="PAP87" s="202"/>
      <c r="PAQ87" s="203"/>
      <c r="PAR87" s="204"/>
      <c r="PAS87" s="204"/>
      <c r="PAT87" s="204"/>
      <c r="PAU87" s="205"/>
      <c r="PAV87" s="206"/>
      <c r="PAW87" s="207"/>
      <c r="PAX87" s="207"/>
      <c r="PAY87" s="208"/>
      <c r="PAZ87" s="209"/>
      <c r="PBA87" s="207"/>
      <c r="PBB87" s="210"/>
      <c r="PBC87" s="209"/>
      <c r="PBD87" s="204"/>
      <c r="PBE87" s="204"/>
      <c r="PBF87" s="204"/>
      <c r="PBG87" s="199"/>
      <c r="PBH87" s="167"/>
      <c r="PBI87" s="199"/>
      <c r="PBJ87" s="200"/>
      <c r="PBK87" s="201"/>
      <c r="PBL87" s="202"/>
      <c r="PBM87" s="202"/>
      <c r="PBN87" s="202"/>
      <c r="PBO87" s="202"/>
      <c r="PBP87" s="203"/>
      <c r="PBQ87" s="204"/>
      <c r="PBR87" s="204"/>
      <c r="PBS87" s="204"/>
      <c r="PBT87" s="205"/>
      <c r="PBU87" s="206"/>
      <c r="PBV87" s="207"/>
      <c r="PBW87" s="207"/>
      <c r="PBX87" s="208"/>
      <c r="PBY87" s="209"/>
      <c r="PBZ87" s="207"/>
      <c r="PCA87" s="210"/>
      <c r="PCB87" s="209"/>
      <c r="PCC87" s="204"/>
      <c r="PCD87" s="204"/>
      <c r="PCE87" s="204"/>
      <c r="PCF87" s="199"/>
      <c r="PCG87" s="167"/>
      <c r="PCH87" s="199"/>
      <c r="PCI87" s="200"/>
      <c r="PCJ87" s="201"/>
      <c r="PCK87" s="202"/>
      <c r="PCL87" s="202"/>
      <c r="PCM87" s="202"/>
      <c r="PCN87" s="202"/>
      <c r="PCO87" s="203"/>
      <c r="PCP87" s="204"/>
      <c r="PCQ87" s="204"/>
      <c r="PCR87" s="204"/>
      <c r="PCS87" s="205"/>
      <c r="PCT87" s="206"/>
      <c r="PCU87" s="207"/>
      <c r="PCV87" s="207"/>
      <c r="PCW87" s="208"/>
      <c r="PCX87" s="209"/>
      <c r="PCY87" s="207"/>
      <c r="PCZ87" s="210"/>
      <c r="PDA87" s="209"/>
      <c r="PDB87" s="204"/>
      <c r="PDC87" s="204"/>
      <c r="PDD87" s="204"/>
      <c r="PDE87" s="199"/>
      <c r="PDF87" s="167"/>
      <c r="PDG87" s="199"/>
      <c r="PDH87" s="200"/>
      <c r="PDI87" s="201"/>
      <c r="PDJ87" s="202"/>
      <c r="PDK87" s="202"/>
      <c r="PDL87" s="202"/>
      <c r="PDM87" s="202"/>
      <c r="PDN87" s="203"/>
      <c r="PDO87" s="204"/>
      <c r="PDP87" s="204"/>
      <c r="PDQ87" s="204"/>
      <c r="PDR87" s="205"/>
      <c r="PDS87" s="206"/>
      <c r="PDT87" s="207"/>
      <c r="PDU87" s="207"/>
      <c r="PDV87" s="208"/>
      <c r="PDW87" s="209"/>
      <c r="PDX87" s="207"/>
      <c r="PDY87" s="210"/>
      <c r="PDZ87" s="209"/>
      <c r="PEA87" s="204"/>
      <c r="PEB87" s="204"/>
      <c r="PEC87" s="204"/>
      <c r="PED87" s="199"/>
      <c r="PEE87" s="167"/>
      <c r="PEF87" s="199"/>
      <c r="PEG87" s="200"/>
      <c r="PEH87" s="201"/>
      <c r="PEI87" s="202"/>
      <c r="PEJ87" s="202"/>
      <c r="PEK87" s="202"/>
      <c r="PEL87" s="202"/>
      <c r="PEM87" s="203"/>
      <c r="PEN87" s="204"/>
      <c r="PEO87" s="204"/>
      <c r="PEP87" s="204"/>
      <c r="PEQ87" s="205"/>
      <c r="PER87" s="206"/>
      <c r="PES87" s="207"/>
      <c r="PET87" s="207"/>
      <c r="PEU87" s="208"/>
      <c r="PEV87" s="209"/>
      <c r="PEW87" s="207"/>
      <c r="PEX87" s="210"/>
      <c r="PEY87" s="209"/>
      <c r="PEZ87" s="204"/>
      <c r="PFA87" s="204"/>
      <c r="PFB87" s="204"/>
      <c r="PFC87" s="199"/>
      <c r="PFD87" s="167"/>
      <c r="PFE87" s="199"/>
      <c r="PFF87" s="200"/>
      <c r="PFG87" s="201"/>
      <c r="PFH87" s="202"/>
      <c r="PFI87" s="202"/>
      <c r="PFJ87" s="202"/>
      <c r="PFK87" s="202"/>
      <c r="PFL87" s="203"/>
      <c r="PFM87" s="204"/>
      <c r="PFN87" s="204"/>
      <c r="PFO87" s="204"/>
      <c r="PFP87" s="205"/>
      <c r="PFQ87" s="206"/>
      <c r="PFR87" s="207"/>
      <c r="PFS87" s="207"/>
      <c r="PFT87" s="208"/>
      <c r="PFU87" s="209"/>
      <c r="PFV87" s="207"/>
      <c r="PFW87" s="210"/>
      <c r="PFX87" s="209"/>
      <c r="PFY87" s="204"/>
      <c r="PFZ87" s="204"/>
      <c r="PGA87" s="204"/>
      <c r="PGB87" s="199"/>
      <c r="PGC87" s="167"/>
      <c r="PGD87" s="199"/>
      <c r="PGE87" s="200"/>
      <c r="PGF87" s="201"/>
      <c r="PGG87" s="202"/>
      <c r="PGH87" s="202"/>
      <c r="PGI87" s="202"/>
      <c r="PGJ87" s="202"/>
      <c r="PGK87" s="203"/>
      <c r="PGL87" s="204"/>
      <c r="PGM87" s="204"/>
      <c r="PGN87" s="204"/>
      <c r="PGO87" s="205"/>
      <c r="PGP87" s="206"/>
      <c r="PGQ87" s="207"/>
      <c r="PGR87" s="207"/>
      <c r="PGS87" s="208"/>
      <c r="PGT87" s="209"/>
      <c r="PGU87" s="207"/>
      <c r="PGV87" s="210"/>
      <c r="PGW87" s="209"/>
      <c r="PGX87" s="204"/>
      <c r="PGY87" s="204"/>
      <c r="PGZ87" s="204"/>
      <c r="PHA87" s="199"/>
      <c r="PHB87" s="167"/>
      <c r="PHC87" s="199"/>
      <c r="PHD87" s="200"/>
      <c r="PHE87" s="201"/>
      <c r="PHF87" s="202"/>
      <c r="PHG87" s="202"/>
      <c r="PHH87" s="202"/>
      <c r="PHI87" s="202"/>
      <c r="PHJ87" s="203"/>
      <c r="PHK87" s="204"/>
      <c r="PHL87" s="204"/>
      <c r="PHM87" s="204"/>
      <c r="PHN87" s="205"/>
      <c r="PHO87" s="206"/>
      <c r="PHP87" s="207"/>
      <c r="PHQ87" s="207"/>
      <c r="PHR87" s="208"/>
      <c r="PHS87" s="209"/>
      <c r="PHT87" s="207"/>
      <c r="PHU87" s="210"/>
      <c r="PHV87" s="209"/>
      <c r="PHW87" s="204"/>
      <c r="PHX87" s="204"/>
      <c r="PHY87" s="204"/>
      <c r="PHZ87" s="199"/>
      <c r="PIA87" s="167"/>
      <c r="PIB87" s="199"/>
      <c r="PIC87" s="200"/>
      <c r="PID87" s="201"/>
      <c r="PIE87" s="202"/>
      <c r="PIF87" s="202"/>
      <c r="PIG87" s="202"/>
      <c r="PIH87" s="202"/>
      <c r="PII87" s="203"/>
      <c r="PIJ87" s="204"/>
      <c r="PIK87" s="204"/>
      <c r="PIL87" s="204"/>
      <c r="PIM87" s="205"/>
      <c r="PIN87" s="206"/>
      <c r="PIO87" s="207"/>
      <c r="PIP87" s="207"/>
      <c r="PIQ87" s="208"/>
      <c r="PIR87" s="209"/>
      <c r="PIS87" s="207"/>
      <c r="PIT87" s="210"/>
      <c r="PIU87" s="209"/>
      <c r="PIV87" s="204"/>
      <c r="PIW87" s="204"/>
      <c r="PIX87" s="204"/>
      <c r="PIY87" s="199"/>
      <c r="PIZ87" s="167"/>
      <c r="PJA87" s="199"/>
      <c r="PJB87" s="200"/>
      <c r="PJC87" s="201"/>
      <c r="PJD87" s="202"/>
      <c r="PJE87" s="202"/>
      <c r="PJF87" s="202"/>
      <c r="PJG87" s="202"/>
      <c r="PJH87" s="203"/>
      <c r="PJI87" s="204"/>
      <c r="PJJ87" s="204"/>
      <c r="PJK87" s="204"/>
      <c r="PJL87" s="205"/>
      <c r="PJM87" s="206"/>
      <c r="PJN87" s="207"/>
      <c r="PJO87" s="207"/>
      <c r="PJP87" s="208"/>
      <c r="PJQ87" s="209"/>
      <c r="PJR87" s="207"/>
      <c r="PJS87" s="210"/>
      <c r="PJT87" s="209"/>
      <c r="PJU87" s="204"/>
      <c r="PJV87" s="204"/>
      <c r="PJW87" s="204"/>
      <c r="PJX87" s="199"/>
      <c r="PJY87" s="167"/>
      <c r="PJZ87" s="199"/>
      <c r="PKA87" s="200"/>
      <c r="PKB87" s="201"/>
      <c r="PKC87" s="202"/>
      <c r="PKD87" s="202"/>
      <c r="PKE87" s="202"/>
      <c r="PKF87" s="202"/>
      <c r="PKG87" s="203"/>
      <c r="PKH87" s="204"/>
      <c r="PKI87" s="204"/>
      <c r="PKJ87" s="204"/>
      <c r="PKK87" s="205"/>
      <c r="PKL87" s="206"/>
      <c r="PKM87" s="207"/>
      <c r="PKN87" s="207"/>
      <c r="PKO87" s="208"/>
      <c r="PKP87" s="209"/>
      <c r="PKQ87" s="207"/>
      <c r="PKR87" s="210"/>
      <c r="PKS87" s="209"/>
      <c r="PKT87" s="204"/>
      <c r="PKU87" s="204"/>
      <c r="PKV87" s="204"/>
      <c r="PKW87" s="199"/>
      <c r="PKX87" s="167"/>
      <c r="PKY87" s="199"/>
      <c r="PKZ87" s="200"/>
      <c r="PLA87" s="201"/>
      <c r="PLB87" s="202"/>
      <c r="PLC87" s="202"/>
      <c r="PLD87" s="202"/>
      <c r="PLE87" s="202"/>
      <c r="PLF87" s="203"/>
      <c r="PLG87" s="204"/>
      <c r="PLH87" s="204"/>
      <c r="PLI87" s="204"/>
      <c r="PLJ87" s="205"/>
      <c r="PLK87" s="206"/>
      <c r="PLL87" s="207"/>
      <c r="PLM87" s="207"/>
      <c r="PLN87" s="208"/>
      <c r="PLO87" s="209"/>
      <c r="PLP87" s="207"/>
      <c r="PLQ87" s="210"/>
      <c r="PLR87" s="209"/>
      <c r="PLS87" s="204"/>
      <c r="PLT87" s="204"/>
      <c r="PLU87" s="204"/>
      <c r="PLV87" s="199"/>
      <c r="PLW87" s="167"/>
      <c r="PLX87" s="199"/>
      <c r="PLY87" s="200"/>
      <c r="PLZ87" s="201"/>
      <c r="PMA87" s="202"/>
      <c r="PMB87" s="202"/>
      <c r="PMC87" s="202"/>
      <c r="PMD87" s="202"/>
      <c r="PME87" s="203"/>
      <c r="PMF87" s="204"/>
      <c r="PMG87" s="204"/>
      <c r="PMH87" s="204"/>
      <c r="PMI87" s="205"/>
      <c r="PMJ87" s="206"/>
      <c r="PMK87" s="207"/>
      <c r="PML87" s="207"/>
      <c r="PMM87" s="208"/>
      <c r="PMN87" s="209"/>
      <c r="PMO87" s="207"/>
      <c r="PMP87" s="210"/>
      <c r="PMQ87" s="209"/>
      <c r="PMR87" s="204"/>
      <c r="PMS87" s="204"/>
      <c r="PMT87" s="204"/>
      <c r="PMU87" s="199"/>
      <c r="PMV87" s="167"/>
      <c r="PMW87" s="199"/>
      <c r="PMX87" s="200"/>
      <c r="PMY87" s="201"/>
      <c r="PMZ87" s="202"/>
      <c r="PNA87" s="202"/>
      <c r="PNB87" s="202"/>
      <c r="PNC87" s="202"/>
      <c r="PND87" s="203"/>
      <c r="PNE87" s="204"/>
      <c r="PNF87" s="204"/>
      <c r="PNG87" s="204"/>
      <c r="PNH87" s="205"/>
      <c r="PNI87" s="206"/>
      <c r="PNJ87" s="207"/>
      <c r="PNK87" s="207"/>
      <c r="PNL87" s="208"/>
      <c r="PNM87" s="209"/>
      <c r="PNN87" s="207"/>
      <c r="PNO87" s="210"/>
      <c r="PNP87" s="209"/>
      <c r="PNQ87" s="204"/>
      <c r="PNR87" s="204"/>
      <c r="PNS87" s="204"/>
      <c r="PNT87" s="199"/>
      <c r="PNU87" s="167"/>
      <c r="PNV87" s="199"/>
      <c r="PNW87" s="200"/>
      <c r="PNX87" s="201"/>
      <c r="PNY87" s="202"/>
      <c r="PNZ87" s="202"/>
      <c r="POA87" s="202"/>
      <c r="POB87" s="202"/>
      <c r="POC87" s="203"/>
      <c r="POD87" s="204"/>
      <c r="POE87" s="204"/>
      <c r="POF87" s="204"/>
      <c r="POG87" s="205"/>
      <c r="POH87" s="206"/>
      <c r="POI87" s="207"/>
      <c r="POJ87" s="207"/>
      <c r="POK87" s="208"/>
      <c r="POL87" s="209"/>
      <c r="POM87" s="207"/>
      <c r="PON87" s="210"/>
      <c r="POO87" s="209"/>
      <c r="POP87" s="204"/>
      <c r="POQ87" s="204"/>
      <c r="POR87" s="204"/>
      <c r="POS87" s="199"/>
      <c r="POT87" s="167"/>
      <c r="POU87" s="199"/>
      <c r="POV87" s="200"/>
      <c r="POW87" s="201"/>
      <c r="POX87" s="202"/>
      <c r="POY87" s="202"/>
      <c r="POZ87" s="202"/>
      <c r="PPA87" s="202"/>
      <c r="PPB87" s="203"/>
      <c r="PPC87" s="204"/>
      <c r="PPD87" s="204"/>
      <c r="PPE87" s="204"/>
      <c r="PPF87" s="205"/>
      <c r="PPG87" s="206"/>
      <c r="PPH87" s="207"/>
      <c r="PPI87" s="207"/>
      <c r="PPJ87" s="208"/>
      <c r="PPK87" s="209"/>
      <c r="PPL87" s="207"/>
      <c r="PPM87" s="210"/>
      <c r="PPN87" s="209"/>
      <c r="PPO87" s="204"/>
      <c r="PPP87" s="204"/>
      <c r="PPQ87" s="204"/>
      <c r="PPR87" s="199"/>
      <c r="PPS87" s="167"/>
      <c r="PPT87" s="199"/>
      <c r="PPU87" s="200"/>
      <c r="PPV87" s="201"/>
      <c r="PPW87" s="202"/>
      <c r="PPX87" s="202"/>
      <c r="PPY87" s="202"/>
      <c r="PPZ87" s="202"/>
      <c r="PQA87" s="203"/>
      <c r="PQB87" s="204"/>
      <c r="PQC87" s="204"/>
      <c r="PQD87" s="204"/>
      <c r="PQE87" s="205"/>
      <c r="PQF87" s="206"/>
      <c r="PQG87" s="207"/>
      <c r="PQH87" s="207"/>
      <c r="PQI87" s="208"/>
      <c r="PQJ87" s="209"/>
      <c r="PQK87" s="207"/>
      <c r="PQL87" s="210"/>
      <c r="PQM87" s="209"/>
      <c r="PQN87" s="204"/>
      <c r="PQO87" s="204"/>
      <c r="PQP87" s="204"/>
      <c r="PQQ87" s="199"/>
      <c r="PQR87" s="167"/>
      <c r="PQS87" s="199"/>
      <c r="PQT87" s="200"/>
      <c r="PQU87" s="201"/>
      <c r="PQV87" s="202"/>
      <c r="PQW87" s="202"/>
      <c r="PQX87" s="202"/>
      <c r="PQY87" s="202"/>
      <c r="PQZ87" s="203"/>
      <c r="PRA87" s="204"/>
      <c r="PRB87" s="204"/>
      <c r="PRC87" s="204"/>
      <c r="PRD87" s="205"/>
      <c r="PRE87" s="206"/>
      <c r="PRF87" s="207"/>
      <c r="PRG87" s="207"/>
      <c r="PRH87" s="208"/>
      <c r="PRI87" s="209"/>
      <c r="PRJ87" s="207"/>
      <c r="PRK87" s="210"/>
      <c r="PRL87" s="209"/>
      <c r="PRM87" s="204"/>
      <c r="PRN87" s="204"/>
      <c r="PRO87" s="204"/>
      <c r="PRP87" s="199"/>
      <c r="PRQ87" s="167"/>
      <c r="PRR87" s="199"/>
      <c r="PRS87" s="200"/>
      <c r="PRT87" s="201"/>
      <c r="PRU87" s="202"/>
      <c r="PRV87" s="202"/>
      <c r="PRW87" s="202"/>
      <c r="PRX87" s="202"/>
      <c r="PRY87" s="203"/>
      <c r="PRZ87" s="204"/>
      <c r="PSA87" s="204"/>
      <c r="PSB87" s="204"/>
      <c r="PSC87" s="205"/>
      <c r="PSD87" s="206"/>
      <c r="PSE87" s="207"/>
      <c r="PSF87" s="207"/>
      <c r="PSG87" s="208"/>
      <c r="PSH87" s="209"/>
      <c r="PSI87" s="207"/>
      <c r="PSJ87" s="210"/>
      <c r="PSK87" s="209"/>
      <c r="PSL87" s="204"/>
      <c r="PSM87" s="204"/>
      <c r="PSN87" s="204"/>
      <c r="PSO87" s="199"/>
      <c r="PSP87" s="167"/>
      <c r="PSQ87" s="199"/>
      <c r="PSR87" s="200"/>
      <c r="PSS87" s="201"/>
      <c r="PST87" s="202"/>
      <c r="PSU87" s="202"/>
      <c r="PSV87" s="202"/>
      <c r="PSW87" s="202"/>
      <c r="PSX87" s="203"/>
      <c r="PSY87" s="204"/>
      <c r="PSZ87" s="204"/>
      <c r="PTA87" s="204"/>
      <c r="PTB87" s="205"/>
      <c r="PTC87" s="206"/>
      <c r="PTD87" s="207"/>
      <c r="PTE87" s="207"/>
      <c r="PTF87" s="208"/>
      <c r="PTG87" s="209"/>
      <c r="PTH87" s="207"/>
      <c r="PTI87" s="210"/>
      <c r="PTJ87" s="209"/>
      <c r="PTK87" s="204"/>
      <c r="PTL87" s="204"/>
      <c r="PTM87" s="204"/>
      <c r="PTN87" s="199"/>
      <c r="PTO87" s="167"/>
      <c r="PTP87" s="199"/>
      <c r="PTQ87" s="200"/>
      <c r="PTR87" s="201"/>
      <c r="PTS87" s="202"/>
      <c r="PTT87" s="202"/>
      <c r="PTU87" s="202"/>
      <c r="PTV87" s="202"/>
      <c r="PTW87" s="203"/>
      <c r="PTX87" s="204"/>
      <c r="PTY87" s="204"/>
      <c r="PTZ87" s="204"/>
      <c r="PUA87" s="205"/>
      <c r="PUB87" s="206"/>
      <c r="PUC87" s="207"/>
      <c r="PUD87" s="207"/>
      <c r="PUE87" s="208"/>
      <c r="PUF87" s="209"/>
      <c r="PUG87" s="207"/>
      <c r="PUH87" s="210"/>
      <c r="PUI87" s="209"/>
      <c r="PUJ87" s="204"/>
      <c r="PUK87" s="204"/>
      <c r="PUL87" s="204"/>
      <c r="PUM87" s="199"/>
      <c r="PUN87" s="167"/>
      <c r="PUO87" s="199"/>
      <c r="PUP87" s="200"/>
      <c r="PUQ87" s="201"/>
      <c r="PUR87" s="202"/>
      <c r="PUS87" s="202"/>
      <c r="PUT87" s="202"/>
      <c r="PUU87" s="202"/>
      <c r="PUV87" s="203"/>
      <c r="PUW87" s="204"/>
      <c r="PUX87" s="204"/>
      <c r="PUY87" s="204"/>
      <c r="PUZ87" s="205"/>
      <c r="PVA87" s="206"/>
      <c r="PVB87" s="207"/>
      <c r="PVC87" s="207"/>
      <c r="PVD87" s="208"/>
      <c r="PVE87" s="209"/>
      <c r="PVF87" s="207"/>
      <c r="PVG87" s="210"/>
      <c r="PVH87" s="209"/>
      <c r="PVI87" s="204"/>
      <c r="PVJ87" s="204"/>
      <c r="PVK87" s="204"/>
      <c r="PVL87" s="199"/>
      <c r="PVM87" s="167"/>
      <c r="PVN87" s="199"/>
      <c r="PVO87" s="200"/>
      <c r="PVP87" s="201"/>
      <c r="PVQ87" s="202"/>
      <c r="PVR87" s="202"/>
      <c r="PVS87" s="202"/>
      <c r="PVT87" s="202"/>
      <c r="PVU87" s="203"/>
      <c r="PVV87" s="204"/>
      <c r="PVW87" s="204"/>
      <c r="PVX87" s="204"/>
      <c r="PVY87" s="205"/>
      <c r="PVZ87" s="206"/>
      <c r="PWA87" s="207"/>
      <c r="PWB87" s="207"/>
      <c r="PWC87" s="208"/>
      <c r="PWD87" s="209"/>
      <c r="PWE87" s="207"/>
      <c r="PWF87" s="210"/>
      <c r="PWG87" s="209"/>
      <c r="PWH87" s="204"/>
      <c r="PWI87" s="204"/>
      <c r="PWJ87" s="204"/>
      <c r="PWK87" s="199"/>
      <c r="PWL87" s="167"/>
      <c r="PWM87" s="199"/>
      <c r="PWN87" s="200"/>
      <c r="PWO87" s="201"/>
      <c r="PWP87" s="202"/>
      <c r="PWQ87" s="202"/>
      <c r="PWR87" s="202"/>
      <c r="PWS87" s="202"/>
      <c r="PWT87" s="203"/>
      <c r="PWU87" s="204"/>
      <c r="PWV87" s="204"/>
      <c r="PWW87" s="204"/>
      <c r="PWX87" s="205"/>
      <c r="PWY87" s="206"/>
      <c r="PWZ87" s="207"/>
      <c r="PXA87" s="207"/>
      <c r="PXB87" s="208"/>
      <c r="PXC87" s="209"/>
      <c r="PXD87" s="207"/>
      <c r="PXE87" s="210"/>
      <c r="PXF87" s="209"/>
      <c r="PXG87" s="204"/>
      <c r="PXH87" s="204"/>
      <c r="PXI87" s="204"/>
      <c r="PXJ87" s="199"/>
      <c r="PXK87" s="167"/>
      <c r="PXL87" s="199"/>
      <c r="PXM87" s="200"/>
      <c r="PXN87" s="201"/>
      <c r="PXO87" s="202"/>
      <c r="PXP87" s="202"/>
      <c r="PXQ87" s="202"/>
      <c r="PXR87" s="202"/>
      <c r="PXS87" s="203"/>
      <c r="PXT87" s="204"/>
      <c r="PXU87" s="204"/>
      <c r="PXV87" s="204"/>
      <c r="PXW87" s="205"/>
      <c r="PXX87" s="206"/>
      <c r="PXY87" s="207"/>
      <c r="PXZ87" s="207"/>
      <c r="PYA87" s="208"/>
      <c r="PYB87" s="209"/>
      <c r="PYC87" s="207"/>
      <c r="PYD87" s="210"/>
      <c r="PYE87" s="209"/>
      <c r="PYF87" s="204"/>
      <c r="PYG87" s="204"/>
      <c r="PYH87" s="204"/>
      <c r="PYI87" s="199"/>
      <c r="PYJ87" s="167"/>
      <c r="PYK87" s="199"/>
      <c r="PYL87" s="200"/>
      <c r="PYM87" s="201"/>
      <c r="PYN87" s="202"/>
      <c r="PYO87" s="202"/>
      <c r="PYP87" s="202"/>
      <c r="PYQ87" s="202"/>
      <c r="PYR87" s="203"/>
      <c r="PYS87" s="204"/>
      <c r="PYT87" s="204"/>
      <c r="PYU87" s="204"/>
      <c r="PYV87" s="205"/>
      <c r="PYW87" s="206"/>
      <c r="PYX87" s="207"/>
      <c r="PYY87" s="207"/>
      <c r="PYZ87" s="208"/>
      <c r="PZA87" s="209"/>
      <c r="PZB87" s="207"/>
      <c r="PZC87" s="210"/>
      <c r="PZD87" s="209"/>
      <c r="PZE87" s="204"/>
      <c r="PZF87" s="204"/>
      <c r="PZG87" s="204"/>
      <c r="PZH87" s="199"/>
      <c r="PZI87" s="167"/>
      <c r="PZJ87" s="199"/>
      <c r="PZK87" s="200"/>
      <c r="PZL87" s="201"/>
      <c r="PZM87" s="202"/>
      <c r="PZN87" s="202"/>
      <c r="PZO87" s="202"/>
      <c r="PZP87" s="202"/>
      <c r="PZQ87" s="203"/>
      <c r="PZR87" s="204"/>
      <c r="PZS87" s="204"/>
      <c r="PZT87" s="204"/>
      <c r="PZU87" s="205"/>
      <c r="PZV87" s="206"/>
      <c r="PZW87" s="207"/>
      <c r="PZX87" s="207"/>
      <c r="PZY87" s="208"/>
      <c r="PZZ87" s="209"/>
      <c r="QAA87" s="207"/>
      <c r="QAB87" s="210"/>
      <c r="QAC87" s="209"/>
      <c r="QAD87" s="204"/>
      <c r="QAE87" s="204"/>
      <c r="QAF87" s="204"/>
      <c r="QAG87" s="199"/>
      <c r="QAH87" s="167"/>
      <c r="QAI87" s="199"/>
      <c r="QAJ87" s="200"/>
      <c r="QAK87" s="201"/>
      <c r="QAL87" s="202"/>
      <c r="QAM87" s="202"/>
      <c r="QAN87" s="202"/>
      <c r="QAO87" s="202"/>
      <c r="QAP87" s="203"/>
      <c r="QAQ87" s="204"/>
      <c r="QAR87" s="204"/>
      <c r="QAS87" s="204"/>
      <c r="QAT87" s="205"/>
      <c r="QAU87" s="206"/>
      <c r="QAV87" s="207"/>
      <c r="QAW87" s="207"/>
      <c r="QAX87" s="208"/>
      <c r="QAY87" s="209"/>
      <c r="QAZ87" s="207"/>
      <c r="QBA87" s="210"/>
      <c r="QBB87" s="209"/>
      <c r="QBC87" s="204"/>
      <c r="QBD87" s="204"/>
      <c r="QBE87" s="204"/>
      <c r="QBF87" s="199"/>
      <c r="QBG87" s="167"/>
      <c r="QBH87" s="199"/>
      <c r="QBI87" s="200"/>
      <c r="QBJ87" s="201"/>
      <c r="QBK87" s="202"/>
      <c r="QBL87" s="202"/>
      <c r="QBM87" s="202"/>
      <c r="QBN87" s="202"/>
      <c r="QBO87" s="203"/>
      <c r="QBP87" s="204"/>
      <c r="QBQ87" s="204"/>
      <c r="QBR87" s="204"/>
      <c r="QBS87" s="205"/>
      <c r="QBT87" s="206"/>
      <c r="QBU87" s="207"/>
      <c r="QBV87" s="207"/>
      <c r="QBW87" s="208"/>
      <c r="QBX87" s="209"/>
      <c r="QBY87" s="207"/>
      <c r="QBZ87" s="210"/>
      <c r="QCA87" s="209"/>
      <c r="QCB87" s="204"/>
      <c r="QCC87" s="204"/>
      <c r="QCD87" s="204"/>
      <c r="QCE87" s="199"/>
      <c r="QCF87" s="167"/>
      <c r="QCG87" s="199"/>
      <c r="QCH87" s="200"/>
      <c r="QCI87" s="201"/>
      <c r="QCJ87" s="202"/>
      <c r="QCK87" s="202"/>
      <c r="QCL87" s="202"/>
      <c r="QCM87" s="202"/>
      <c r="QCN87" s="203"/>
      <c r="QCO87" s="204"/>
      <c r="QCP87" s="204"/>
      <c r="QCQ87" s="204"/>
      <c r="QCR87" s="205"/>
      <c r="QCS87" s="206"/>
      <c r="QCT87" s="207"/>
      <c r="QCU87" s="207"/>
      <c r="QCV87" s="208"/>
      <c r="QCW87" s="209"/>
      <c r="QCX87" s="207"/>
      <c r="QCY87" s="210"/>
      <c r="QCZ87" s="209"/>
      <c r="QDA87" s="204"/>
      <c r="QDB87" s="204"/>
      <c r="QDC87" s="204"/>
      <c r="QDD87" s="199"/>
      <c r="QDE87" s="167"/>
      <c r="QDF87" s="199"/>
      <c r="QDG87" s="200"/>
      <c r="QDH87" s="201"/>
      <c r="QDI87" s="202"/>
      <c r="QDJ87" s="202"/>
      <c r="QDK87" s="202"/>
      <c r="QDL87" s="202"/>
      <c r="QDM87" s="203"/>
      <c r="QDN87" s="204"/>
      <c r="QDO87" s="204"/>
      <c r="QDP87" s="204"/>
      <c r="QDQ87" s="205"/>
      <c r="QDR87" s="206"/>
      <c r="QDS87" s="207"/>
      <c r="QDT87" s="207"/>
      <c r="QDU87" s="208"/>
      <c r="QDV87" s="209"/>
      <c r="QDW87" s="207"/>
      <c r="QDX87" s="210"/>
      <c r="QDY87" s="209"/>
      <c r="QDZ87" s="204"/>
      <c r="QEA87" s="204"/>
      <c r="QEB87" s="204"/>
      <c r="QEC87" s="199"/>
      <c r="QED87" s="167"/>
      <c r="QEE87" s="199"/>
      <c r="QEF87" s="200"/>
      <c r="QEG87" s="201"/>
      <c r="QEH87" s="202"/>
      <c r="QEI87" s="202"/>
      <c r="QEJ87" s="202"/>
      <c r="QEK87" s="202"/>
      <c r="QEL87" s="203"/>
      <c r="QEM87" s="204"/>
      <c r="QEN87" s="204"/>
      <c r="QEO87" s="204"/>
      <c r="QEP87" s="205"/>
      <c r="QEQ87" s="206"/>
      <c r="QER87" s="207"/>
      <c r="QES87" s="207"/>
      <c r="QET87" s="208"/>
      <c r="QEU87" s="209"/>
      <c r="QEV87" s="207"/>
      <c r="QEW87" s="210"/>
      <c r="QEX87" s="209"/>
      <c r="QEY87" s="204"/>
      <c r="QEZ87" s="204"/>
      <c r="QFA87" s="204"/>
      <c r="QFB87" s="199"/>
      <c r="QFC87" s="167"/>
      <c r="QFD87" s="199"/>
      <c r="QFE87" s="200"/>
      <c r="QFF87" s="201"/>
      <c r="QFG87" s="202"/>
      <c r="QFH87" s="202"/>
      <c r="QFI87" s="202"/>
      <c r="QFJ87" s="202"/>
      <c r="QFK87" s="203"/>
      <c r="QFL87" s="204"/>
      <c r="QFM87" s="204"/>
      <c r="QFN87" s="204"/>
      <c r="QFO87" s="205"/>
      <c r="QFP87" s="206"/>
      <c r="QFQ87" s="207"/>
      <c r="QFR87" s="207"/>
      <c r="QFS87" s="208"/>
      <c r="QFT87" s="209"/>
      <c r="QFU87" s="207"/>
      <c r="QFV87" s="210"/>
      <c r="QFW87" s="209"/>
      <c r="QFX87" s="204"/>
      <c r="QFY87" s="204"/>
      <c r="QFZ87" s="204"/>
      <c r="QGA87" s="199"/>
      <c r="QGB87" s="167"/>
      <c r="QGC87" s="199"/>
      <c r="QGD87" s="200"/>
      <c r="QGE87" s="201"/>
      <c r="QGF87" s="202"/>
      <c r="QGG87" s="202"/>
      <c r="QGH87" s="202"/>
      <c r="QGI87" s="202"/>
      <c r="QGJ87" s="203"/>
      <c r="QGK87" s="204"/>
      <c r="QGL87" s="204"/>
      <c r="QGM87" s="204"/>
      <c r="QGN87" s="205"/>
      <c r="QGO87" s="206"/>
      <c r="QGP87" s="207"/>
      <c r="QGQ87" s="207"/>
      <c r="QGR87" s="208"/>
      <c r="QGS87" s="209"/>
      <c r="QGT87" s="207"/>
      <c r="QGU87" s="210"/>
      <c r="QGV87" s="209"/>
      <c r="QGW87" s="204"/>
      <c r="QGX87" s="204"/>
      <c r="QGY87" s="204"/>
      <c r="QGZ87" s="199"/>
      <c r="QHA87" s="167"/>
      <c r="QHB87" s="199"/>
      <c r="QHC87" s="200"/>
      <c r="QHD87" s="201"/>
      <c r="QHE87" s="202"/>
      <c r="QHF87" s="202"/>
      <c r="QHG87" s="202"/>
      <c r="QHH87" s="202"/>
      <c r="QHI87" s="203"/>
      <c r="QHJ87" s="204"/>
      <c r="QHK87" s="204"/>
      <c r="QHL87" s="204"/>
      <c r="QHM87" s="205"/>
      <c r="QHN87" s="206"/>
      <c r="QHO87" s="207"/>
      <c r="QHP87" s="207"/>
      <c r="QHQ87" s="208"/>
      <c r="QHR87" s="209"/>
      <c r="QHS87" s="207"/>
      <c r="QHT87" s="210"/>
      <c r="QHU87" s="209"/>
      <c r="QHV87" s="204"/>
      <c r="QHW87" s="204"/>
      <c r="QHX87" s="204"/>
      <c r="QHY87" s="199"/>
      <c r="QHZ87" s="167"/>
      <c r="QIA87" s="199"/>
      <c r="QIB87" s="200"/>
      <c r="QIC87" s="201"/>
      <c r="QID87" s="202"/>
      <c r="QIE87" s="202"/>
      <c r="QIF87" s="202"/>
      <c r="QIG87" s="202"/>
      <c r="QIH87" s="203"/>
      <c r="QII87" s="204"/>
      <c r="QIJ87" s="204"/>
      <c r="QIK87" s="204"/>
      <c r="QIL87" s="205"/>
      <c r="QIM87" s="206"/>
      <c r="QIN87" s="207"/>
      <c r="QIO87" s="207"/>
      <c r="QIP87" s="208"/>
      <c r="QIQ87" s="209"/>
      <c r="QIR87" s="207"/>
      <c r="QIS87" s="210"/>
      <c r="QIT87" s="209"/>
      <c r="QIU87" s="204"/>
      <c r="QIV87" s="204"/>
      <c r="QIW87" s="204"/>
      <c r="QIX87" s="199"/>
      <c r="QIY87" s="167"/>
      <c r="QIZ87" s="199"/>
      <c r="QJA87" s="200"/>
      <c r="QJB87" s="201"/>
      <c r="QJC87" s="202"/>
      <c r="QJD87" s="202"/>
      <c r="QJE87" s="202"/>
      <c r="QJF87" s="202"/>
      <c r="QJG87" s="203"/>
      <c r="QJH87" s="204"/>
      <c r="QJI87" s="204"/>
      <c r="QJJ87" s="204"/>
      <c r="QJK87" s="205"/>
      <c r="QJL87" s="206"/>
      <c r="QJM87" s="207"/>
      <c r="QJN87" s="207"/>
      <c r="QJO87" s="208"/>
      <c r="QJP87" s="209"/>
      <c r="QJQ87" s="207"/>
      <c r="QJR87" s="210"/>
      <c r="QJS87" s="209"/>
      <c r="QJT87" s="204"/>
      <c r="QJU87" s="204"/>
      <c r="QJV87" s="204"/>
      <c r="QJW87" s="199"/>
      <c r="QJX87" s="167"/>
      <c r="QJY87" s="199"/>
      <c r="QJZ87" s="200"/>
      <c r="QKA87" s="201"/>
      <c r="QKB87" s="202"/>
      <c r="QKC87" s="202"/>
      <c r="QKD87" s="202"/>
      <c r="QKE87" s="202"/>
      <c r="QKF87" s="203"/>
      <c r="QKG87" s="204"/>
      <c r="QKH87" s="204"/>
      <c r="QKI87" s="204"/>
      <c r="QKJ87" s="205"/>
      <c r="QKK87" s="206"/>
      <c r="QKL87" s="207"/>
      <c r="QKM87" s="207"/>
      <c r="QKN87" s="208"/>
      <c r="QKO87" s="209"/>
      <c r="QKP87" s="207"/>
      <c r="QKQ87" s="210"/>
      <c r="QKR87" s="209"/>
      <c r="QKS87" s="204"/>
      <c r="QKT87" s="204"/>
      <c r="QKU87" s="204"/>
      <c r="QKV87" s="199"/>
      <c r="QKW87" s="167"/>
      <c r="QKX87" s="199"/>
      <c r="QKY87" s="200"/>
      <c r="QKZ87" s="201"/>
      <c r="QLA87" s="202"/>
      <c r="QLB87" s="202"/>
      <c r="QLC87" s="202"/>
      <c r="QLD87" s="202"/>
      <c r="QLE87" s="203"/>
      <c r="QLF87" s="204"/>
      <c r="QLG87" s="204"/>
      <c r="QLH87" s="204"/>
      <c r="QLI87" s="205"/>
      <c r="QLJ87" s="206"/>
      <c r="QLK87" s="207"/>
      <c r="QLL87" s="207"/>
      <c r="QLM87" s="208"/>
      <c r="QLN87" s="209"/>
      <c r="QLO87" s="207"/>
      <c r="QLP87" s="210"/>
      <c r="QLQ87" s="209"/>
      <c r="QLR87" s="204"/>
      <c r="QLS87" s="204"/>
      <c r="QLT87" s="204"/>
      <c r="QLU87" s="199"/>
      <c r="QLV87" s="167"/>
      <c r="QLW87" s="199"/>
      <c r="QLX87" s="200"/>
      <c r="QLY87" s="201"/>
      <c r="QLZ87" s="202"/>
      <c r="QMA87" s="202"/>
      <c r="QMB87" s="202"/>
      <c r="QMC87" s="202"/>
      <c r="QMD87" s="203"/>
      <c r="QME87" s="204"/>
      <c r="QMF87" s="204"/>
      <c r="QMG87" s="204"/>
      <c r="QMH87" s="205"/>
      <c r="QMI87" s="206"/>
      <c r="QMJ87" s="207"/>
      <c r="QMK87" s="207"/>
      <c r="QML87" s="208"/>
      <c r="QMM87" s="209"/>
      <c r="QMN87" s="207"/>
      <c r="QMO87" s="210"/>
      <c r="QMP87" s="209"/>
      <c r="QMQ87" s="204"/>
      <c r="QMR87" s="204"/>
      <c r="QMS87" s="204"/>
      <c r="QMT87" s="199"/>
      <c r="QMU87" s="167"/>
      <c r="QMV87" s="199"/>
      <c r="QMW87" s="200"/>
      <c r="QMX87" s="201"/>
      <c r="QMY87" s="202"/>
      <c r="QMZ87" s="202"/>
      <c r="QNA87" s="202"/>
      <c r="QNB87" s="202"/>
      <c r="QNC87" s="203"/>
      <c r="QND87" s="204"/>
      <c r="QNE87" s="204"/>
      <c r="QNF87" s="204"/>
      <c r="QNG87" s="205"/>
      <c r="QNH87" s="206"/>
      <c r="QNI87" s="207"/>
      <c r="QNJ87" s="207"/>
      <c r="QNK87" s="208"/>
      <c r="QNL87" s="209"/>
      <c r="QNM87" s="207"/>
      <c r="QNN87" s="210"/>
      <c r="QNO87" s="209"/>
      <c r="QNP87" s="204"/>
      <c r="QNQ87" s="204"/>
      <c r="QNR87" s="204"/>
      <c r="QNS87" s="199"/>
      <c r="QNT87" s="167"/>
      <c r="QNU87" s="199"/>
      <c r="QNV87" s="200"/>
      <c r="QNW87" s="201"/>
      <c r="QNX87" s="202"/>
      <c r="QNY87" s="202"/>
      <c r="QNZ87" s="202"/>
      <c r="QOA87" s="202"/>
      <c r="QOB87" s="203"/>
      <c r="QOC87" s="204"/>
      <c r="QOD87" s="204"/>
      <c r="QOE87" s="204"/>
      <c r="QOF87" s="205"/>
      <c r="QOG87" s="206"/>
      <c r="QOH87" s="207"/>
      <c r="QOI87" s="207"/>
      <c r="QOJ87" s="208"/>
      <c r="QOK87" s="209"/>
      <c r="QOL87" s="207"/>
      <c r="QOM87" s="210"/>
      <c r="QON87" s="209"/>
      <c r="QOO87" s="204"/>
      <c r="QOP87" s="204"/>
      <c r="QOQ87" s="204"/>
      <c r="QOR87" s="199"/>
      <c r="QOS87" s="167"/>
      <c r="QOT87" s="199"/>
      <c r="QOU87" s="200"/>
      <c r="QOV87" s="201"/>
      <c r="QOW87" s="202"/>
      <c r="QOX87" s="202"/>
      <c r="QOY87" s="202"/>
      <c r="QOZ87" s="202"/>
      <c r="QPA87" s="203"/>
      <c r="QPB87" s="204"/>
      <c r="QPC87" s="204"/>
      <c r="QPD87" s="204"/>
      <c r="QPE87" s="205"/>
      <c r="QPF87" s="206"/>
      <c r="QPG87" s="207"/>
      <c r="QPH87" s="207"/>
      <c r="QPI87" s="208"/>
      <c r="QPJ87" s="209"/>
      <c r="QPK87" s="207"/>
      <c r="QPL87" s="210"/>
      <c r="QPM87" s="209"/>
      <c r="QPN87" s="204"/>
      <c r="QPO87" s="204"/>
      <c r="QPP87" s="204"/>
      <c r="QPQ87" s="199"/>
      <c r="QPR87" s="167"/>
      <c r="QPS87" s="199"/>
      <c r="QPT87" s="200"/>
      <c r="QPU87" s="201"/>
      <c r="QPV87" s="202"/>
      <c r="QPW87" s="202"/>
      <c r="QPX87" s="202"/>
      <c r="QPY87" s="202"/>
      <c r="QPZ87" s="203"/>
      <c r="QQA87" s="204"/>
      <c r="QQB87" s="204"/>
      <c r="QQC87" s="204"/>
      <c r="QQD87" s="205"/>
      <c r="QQE87" s="206"/>
      <c r="QQF87" s="207"/>
      <c r="QQG87" s="207"/>
      <c r="QQH87" s="208"/>
      <c r="QQI87" s="209"/>
      <c r="QQJ87" s="207"/>
      <c r="QQK87" s="210"/>
      <c r="QQL87" s="209"/>
      <c r="QQM87" s="204"/>
      <c r="QQN87" s="204"/>
      <c r="QQO87" s="204"/>
      <c r="QQP87" s="199"/>
      <c r="QQQ87" s="167"/>
      <c r="QQR87" s="199"/>
      <c r="QQS87" s="200"/>
      <c r="QQT87" s="201"/>
      <c r="QQU87" s="202"/>
      <c r="QQV87" s="202"/>
      <c r="QQW87" s="202"/>
      <c r="QQX87" s="202"/>
      <c r="QQY87" s="203"/>
      <c r="QQZ87" s="204"/>
      <c r="QRA87" s="204"/>
      <c r="QRB87" s="204"/>
      <c r="QRC87" s="205"/>
      <c r="QRD87" s="206"/>
      <c r="QRE87" s="207"/>
      <c r="QRF87" s="207"/>
      <c r="QRG87" s="208"/>
      <c r="QRH87" s="209"/>
      <c r="QRI87" s="207"/>
      <c r="QRJ87" s="210"/>
      <c r="QRK87" s="209"/>
      <c r="QRL87" s="204"/>
      <c r="QRM87" s="204"/>
      <c r="QRN87" s="204"/>
      <c r="QRO87" s="199"/>
      <c r="QRP87" s="167"/>
      <c r="QRQ87" s="199"/>
      <c r="QRR87" s="200"/>
      <c r="QRS87" s="201"/>
      <c r="QRT87" s="202"/>
      <c r="QRU87" s="202"/>
      <c r="QRV87" s="202"/>
      <c r="QRW87" s="202"/>
      <c r="QRX87" s="203"/>
      <c r="QRY87" s="204"/>
      <c r="QRZ87" s="204"/>
      <c r="QSA87" s="204"/>
      <c r="QSB87" s="205"/>
      <c r="QSC87" s="206"/>
      <c r="QSD87" s="207"/>
      <c r="QSE87" s="207"/>
      <c r="QSF87" s="208"/>
      <c r="QSG87" s="209"/>
      <c r="QSH87" s="207"/>
      <c r="QSI87" s="210"/>
      <c r="QSJ87" s="209"/>
      <c r="QSK87" s="204"/>
      <c r="QSL87" s="204"/>
      <c r="QSM87" s="204"/>
      <c r="QSN87" s="199"/>
      <c r="QSO87" s="167"/>
      <c r="QSP87" s="199"/>
      <c r="QSQ87" s="200"/>
      <c r="QSR87" s="201"/>
      <c r="QSS87" s="202"/>
      <c r="QST87" s="202"/>
      <c r="QSU87" s="202"/>
      <c r="QSV87" s="202"/>
      <c r="QSW87" s="203"/>
      <c r="QSX87" s="204"/>
      <c r="QSY87" s="204"/>
      <c r="QSZ87" s="204"/>
      <c r="QTA87" s="205"/>
      <c r="QTB87" s="206"/>
      <c r="QTC87" s="207"/>
      <c r="QTD87" s="207"/>
      <c r="QTE87" s="208"/>
      <c r="QTF87" s="209"/>
      <c r="QTG87" s="207"/>
      <c r="QTH87" s="210"/>
      <c r="QTI87" s="209"/>
      <c r="QTJ87" s="204"/>
      <c r="QTK87" s="204"/>
      <c r="QTL87" s="204"/>
      <c r="QTM87" s="199"/>
      <c r="QTN87" s="167"/>
      <c r="QTO87" s="199"/>
      <c r="QTP87" s="200"/>
      <c r="QTQ87" s="201"/>
      <c r="QTR87" s="202"/>
      <c r="QTS87" s="202"/>
      <c r="QTT87" s="202"/>
      <c r="QTU87" s="202"/>
      <c r="QTV87" s="203"/>
      <c r="QTW87" s="204"/>
      <c r="QTX87" s="204"/>
      <c r="QTY87" s="204"/>
      <c r="QTZ87" s="205"/>
      <c r="QUA87" s="206"/>
      <c r="QUB87" s="207"/>
      <c r="QUC87" s="207"/>
      <c r="QUD87" s="208"/>
      <c r="QUE87" s="209"/>
      <c r="QUF87" s="207"/>
      <c r="QUG87" s="210"/>
      <c r="QUH87" s="209"/>
      <c r="QUI87" s="204"/>
      <c r="QUJ87" s="204"/>
      <c r="QUK87" s="204"/>
      <c r="QUL87" s="199"/>
      <c r="QUM87" s="167"/>
      <c r="QUN87" s="199"/>
      <c r="QUO87" s="200"/>
      <c r="QUP87" s="201"/>
      <c r="QUQ87" s="202"/>
      <c r="QUR87" s="202"/>
      <c r="QUS87" s="202"/>
      <c r="QUT87" s="202"/>
      <c r="QUU87" s="203"/>
      <c r="QUV87" s="204"/>
      <c r="QUW87" s="204"/>
      <c r="QUX87" s="204"/>
      <c r="QUY87" s="205"/>
      <c r="QUZ87" s="206"/>
      <c r="QVA87" s="207"/>
      <c r="QVB87" s="207"/>
      <c r="QVC87" s="208"/>
      <c r="QVD87" s="209"/>
      <c r="QVE87" s="207"/>
      <c r="QVF87" s="210"/>
      <c r="QVG87" s="209"/>
      <c r="QVH87" s="204"/>
      <c r="QVI87" s="204"/>
      <c r="QVJ87" s="204"/>
      <c r="QVK87" s="199"/>
      <c r="QVL87" s="167"/>
      <c r="QVM87" s="199"/>
      <c r="QVN87" s="200"/>
      <c r="QVO87" s="201"/>
      <c r="QVP87" s="202"/>
      <c r="QVQ87" s="202"/>
      <c r="QVR87" s="202"/>
      <c r="QVS87" s="202"/>
      <c r="QVT87" s="203"/>
      <c r="QVU87" s="204"/>
      <c r="QVV87" s="204"/>
      <c r="QVW87" s="204"/>
      <c r="QVX87" s="205"/>
      <c r="QVY87" s="206"/>
      <c r="QVZ87" s="207"/>
      <c r="QWA87" s="207"/>
      <c r="QWB87" s="208"/>
      <c r="QWC87" s="209"/>
      <c r="QWD87" s="207"/>
      <c r="QWE87" s="210"/>
      <c r="QWF87" s="209"/>
      <c r="QWG87" s="204"/>
      <c r="QWH87" s="204"/>
      <c r="QWI87" s="204"/>
      <c r="QWJ87" s="199"/>
      <c r="QWK87" s="167"/>
      <c r="QWL87" s="199"/>
      <c r="QWM87" s="200"/>
      <c r="QWN87" s="201"/>
      <c r="QWO87" s="202"/>
      <c r="QWP87" s="202"/>
      <c r="QWQ87" s="202"/>
      <c r="QWR87" s="202"/>
      <c r="QWS87" s="203"/>
      <c r="QWT87" s="204"/>
      <c r="QWU87" s="204"/>
      <c r="QWV87" s="204"/>
      <c r="QWW87" s="205"/>
      <c r="QWX87" s="206"/>
      <c r="QWY87" s="207"/>
      <c r="QWZ87" s="207"/>
      <c r="QXA87" s="208"/>
      <c r="QXB87" s="209"/>
      <c r="QXC87" s="207"/>
      <c r="QXD87" s="210"/>
      <c r="QXE87" s="209"/>
      <c r="QXF87" s="204"/>
      <c r="QXG87" s="204"/>
      <c r="QXH87" s="204"/>
      <c r="QXI87" s="199"/>
      <c r="QXJ87" s="167"/>
      <c r="QXK87" s="199"/>
      <c r="QXL87" s="200"/>
      <c r="QXM87" s="201"/>
      <c r="QXN87" s="202"/>
      <c r="QXO87" s="202"/>
      <c r="QXP87" s="202"/>
      <c r="QXQ87" s="202"/>
      <c r="QXR87" s="203"/>
      <c r="QXS87" s="204"/>
      <c r="QXT87" s="204"/>
      <c r="QXU87" s="204"/>
      <c r="QXV87" s="205"/>
      <c r="QXW87" s="206"/>
      <c r="QXX87" s="207"/>
      <c r="QXY87" s="207"/>
      <c r="QXZ87" s="208"/>
      <c r="QYA87" s="209"/>
      <c r="QYB87" s="207"/>
      <c r="QYC87" s="210"/>
      <c r="QYD87" s="209"/>
      <c r="QYE87" s="204"/>
      <c r="QYF87" s="204"/>
      <c r="QYG87" s="204"/>
      <c r="QYH87" s="199"/>
      <c r="QYI87" s="167"/>
      <c r="QYJ87" s="199"/>
      <c r="QYK87" s="200"/>
      <c r="QYL87" s="201"/>
      <c r="QYM87" s="202"/>
      <c r="QYN87" s="202"/>
      <c r="QYO87" s="202"/>
      <c r="QYP87" s="202"/>
      <c r="QYQ87" s="203"/>
      <c r="QYR87" s="204"/>
      <c r="QYS87" s="204"/>
      <c r="QYT87" s="204"/>
      <c r="QYU87" s="205"/>
      <c r="QYV87" s="206"/>
      <c r="QYW87" s="207"/>
      <c r="QYX87" s="207"/>
      <c r="QYY87" s="208"/>
      <c r="QYZ87" s="209"/>
      <c r="QZA87" s="207"/>
      <c r="QZB87" s="210"/>
      <c r="QZC87" s="209"/>
      <c r="QZD87" s="204"/>
      <c r="QZE87" s="204"/>
      <c r="QZF87" s="204"/>
      <c r="QZG87" s="199"/>
      <c r="QZH87" s="167"/>
      <c r="QZI87" s="199"/>
      <c r="QZJ87" s="200"/>
      <c r="QZK87" s="201"/>
      <c r="QZL87" s="202"/>
      <c r="QZM87" s="202"/>
      <c r="QZN87" s="202"/>
      <c r="QZO87" s="202"/>
      <c r="QZP87" s="203"/>
      <c r="QZQ87" s="204"/>
      <c r="QZR87" s="204"/>
      <c r="QZS87" s="204"/>
      <c r="QZT87" s="205"/>
      <c r="QZU87" s="206"/>
      <c r="QZV87" s="207"/>
      <c r="QZW87" s="207"/>
      <c r="QZX87" s="208"/>
      <c r="QZY87" s="209"/>
      <c r="QZZ87" s="207"/>
      <c r="RAA87" s="210"/>
      <c r="RAB87" s="209"/>
      <c r="RAC87" s="204"/>
      <c r="RAD87" s="204"/>
      <c r="RAE87" s="204"/>
      <c r="RAF87" s="199"/>
      <c r="RAG87" s="167"/>
      <c r="RAH87" s="199"/>
      <c r="RAI87" s="200"/>
      <c r="RAJ87" s="201"/>
      <c r="RAK87" s="202"/>
      <c r="RAL87" s="202"/>
      <c r="RAM87" s="202"/>
      <c r="RAN87" s="202"/>
      <c r="RAO87" s="203"/>
      <c r="RAP87" s="204"/>
      <c r="RAQ87" s="204"/>
      <c r="RAR87" s="204"/>
      <c r="RAS87" s="205"/>
      <c r="RAT87" s="206"/>
      <c r="RAU87" s="207"/>
      <c r="RAV87" s="207"/>
      <c r="RAW87" s="208"/>
      <c r="RAX87" s="209"/>
      <c r="RAY87" s="207"/>
      <c r="RAZ87" s="210"/>
      <c r="RBA87" s="209"/>
      <c r="RBB87" s="204"/>
      <c r="RBC87" s="204"/>
      <c r="RBD87" s="204"/>
      <c r="RBE87" s="199"/>
      <c r="RBF87" s="167"/>
      <c r="RBG87" s="199"/>
      <c r="RBH87" s="200"/>
      <c r="RBI87" s="201"/>
      <c r="RBJ87" s="202"/>
      <c r="RBK87" s="202"/>
      <c r="RBL87" s="202"/>
      <c r="RBM87" s="202"/>
      <c r="RBN87" s="203"/>
      <c r="RBO87" s="204"/>
      <c r="RBP87" s="204"/>
      <c r="RBQ87" s="204"/>
      <c r="RBR87" s="205"/>
      <c r="RBS87" s="206"/>
      <c r="RBT87" s="207"/>
      <c r="RBU87" s="207"/>
      <c r="RBV87" s="208"/>
      <c r="RBW87" s="209"/>
      <c r="RBX87" s="207"/>
      <c r="RBY87" s="210"/>
      <c r="RBZ87" s="209"/>
      <c r="RCA87" s="204"/>
      <c r="RCB87" s="204"/>
      <c r="RCC87" s="204"/>
      <c r="RCD87" s="199"/>
      <c r="RCE87" s="167"/>
      <c r="RCF87" s="199"/>
      <c r="RCG87" s="200"/>
      <c r="RCH87" s="201"/>
      <c r="RCI87" s="202"/>
      <c r="RCJ87" s="202"/>
      <c r="RCK87" s="202"/>
      <c r="RCL87" s="202"/>
      <c r="RCM87" s="203"/>
      <c r="RCN87" s="204"/>
      <c r="RCO87" s="204"/>
      <c r="RCP87" s="204"/>
      <c r="RCQ87" s="205"/>
      <c r="RCR87" s="206"/>
      <c r="RCS87" s="207"/>
      <c r="RCT87" s="207"/>
      <c r="RCU87" s="208"/>
      <c r="RCV87" s="209"/>
      <c r="RCW87" s="207"/>
      <c r="RCX87" s="210"/>
      <c r="RCY87" s="209"/>
      <c r="RCZ87" s="204"/>
      <c r="RDA87" s="204"/>
      <c r="RDB87" s="204"/>
      <c r="RDC87" s="199"/>
      <c r="RDD87" s="167"/>
      <c r="RDE87" s="199"/>
      <c r="RDF87" s="200"/>
      <c r="RDG87" s="201"/>
      <c r="RDH87" s="202"/>
      <c r="RDI87" s="202"/>
      <c r="RDJ87" s="202"/>
      <c r="RDK87" s="202"/>
      <c r="RDL87" s="203"/>
      <c r="RDM87" s="204"/>
      <c r="RDN87" s="204"/>
      <c r="RDO87" s="204"/>
      <c r="RDP87" s="205"/>
      <c r="RDQ87" s="206"/>
      <c r="RDR87" s="207"/>
      <c r="RDS87" s="207"/>
      <c r="RDT87" s="208"/>
      <c r="RDU87" s="209"/>
      <c r="RDV87" s="207"/>
      <c r="RDW87" s="210"/>
      <c r="RDX87" s="209"/>
      <c r="RDY87" s="204"/>
      <c r="RDZ87" s="204"/>
      <c r="REA87" s="204"/>
      <c r="REB87" s="199"/>
      <c r="REC87" s="167"/>
      <c r="RED87" s="199"/>
      <c r="REE87" s="200"/>
      <c r="REF87" s="201"/>
      <c r="REG87" s="202"/>
      <c r="REH87" s="202"/>
      <c r="REI87" s="202"/>
      <c r="REJ87" s="202"/>
      <c r="REK87" s="203"/>
      <c r="REL87" s="204"/>
      <c r="REM87" s="204"/>
      <c r="REN87" s="204"/>
      <c r="REO87" s="205"/>
      <c r="REP87" s="206"/>
      <c r="REQ87" s="207"/>
      <c r="RER87" s="207"/>
      <c r="RES87" s="208"/>
      <c r="RET87" s="209"/>
      <c r="REU87" s="207"/>
      <c r="REV87" s="210"/>
      <c r="REW87" s="209"/>
      <c r="REX87" s="204"/>
      <c r="REY87" s="204"/>
      <c r="REZ87" s="204"/>
      <c r="RFA87" s="199"/>
      <c r="RFB87" s="167"/>
      <c r="RFC87" s="199"/>
      <c r="RFD87" s="200"/>
      <c r="RFE87" s="201"/>
      <c r="RFF87" s="202"/>
      <c r="RFG87" s="202"/>
      <c r="RFH87" s="202"/>
      <c r="RFI87" s="202"/>
      <c r="RFJ87" s="203"/>
      <c r="RFK87" s="204"/>
      <c r="RFL87" s="204"/>
      <c r="RFM87" s="204"/>
      <c r="RFN87" s="205"/>
      <c r="RFO87" s="206"/>
      <c r="RFP87" s="207"/>
      <c r="RFQ87" s="207"/>
      <c r="RFR87" s="208"/>
      <c r="RFS87" s="209"/>
      <c r="RFT87" s="207"/>
      <c r="RFU87" s="210"/>
      <c r="RFV87" s="209"/>
      <c r="RFW87" s="204"/>
      <c r="RFX87" s="204"/>
      <c r="RFY87" s="204"/>
      <c r="RFZ87" s="199"/>
      <c r="RGA87" s="167"/>
      <c r="RGB87" s="199"/>
      <c r="RGC87" s="200"/>
      <c r="RGD87" s="201"/>
      <c r="RGE87" s="202"/>
      <c r="RGF87" s="202"/>
      <c r="RGG87" s="202"/>
      <c r="RGH87" s="202"/>
      <c r="RGI87" s="203"/>
      <c r="RGJ87" s="204"/>
      <c r="RGK87" s="204"/>
      <c r="RGL87" s="204"/>
      <c r="RGM87" s="205"/>
      <c r="RGN87" s="206"/>
      <c r="RGO87" s="207"/>
      <c r="RGP87" s="207"/>
      <c r="RGQ87" s="208"/>
      <c r="RGR87" s="209"/>
      <c r="RGS87" s="207"/>
      <c r="RGT87" s="210"/>
      <c r="RGU87" s="209"/>
      <c r="RGV87" s="204"/>
      <c r="RGW87" s="204"/>
      <c r="RGX87" s="204"/>
      <c r="RGY87" s="199"/>
      <c r="RGZ87" s="167"/>
      <c r="RHA87" s="199"/>
      <c r="RHB87" s="200"/>
      <c r="RHC87" s="201"/>
      <c r="RHD87" s="202"/>
      <c r="RHE87" s="202"/>
      <c r="RHF87" s="202"/>
      <c r="RHG87" s="202"/>
      <c r="RHH87" s="203"/>
      <c r="RHI87" s="204"/>
      <c r="RHJ87" s="204"/>
      <c r="RHK87" s="204"/>
      <c r="RHL87" s="205"/>
      <c r="RHM87" s="206"/>
      <c r="RHN87" s="207"/>
      <c r="RHO87" s="207"/>
      <c r="RHP87" s="208"/>
      <c r="RHQ87" s="209"/>
      <c r="RHR87" s="207"/>
      <c r="RHS87" s="210"/>
      <c r="RHT87" s="209"/>
      <c r="RHU87" s="204"/>
      <c r="RHV87" s="204"/>
      <c r="RHW87" s="204"/>
      <c r="RHX87" s="199"/>
      <c r="RHY87" s="167"/>
      <c r="RHZ87" s="199"/>
      <c r="RIA87" s="200"/>
      <c r="RIB87" s="201"/>
      <c r="RIC87" s="202"/>
      <c r="RID87" s="202"/>
      <c r="RIE87" s="202"/>
      <c r="RIF87" s="202"/>
      <c r="RIG87" s="203"/>
      <c r="RIH87" s="204"/>
      <c r="RII87" s="204"/>
      <c r="RIJ87" s="204"/>
      <c r="RIK87" s="205"/>
      <c r="RIL87" s="206"/>
      <c r="RIM87" s="207"/>
      <c r="RIN87" s="207"/>
      <c r="RIO87" s="208"/>
      <c r="RIP87" s="209"/>
      <c r="RIQ87" s="207"/>
      <c r="RIR87" s="210"/>
      <c r="RIS87" s="209"/>
      <c r="RIT87" s="204"/>
      <c r="RIU87" s="204"/>
      <c r="RIV87" s="204"/>
      <c r="RIW87" s="199"/>
      <c r="RIX87" s="167"/>
      <c r="RIY87" s="199"/>
      <c r="RIZ87" s="200"/>
      <c r="RJA87" s="201"/>
      <c r="RJB87" s="202"/>
      <c r="RJC87" s="202"/>
      <c r="RJD87" s="202"/>
      <c r="RJE87" s="202"/>
      <c r="RJF87" s="203"/>
      <c r="RJG87" s="204"/>
      <c r="RJH87" s="204"/>
      <c r="RJI87" s="204"/>
      <c r="RJJ87" s="205"/>
      <c r="RJK87" s="206"/>
      <c r="RJL87" s="207"/>
      <c r="RJM87" s="207"/>
      <c r="RJN87" s="208"/>
      <c r="RJO87" s="209"/>
      <c r="RJP87" s="207"/>
      <c r="RJQ87" s="210"/>
      <c r="RJR87" s="209"/>
      <c r="RJS87" s="204"/>
      <c r="RJT87" s="204"/>
      <c r="RJU87" s="204"/>
      <c r="RJV87" s="199"/>
      <c r="RJW87" s="167"/>
      <c r="RJX87" s="199"/>
      <c r="RJY87" s="200"/>
      <c r="RJZ87" s="201"/>
      <c r="RKA87" s="202"/>
      <c r="RKB87" s="202"/>
      <c r="RKC87" s="202"/>
      <c r="RKD87" s="202"/>
      <c r="RKE87" s="203"/>
      <c r="RKF87" s="204"/>
      <c r="RKG87" s="204"/>
      <c r="RKH87" s="204"/>
      <c r="RKI87" s="205"/>
      <c r="RKJ87" s="206"/>
      <c r="RKK87" s="207"/>
      <c r="RKL87" s="207"/>
      <c r="RKM87" s="208"/>
      <c r="RKN87" s="209"/>
      <c r="RKO87" s="207"/>
      <c r="RKP87" s="210"/>
      <c r="RKQ87" s="209"/>
      <c r="RKR87" s="204"/>
      <c r="RKS87" s="204"/>
      <c r="RKT87" s="204"/>
      <c r="RKU87" s="199"/>
      <c r="RKV87" s="167"/>
      <c r="RKW87" s="199"/>
      <c r="RKX87" s="200"/>
      <c r="RKY87" s="201"/>
      <c r="RKZ87" s="202"/>
      <c r="RLA87" s="202"/>
      <c r="RLB87" s="202"/>
      <c r="RLC87" s="202"/>
      <c r="RLD87" s="203"/>
      <c r="RLE87" s="204"/>
      <c r="RLF87" s="204"/>
      <c r="RLG87" s="204"/>
      <c r="RLH87" s="205"/>
      <c r="RLI87" s="206"/>
      <c r="RLJ87" s="207"/>
      <c r="RLK87" s="207"/>
      <c r="RLL87" s="208"/>
      <c r="RLM87" s="209"/>
      <c r="RLN87" s="207"/>
      <c r="RLO87" s="210"/>
      <c r="RLP87" s="209"/>
      <c r="RLQ87" s="204"/>
      <c r="RLR87" s="204"/>
      <c r="RLS87" s="204"/>
      <c r="RLT87" s="199"/>
      <c r="RLU87" s="167"/>
      <c r="RLV87" s="199"/>
      <c r="RLW87" s="200"/>
      <c r="RLX87" s="201"/>
      <c r="RLY87" s="202"/>
      <c r="RLZ87" s="202"/>
      <c r="RMA87" s="202"/>
      <c r="RMB87" s="202"/>
      <c r="RMC87" s="203"/>
      <c r="RMD87" s="204"/>
      <c r="RME87" s="204"/>
      <c r="RMF87" s="204"/>
      <c r="RMG87" s="205"/>
      <c r="RMH87" s="206"/>
      <c r="RMI87" s="207"/>
      <c r="RMJ87" s="207"/>
      <c r="RMK87" s="208"/>
      <c r="RML87" s="209"/>
      <c r="RMM87" s="207"/>
      <c r="RMN87" s="210"/>
      <c r="RMO87" s="209"/>
      <c r="RMP87" s="204"/>
      <c r="RMQ87" s="204"/>
      <c r="RMR87" s="204"/>
      <c r="RMS87" s="199"/>
      <c r="RMT87" s="167"/>
      <c r="RMU87" s="199"/>
      <c r="RMV87" s="200"/>
      <c r="RMW87" s="201"/>
      <c r="RMX87" s="202"/>
      <c r="RMY87" s="202"/>
      <c r="RMZ87" s="202"/>
      <c r="RNA87" s="202"/>
      <c r="RNB87" s="203"/>
      <c r="RNC87" s="204"/>
      <c r="RND87" s="204"/>
      <c r="RNE87" s="204"/>
      <c r="RNF87" s="205"/>
      <c r="RNG87" s="206"/>
      <c r="RNH87" s="207"/>
      <c r="RNI87" s="207"/>
      <c r="RNJ87" s="208"/>
      <c r="RNK87" s="209"/>
      <c r="RNL87" s="207"/>
      <c r="RNM87" s="210"/>
      <c r="RNN87" s="209"/>
      <c r="RNO87" s="204"/>
      <c r="RNP87" s="204"/>
      <c r="RNQ87" s="204"/>
      <c r="RNR87" s="199"/>
      <c r="RNS87" s="167"/>
      <c r="RNT87" s="199"/>
      <c r="RNU87" s="200"/>
      <c r="RNV87" s="201"/>
      <c r="RNW87" s="202"/>
      <c r="RNX87" s="202"/>
      <c r="RNY87" s="202"/>
      <c r="RNZ87" s="202"/>
      <c r="ROA87" s="203"/>
      <c r="ROB87" s="204"/>
      <c r="ROC87" s="204"/>
      <c r="ROD87" s="204"/>
      <c r="ROE87" s="205"/>
      <c r="ROF87" s="206"/>
      <c r="ROG87" s="207"/>
      <c r="ROH87" s="207"/>
      <c r="ROI87" s="208"/>
      <c r="ROJ87" s="209"/>
      <c r="ROK87" s="207"/>
      <c r="ROL87" s="210"/>
      <c r="ROM87" s="209"/>
      <c r="RON87" s="204"/>
      <c r="ROO87" s="204"/>
      <c r="ROP87" s="204"/>
      <c r="ROQ87" s="199"/>
      <c r="ROR87" s="167"/>
      <c r="ROS87" s="199"/>
      <c r="ROT87" s="200"/>
      <c r="ROU87" s="201"/>
      <c r="ROV87" s="202"/>
      <c r="ROW87" s="202"/>
      <c r="ROX87" s="202"/>
      <c r="ROY87" s="202"/>
      <c r="ROZ87" s="203"/>
      <c r="RPA87" s="204"/>
      <c r="RPB87" s="204"/>
      <c r="RPC87" s="204"/>
      <c r="RPD87" s="205"/>
      <c r="RPE87" s="206"/>
      <c r="RPF87" s="207"/>
      <c r="RPG87" s="207"/>
      <c r="RPH87" s="208"/>
      <c r="RPI87" s="209"/>
      <c r="RPJ87" s="207"/>
      <c r="RPK87" s="210"/>
      <c r="RPL87" s="209"/>
      <c r="RPM87" s="204"/>
      <c r="RPN87" s="204"/>
      <c r="RPO87" s="204"/>
      <c r="RPP87" s="199"/>
      <c r="RPQ87" s="167"/>
      <c r="RPR87" s="199"/>
      <c r="RPS87" s="200"/>
      <c r="RPT87" s="201"/>
      <c r="RPU87" s="202"/>
      <c r="RPV87" s="202"/>
      <c r="RPW87" s="202"/>
      <c r="RPX87" s="202"/>
      <c r="RPY87" s="203"/>
      <c r="RPZ87" s="204"/>
      <c r="RQA87" s="204"/>
      <c r="RQB87" s="204"/>
      <c r="RQC87" s="205"/>
      <c r="RQD87" s="206"/>
      <c r="RQE87" s="207"/>
      <c r="RQF87" s="207"/>
      <c r="RQG87" s="208"/>
      <c r="RQH87" s="209"/>
      <c r="RQI87" s="207"/>
      <c r="RQJ87" s="210"/>
      <c r="RQK87" s="209"/>
      <c r="RQL87" s="204"/>
      <c r="RQM87" s="204"/>
      <c r="RQN87" s="204"/>
      <c r="RQO87" s="199"/>
      <c r="RQP87" s="167"/>
      <c r="RQQ87" s="199"/>
      <c r="RQR87" s="200"/>
      <c r="RQS87" s="201"/>
      <c r="RQT87" s="202"/>
      <c r="RQU87" s="202"/>
      <c r="RQV87" s="202"/>
      <c r="RQW87" s="202"/>
      <c r="RQX87" s="203"/>
      <c r="RQY87" s="204"/>
      <c r="RQZ87" s="204"/>
      <c r="RRA87" s="204"/>
      <c r="RRB87" s="205"/>
      <c r="RRC87" s="206"/>
      <c r="RRD87" s="207"/>
      <c r="RRE87" s="207"/>
      <c r="RRF87" s="208"/>
      <c r="RRG87" s="209"/>
      <c r="RRH87" s="207"/>
      <c r="RRI87" s="210"/>
      <c r="RRJ87" s="209"/>
      <c r="RRK87" s="204"/>
      <c r="RRL87" s="204"/>
      <c r="RRM87" s="204"/>
      <c r="RRN87" s="199"/>
      <c r="RRO87" s="167"/>
      <c r="RRP87" s="199"/>
      <c r="RRQ87" s="200"/>
      <c r="RRR87" s="201"/>
      <c r="RRS87" s="202"/>
      <c r="RRT87" s="202"/>
      <c r="RRU87" s="202"/>
      <c r="RRV87" s="202"/>
      <c r="RRW87" s="203"/>
      <c r="RRX87" s="204"/>
      <c r="RRY87" s="204"/>
      <c r="RRZ87" s="204"/>
      <c r="RSA87" s="205"/>
      <c r="RSB87" s="206"/>
      <c r="RSC87" s="207"/>
      <c r="RSD87" s="207"/>
      <c r="RSE87" s="208"/>
      <c r="RSF87" s="209"/>
      <c r="RSG87" s="207"/>
      <c r="RSH87" s="210"/>
      <c r="RSI87" s="209"/>
      <c r="RSJ87" s="204"/>
      <c r="RSK87" s="204"/>
      <c r="RSL87" s="204"/>
      <c r="RSM87" s="199"/>
      <c r="RSN87" s="167"/>
      <c r="RSO87" s="199"/>
      <c r="RSP87" s="200"/>
      <c r="RSQ87" s="201"/>
      <c r="RSR87" s="202"/>
      <c r="RSS87" s="202"/>
      <c r="RST87" s="202"/>
      <c r="RSU87" s="202"/>
      <c r="RSV87" s="203"/>
      <c r="RSW87" s="204"/>
      <c r="RSX87" s="204"/>
      <c r="RSY87" s="204"/>
      <c r="RSZ87" s="205"/>
      <c r="RTA87" s="206"/>
      <c r="RTB87" s="207"/>
      <c r="RTC87" s="207"/>
      <c r="RTD87" s="208"/>
      <c r="RTE87" s="209"/>
      <c r="RTF87" s="207"/>
      <c r="RTG87" s="210"/>
      <c r="RTH87" s="209"/>
      <c r="RTI87" s="204"/>
      <c r="RTJ87" s="204"/>
      <c r="RTK87" s="204"/>
      <c r="RTL87" s="199"/>
      <c r="RTM87" s="167"/>
      <c r="RTN87" s="199"/>
      <c r="RTO87" s="200"/>
      <c r="RTP87" s="201"/>
      <c r="RTQ87" s="202"/>
      <c r="RTR87" s="202"/>
      <c r="RTS87" s="202"/>
      <c r="RTT87" s="202"/>
      <c r="RTU87" s="203"/>
      <c r="RTV87" s="204"/>
      <c r="RTW87" s="204"/>
      <c r="RTX87" s="204"/>
      <c r="RTY87" s="205"/>
      <c r="RTZ87" s="206"/>
      <c r="RUA87" s="207"/>
      <c r="RUB87" s="207"/>
      <c r="RUC87" s="208"/>
      <c r="RUD87" s="209"/>
      <c r="RUE87" s="207"/>
      <c r="RUF87" s="210"/>
      <c r="RUG87" s="209"/>
      <c r="RUH87" s="204"/>
      <c r="RUI87" s="204"/>
      <c r="RUJ87" s="204"/>
      <c r="RUK87" s="199"/>
      <c r="RUL87" s="167"/>
      <c r="RUM87" s="199"/>
      <c r="RUN87" s="200"/>
      <c r="RUO87" s="201"/>
      <c r="RUP87" s="202"/>
      <c r="RUQ87" s="202"/>
      <c r="RUR87" s="202"/>
      <c r="RUS87" s="202"/>
      <c r="RUT87" s="203"/>
      <c r="RUU87" s="204"/>
      <c r="RUV87" s="204"/>
      <c r="RUW87" s="204"/>
      <c r="RUX87" s="205"/>
      <c r="RUY87" s="206"/>
      <c r="RUZ87" s="207"/>
      <c r="RVA87" s="207"/>
      <c r="RVB87" s="208"/>
      <c r="RVC87" s="209"/>
      <c r="RVD87" s="207"/>
      <c r="RVE87" s="210"/>
      <c r="RVF87" s="209"/>
      <c r="RVG87" s="204"/>
      <c r="RVH87" s="204"/>
      <c r="RVI87" s="204"/>
      <c r="RVJ87" s="199"/>
      <c r="RVK87" s="167"/>
      <c r="RVL87" s="199"/>
      <c r="RVM87" s="200"/>
      <c r="RVN87" s="201"/>
      <c r="RVO87" s="202"/>
      <c r="RVP87" s="202"/>
      <c r="RVQ87" s="202"/>
      <c r="RVR87" s="202"/>
      <c r="RVS87" s="203"/>
      <c r="RVT87" s="204"/>
      <c r="RVU87" s="204"/>
      <c r="RVV87" s="204"/>
      <c r="RVW87" s="205"/>
      <c r="RVX87" s="206"/>
      <c r="RVY87" s="207"/>
      <c r="RVZ87" s="207"/>
      <c r="RWA87" s="208"/>
      <c r="RWB87" s="209"/>
      <c r="RWC87" s="207"/>
      <c r="RWD87" s="210"/>
      <c r="RWE87" s="209"/>
      <c r="RWF87" s="204"/>
      <c r="RWG87" s="204"/>
      <c r="RWH87" s="204"/>
      <c r="RWI87" s="199"/>
      <c r="RWJ87" s="167"/>
      <c r="RWK87" s="199"/>
      <c r="RWL87" s="200"/>
      <c r="RWM87" s="201"/>
      <c r="RWN87" s="202"/>
      <c r="RWO87" s="202"/>
      <c r="RWP87" s="202"/>
      <c r="RWQ87" s="202"/>
      <c r="RWR87" s="203"/>
      <c r="RWS87" s="204"/>
      <c r="RWT87" s="204"/>
      <c r="RWU87" s="204"/>
      <c r="RWV87" s="205"/>
      <c r="RWW87" s="206"/>
      <c r="RWX87" s="207"/>
      <c r="RWY87" s="207"/>
      <c r="RWZ87" s="208"/>
      <c r="RXA87" s="209"/>
      <c r="RXB87" s="207"/>
      <c r="RXC87" s="210"/>
      <c r="RXD87" s="209"/>
      <c r="RXE87" s="204"/>
      <c r="RXF87" s="204"/>
      <c r="RXG87" s="204"/>
      <c r="RXH87" s="199"/>
      <c r="RXI87" s="167"/>
      <c r="RXJ87" s="199"/>
      <c r="RXK87" s="200"/>
      <c r="RXL87" s="201"/>
      <c r="RXM87" s="202"/>
      <c r="RXN87" s="202"/>
      <c r="RXO87" s="202"/>
      <c r="RXP87" s="202"/>
      <c r="RXQ87" s="203"/>
      <c r="RXR87" s="204"/>
      <c r="RXS87" s="204"/>
      <c r="RXT87" s="204"/>
      <c r="RXU87" s="205"/>
      <c r="RXV87" s="206"/>
      <c r="RXW87" s="207"/>
      <c r="RXX87" s="207"/>
      <c r="RXY87" s="208"/>
      <c r="RXZ87" s="209"/>
      <c r="RYA87" s="207"/>
      <c r="RYB87" s="210"/>
      <c r="RYC87" s="209"/>
      <c r="RYD87" s="204"/>
      <c r="RYE87" s="204"/>
      <c r="RYF87" s="204"/>
      <c r="RYG87" s="199"/>
      <c r="RYH87" s="167"/>
      <c r="RYI87" s="199"/>
      <c r="RYJ87" s="200"/>
      <c r="RYK87" s="201"/>
      <c r="RYL87" s="202"/>
      <c r="RYM87" s="202"/>
      <c r="RYN87" s="202"/>
      <c r="RYO87" s="202"/>
      <c r="RYP87" s="203"/>
      <c r="RYQ87" s="204"/>
      <c r="RYR87" s="204"/>
      <c r="RYS87" s="204"/>
      <c r="RYT87" s="205"/>
      <c r="RYU87" s="206"/>
      <c r="RYV87" s="207"/>
      <c r="RYW87" s="207"/>
      <c r="RYX87" s="208"/>
      <c r="RYY87" s="209"/>
      <c r="RYZ87" s="207"/>
      <c r="RZA87" s="210"/>
      <c r="RZB87" s="209"/>
      <c r="RZC87" s="204"/>
      <c r="RZD87" s="204"/>
      <c r="RZE87" s="204"/>
      <c r="RZF87" s="199"/>
      <c r="RZG87" s="167"/>
      <c r="RZH87" s="199"/>
      <c r="RZI87" s="200"/>
      <c r="RZJ87" s="201"/>
      <c r="RZK87" s="202"/>
      <c r="RZL87" s="202"/>
      <c r="RZM87" s="202"/>
      <c r="RZN87" s="202"/>
      <c r="RZO87" s="203"/>
      <c r="RZP87" s="204"/>
      <c r="RZQ87" s="204"/>
      <c r="RZR87" s="204"/>
      <c r="RZS87" s="205"/>
      <c r="RZT87" s="206"/>
      <c r="RZU87" s="207"/>
      <c r="RZV87" s="207"/>
      <c r="RZW87" s="208"/>
      <c r="RZX87" s="209"/>
      <c r="RZY87" s="207"/>
      <c r="RZZ87" s="210"/>
      <c r="SAA87" s="209"/>
      <c r="SAB87" s="204"/>
      <c r="SAC87" s="204"/>
      <c r="SAD87" s="204"/>
      <c r="SAE87" s="199"/>
      <c r="SAF87" s="167"/>
      <c r="SAG87" s="199"/>
      <c r="SAH87" s="200"/>
      <c r="SAI87" s="201"/>
      <c r="SAJ87" s="202"/>
      <c r="SAK87" s="202"/>
      <c r="SAL87" s="202"/>
      <c r="SAM87" s="202"/>
      <c r="SAN87" s="203"/>
      <c r="SAO87" s="204"/>
      <c r="SAP87" s="204"/>
      <c r="SAQ87" s="204"/>
      <c r="SAR87" s="205"/>
      <c r="SAS87" s="206"/>
      <c r="SAT87" s="207"/>
      <c r="SAU87" s="207"/>
      <c r="SAV87" s="208"/>
      <c r="SAW87" s="209"/>
      <c r="SAX87" s="207"/>
      <c r="SAY87" s="210"/>
      <c r="SAZ87" s="209"/>
      <c r="SBA87" s="204"/>
      <c r="SBB87" s="204"/>
      <c r="SBC87" s="204"/>
      <c r="SBD87" s="199"/>
      <c r="SBE87" s="167"/>
      <c r="SBF87" s="199"/>
      <c r="SBG87" s="200"/>
      <c r="SBH87" s="201"/>
      <c r="SBI87" s="202"/>
      <c r="SBJ87" s="202"/>
      <c r="SBK87" s="202"/>
      <c r="SBL87" s="202"/>
      <c r="SBM87" s="203"/>
      <c r="SBN87" s="204"/>
      <c r="SBO87" s="204"/>
      <c r="SBP87" s="204"/>
      <c r="SBQ87" s="205"/>
      <c r="SBR87" s="206"/>
      <c r="SBS87" s="207"/>
      <c r="SBT87" s="207"/>
      <c r="SBU87" s="208"/>
      <c r="SBV87" s="209"/>
      <c r="SBW87" s="207"/>
      <c r="SBX87" s="210"/>
      <c r="SBY87" s="209"/>
      <c r="SBZ87" s="204"/>
      <c r="SCA87" s="204"/>
      <c r="SCB87" s="204"/>
      <c r="SCC87" s="199"/>
      <c r="SCD87" s="167"/>
      <c r="SCE87" s="199"/>
      <c r="SCF87" s="200"/>
      <c r="SCG87" s="201"/>
      <c r="SCH87" s="202"/>
      <c r="SCI87" s="202"/>
      <c r="SCJ87" s="202"/>
      <c r="SCK87" s="202"/>
      <c r="SCL87" s="203"/>
      <c r="SCM87" s="204"/>
      <c r="SCN87" s="204"/>
      <c r="SCO87" s="204"/>
      <c r="SCP87" s="205"/>
      <c r="SCQ87" s="206"/>
      <c r="SCR87" s="207"/>
      <c r="SCS87" s="207"/>
      <c r="SCT87" s="208"/>
      <c r="SCU87" s="209"/>
      <c r="SCV87" s="207"/>
      <c r="SCW87" s="210"/>
      <c r="SCX87" s="209"/>
      <c r="SCY87" s="204"/>
      <c r="SCZ87" s="204"/>
      <c r="SDA87" s="204"/>
      <c r="SDB87" s="199"/>
      <c r="SDC87" s="167"/>
      <c r="SDD87" s="199"/>
      <c r="SDE87" s="200"/>
      <c r="SDF87" s="201"/>
      <c r="SDG87" s="202"/>
      <c r="SDH87" s="202"/>
      <c r="SDI87" s="202"/>
      <c r="SDJ87" s="202"/>
      <c r="SDK87" s="203"/>
      <c r="SDL87" s="204"/>
      <c r="SDM87" s="204"/>
      <c r="SDN87" s="204"/>
      <c r="SDO87" s="205"/>
      <c r="SDP87" s="206"/>
      <c r="SDQ87" s="207"/>
      <c r="SDR87" s="207"/>
      <c r="SDS87" s="208"/>
      <c r="SDT87" s="209"/>
      <c r="SDU87" s="207"/>
      <c r="SDV87" s="210"/>
      <c r="SDW87" s="209"/>
      <c r="SDX87" s="204"/>
      <c r="SDY87" s="204"/>
      <c r="SDZ87" s="204"/>
      <c r="SEA87" s="199"/>
      <c r="SEB87" s="167"/>
      <c r="SEC87" s="199"/>
      <c r="SED87" s="200"/>
      <c r="SEE87" s="201"/>
      <c r="SEF87" s="202"/>
      <c r="SEG87" s="202"/>
      <c r="SEH87" s="202"/>
      <c r="SEI87" s="202"/>
      <c r="SEJ87" s="203"/>
      <c r="SEK87" s="204"/>
      <c r="SEL87" s="204"/>
      <c r="SEM87" s="204"/>
      <c r="SEN87" s="205"/>
      <c r="SEO87" s="206"/>
      <c r="SEP87" s="207"/>
      <c r="SEQ87" s="207"/>
      <c r="SER87" s="208"/>
      <c r="SES87" s="209"/>
      <c r="SET87" s="207"/>
      <c r="SEU87" s="210"/>
      <c r="SEV87" s="209"/>
      <c r="SEW87" s="204"/>
      <c r="SEX87" s="204"/>
      <c r="SEY87" s="204"/>
      <c r="SEZ87" s="199"/>
      <c r="SFA87" s="167"/>
      <c r="SFB87" s="199"/>
      <c r="SFC87" s="200"/>
      <c r="SFD87" s="201"/>
      <c r="SFE87" s="202"/>
      <c r="SFF87" s="202"/>
      <c r="SFG87" s="202"/>
      <c r="SFH87" s="202"/>
      <c r="SFI87" s="203"/>
      <c r="SFJ87" s="204"/>
      <c r="SFK87" s="204"/>
      <c r="SFL87" s="204"/>
      <c r="SFM87" s="205"/>
      <c r="SFN87" s="206"/>
      <c r="SFO87" s="207"/>
      <c r="SFP87" s="207"/>
      <c r="SFQ87" s="208"/>
      <c r="SFR87" s="209"/>
      <c r="SFS87" s="207"/>
      <c r="SFT87" s="210"/>
      <c r="SFU87" s="209"/>
      <c r="SFV87" s="204"/>
      <c r="SFW87" s="204"/>
      <c r="SFX87" s="204"/>
      <c r="SFY87" s="199"/>
      <c r="SFZ87" s="167"/>
      <c r="SGA87" s="199"/>
      <c r="SGB87" s="200"/>
      <c r="SGC87" s="201"/>
      <c r="SGD87" s="202"/>
      <c r="SGE87" s="202"/>
      <c r="SGF87" s="202"/>
      <c r="SGG87" s="202"/>
      <c r="SGH87" s="203"/>
      <c r="SGI87" s="204"/>
      <c r="SGJ87" s="204"/>
      <c r="SGK87" s="204"/>
      <c r="SGL87" s="205"/>
      <c r="SGM87" s="206"/>
      <c r="SGN87" s="207"/>
      <c r="SGO87" s="207"/>
      <c r="SGP87" s="208"/>
      <c r="SGQ87" s="209"/>
      <c r="SGR87" s="207"/>
      <c r="SGS87" s="210"/>
      <c r="SGT87" s="209"/>
      <c r="SGU87" s="204"/>
      <c r="SGV87" s="204"/>
      <c r="SGW87" s="204"/>
      <c r="SGX87" s="199"/>
      <c r="SGY87" s="167"/>
      <c r="SGZ87" s="199"/>
      <c r="SHA87" s="200"/>
      <c r="SHB87" s="201"/>
      <c r="SHC87" s="202"/>
      <c r="SHD87" s="202"/>
      <c r="SHE87" s="202"/>
      <c r="SHF87" s="202"/>
      <c r="SHG87" s="203"/>
      <c r="SHH87" s="204"/>
      <c r="SHI87" s="204"/>
      <c r="SHJ87" s="204"/>
      <c r="SHK87" s="205"/>
      <c r="SHL87" s="206"/>
      <c r="SHM87" s="207"/>
      <c r="SHN87" s="207"/>
      <c r="SHO87" s="208"/>
      <c r="SHP87" s="209"/>
      <c r="SHQ87" s="207"/>
      <c r="SHR87" s="210"/>
      <c r="SHS87" s="209"/>
      <c r="SHT87" s="204"/>
      <c r="SHU87" s="204"/>
      <c r="SHV87" s="204"/>
      <c r="SHW87" s="199"/>
      <c r="SHX87" s="167"/>
      <c r="SHY87" s="199"/>
      <c r="SHZ87" s="200"/>
      <c r="SIA87" s="201"/>
      <c r="SIB87" s="202"/>
      <c r="SIC87" s="202"/>
      <c r="SID87" s="202"/>
      <c r="SIE87" s="202"/>
      <c r="SIF87" s="203"/>
      <c r="SIG87" s="204"/>
      <c r="SIH87" s="204"/>
      <c r="SII87" s="204"/>
      <c r="SIJ87" s="205"/>
      <c r="SIK87" s="206"/>
      <c r="SIL87" s="207"/>
      <c r="SIM87" s="207"/>
      <c r="SIN87" s="208"/>
      <c r="SIO87" s="209"/>
      <c r="SIP87" s="207"/>
      <c r="SIQ87" s="210"/>
      <c r="SIR87" s="209"/>
      <c r="SIS87" s="204"/>
      <c r="SIT87" s="204"/>
      <c r="SIU87" s="204"/>
      <c r="SIV87" s="199"/>
      <c r="SIW87" s="167"/>
      <c r="SIX87" s="199"/>
      <c r="SIY87" s="200"/>
      <c r="SIZ87" s="201"/>
      <c r="SJA87" s="202"/>
      <c r="SJB87" s="202"/>
      <c r="SJC87" s="202"/>
      <c r="SJD87" s="202"/>
      <c r="SJE87" s="203"/>
      <c r="SJF87" s="204"/>
      <c r="SJG87" s="204"/>
      <c r="SJH87" s="204"/>
      <c r="SJI87" s="205"/>
      <c r="SJJ87" s="206"/>
      <c r="SJK87" s="207"/>
      <c r="SJL87" s="207"/>
      <c r="SJM87" s="208"/>
      <c r="SJN87" s="209"/>
      <c r="SJO87" s="207"/>
      <c r="SJP87" s="210"/>
      <c r="SJQ87" s="209"/>
      <c r="SJR87" s="204"/>
      <c r="SJS87" s="204"/>
      <c r="SJT87" s="204"/>
      <c r="SJU87" s="199"/>
      <c r="SJV87" s="167"/>
      <c r="SJW87" s="199"/>
      <c r="SJX87" s="200"/>
      <c r="SJY87" s="201"/>
      <c r="SJZ87" s="202"/>
      <c r="SKA87" s="202"/>
      <c r="SKB87" s="202"/>
      <c r="SKC87" s="202"/>
      <c r="SKD87" s="203"/>
      <c r="SKE87" s="204"/>
      <c r="SKF87" s="204"/>
      <c r="SKG87" s="204"/>
      <c r="SKH87" s="205"/>
      <c r="SKI87" s="206"/>
      <c r="SKJ87" s="207"/>
      <c r="SKK87" s="207"/>
      <c r="SKL87" s="208"/>
      <c r="SKM87" s="209"/>
      <c r="SKN87" s="207"/>
      <c r="SKO87" s="210"/>
      <c r="SKP87" s="209"/>
      <c r="SKQ87" s="204"/>
      <c r="SKR87" s="204"/>
      <c r="SKS87" s="204"/>
      <c r="SKT87" s="199"/>
      <c r="SKU87" s="167"/>
      <c r="SKV87" s="199"/>
      <c r="SKW87" s="200"/>
      <c r="SKX87" s="201"/>
      <c r="SKY87" s="202"/>
      <c r="SKZ87" s="202"/>
      <c r="SLA87" s="202"/>
      <c r="SLB87" s="202"/>
      <c r="SLC87" s="203"/>
      <c r="SLD87" s="204"/>
      <c r="SLE87" s="204"/>
      <c r="SLF87" s="204"/>
      <c r="SLG87" s="205"/>
      <c r="SLH87" s="206"/>
      <c r="SLI87" s="207"/>
      <c r="SLJ87" s="207"/>
      <c r="SLK87" s="208"/>
      <c r="SLL87" s="209"/>
      <c r="SLM87" s="207"/>
      <c r="SLN87" s="210"/>
      <c r="SLO87" s="209"/>
      <c r="SLP87" s="204"/>
      <c r="SLQ87" s="204"/>
      <c r="SLR87" s="204"/>
      <c r="SLS87" s="199"/>
      <c r="SLT87" s="167"/>
      <c r="SLU87" s="199"/>
      <c r="SLV87" s="200"/>
      <c r="SLW87" s="201"/>
      <c r="SLX87" s="202"/>
      <c r="SLY87" s="202"/>
      <c r="SLZ87" s="202"/>
      <c r="SMA87" s="202"/>
      <c r="SMB87" s="203"/>
      <c r="SMC87" s="204"/>
      <c r="SMD87" s="204"/>
      <c r="SME87" s="204"/>
      <c r="SMF87" s="205"/>
      <c r="SMG87" s="206"/>
      <c r="SMH87" s="207"/>
      <c r="SMI87" s="207"/>
      <c r="SMJ87" s="208"/>
      <c r="SMK87" s="209"/>
      <c r="SML87" s="207"/>
      <c r="SMM87" s="210"/>
      <c r="SMN87" s="209"/>
      <c r="SMO87" s="204"/>
      <c r="SMP87" s="204"/>
      <c r="SMQ87" s="204"/>
      <c r="SMR87" s="199"/>
      <c r="SMS87" s="167"/>
      <c r="SMT87" s="199"/>
      <c r="SMU87" s="200"/>
      <c r="SMV87" s="201"/>
      <c r="SMW87" s="202"/>
      <c r="SMX87" s="202"/>
      <c r="SMY87" s="202"/>
      <c r="SMZ87" s="202"/>
      <c r="SNA87" s="203"/>
      <c r="SNB87" s="204"/>
      <c r="SNC87" s="204"/>
      <c r="SND87" s="204"/>
      <c r="SNE87" s="205"/>
      <c r="SNF87" s="206"/>
      <c r="SNG87" s="207"/>
      <c r="SNH87" s="207"/>
      <c r="SNI87" s="208"/>
      <c r="SNJ87" s="209"/>
      <c r="SNK87" s="207"/>
      <c r="SNL87" s="210"/>
      <c r="SNM87" s="209"/>
      <c r="SNN87" s="204"/>
      <c r="SNO87" s="204"/>
      <c r="SNP87" s="204"/>
      <c r="SNQ87" s="199"/>
      <c r="SNR87" s="167"/>
      <c r="SNS87" s="199"/>
      <c r="SNT87" s="200"/>
      <c r="SNU87" s="201"/>
      <c r="SNV87" s="202"/>
      <c r="SNW87" s="202"/>
      <c r="SNX87" s="202"/>
      <c r="SNY87" s="202"/>
      <c r="SNZ87" s="203"/>
      <c r="SOA87" s="204"/>
      <c r="SOB87" s="204"/>
      <c r="SOC87" s="204"/>
      <c r="SOD87" s="205"/>
      <c r="SOE87" s="206"/>
      <c r="SOF87" s="207"/>
      <c r="SOG87" s="207"/>
      <c r="SOH87" s="208"/>
      <c r="SOI87" s="209"/>
      <c r="SOJ87" s="207"/>
      <c r="SOK87" s="210"/>
      <c r="SOL87" s="209"/>
      <c r="SOM87" s="204"/>
      <c r="SON87" s="204"/>
      <c r="SOO87" s="204"/>
      <c r="SOP87" s="199"/>
      <c r="SOQ87" s="167"/>
      <c r="SOR87" s="199"/>
      <c r="SOS87" s="200"/>
      <c r="SOT87" s="201"/>
      <c r="SOU87" s="202"/>
      <c r="SOV87" s="202"/>
      <c r="SOW87" s="202"/>
      <c r="SOX87" s="202"/>
      <c r="SOY87" s="203"/>
      <c r="SOZ87" s="204"/>
      <c r="SPA87" s="204"/>
      <c r="SPB87" s="204"/>
      <c r="SPC87" s="205"/>
      <c r="SPD87" s="206"/>
      <c r="SPE87" s="207"/>
      <c r="SPF87" s="207"/>
      <c r="SPG87" s="208"/>
      <c r="SPH87" s="209"/>
      <c r="SPI87" s="207"/>
      <c r="SPJ87" s="210"/>
      <c r="SPK87" s="209"/>
      <c r="SPL87" s="204"/>
      <c r="SPM87" s="204"/>
      <c r="SPN87" s="204"/>
      <c r="SPO87" s="199"/>
      <c r="SPP87" s="167"/>
      <c r="SPQ87" s="199"/>
      <c r="SPR87" s="200"/>
      <c r="SPS87" s="201"/>
      <c r="SPT87" s="202"/>
      <c r="SPU87" s="202"/>
      <c r="SPV87" s="202"/>
      <c r="SPW87" s="202"/>
      <c r="SPX87" s="203"/>
      <c r="SPY87" s="204"/>
      <c r="SPZ87" s="204"/>
      <c r="SQA87" s="204"/>
      <c r="SQB87" s="205"/>
      <c r="SQC87" s="206"/>
      <c r="SQD87" s="207"/>
      <c r="SQE87" s="207"/>
      <c r="SQF87" s="208"/>
      <c r="SQG87" s="209"/>
      <c r="SQH87" s="207"/>
      <c r="SQI87" s="210"/>
      <c r="SQJ87" s="209"/>
      <c r="SQK87" s="204"/>
      <c r="SQL87" s="204"/>
      <c r="SQM87" s="204"/>
      <c r="SQN87" s="199"/>
      <c r="SQO87" s="167"/>
      <c r="SQP87" s="199"/>
      <c r="SQQ87" s="200"/>
      <c r="SQR87" s="201"/>
      <c r="SQS87" s="202"/>
      <c r="SQT87" s="202"/>
      <c r="SQU87" s="202"/>
      <c r="SQV87" s="202"/>
      <c r="SQW87" s="203"/>
      <c r="SQX87" s="204"/>
      <c r="SQY87" s="204"/>
      <c r="SQZ87" s="204"/>
      <c r="SRA87" s="205"/>
      <c r="SRB87" s="206"/>
      <c r="SRC87" s="207"/>
      <c r="SRD87" s="207"/>
      <c r="SRE87" s="208"/>
      <c r="SRF87" s="209"/>
      <c r="SRG87" s="207"/>
      <c r="SRH87" s="210"/>
      <c r="SRI87" s="209"/>
      <c r="SRJ87" s="204"/>
      <c r="SRK87" s="204"/>
      <c r="SRL87" s="204"/>
      <c r="SRM87" s="199"/>
      <c r="SRN87" s="167"/>
      <c r="SRO87" s="199"/>
      <c r="SRP87" s="200"/>
      <c r="SRQ87" s="201"/>
      <c r="SRR87" s="202"/>
      <c r="SRS87" s="202"/>
      <c r="SRT87" s="202"/>
      <c r="SRU87" s="202"/>
      <c r="SRV87" s="203"/>
      <c r="SRW87" s="204"/>
      <c r="SRX87" s="204"/>
      <c r="SRY87" s="204"/>
      <c r="SRZ87" s="205"/>
      <c r="SSA87" s="206"/>
      <c r="SSB87" s="207"/>
      <c r="SSC87" s="207"/>
      <c r="SSD87" s="208"/>
      <c r="SSE87" s="209"/>
      <c r="SSF87" s="207"/>
      <c r="SSG87" s="210"/>
      <c r="SSH87" s="209"/>
      <c r="SSI87" s="204"/>
      <c r="SSJ87" s="204"/>
      <c r="SSK87" s="204"/>
      <c r="SSL87" s="199"/>
      <c r="SSM87" s="167"/>
      <c r="SSN87" s="199"/>
      <c r="SSO87" s="200"/>
      <c r="SSP87" s="201"/>
      <c r="SSQ87" s="202"/>
      <c r="SSR87" s="202"/>
      <c r="SSS87" s="202"/>
      <c r="SST87" s="202"/>
      <c r="SSU87" s="203"/>
      <c r="SSV87" s="204"/>
      <c r="SSW87" s="204"/>
      <c r="SSX87" s="204"/>
      <c r="SSY87" s="205"/>
      <c r="SSZ87" s="206"/>
      <c r="STA87" s="207"/>
      <c r="STB87" s="207"/>
      <c r="STC87" s="208"/>
      <c r="STD87" s="209"/>
      <c r="STE87" s="207"/>
      <c r="STF87" s="210"/>
      <c r="STG87" s="209"/>
      <c r="STH87" s="204"/>
      <c r="STI87" s="204"/>
      <c r="STJ87" s="204"/>
      <c r="STK87" s="199"/>
      <c r="STL87" s="167"/>
      <c r="STM87" s="199"/>
      <c r="STN87" s="200"/>
      <c r="STO87" s="201"/>
      <c r="STP87" s="202"/>
      <c r="STQ87" s="202"/>
      <c r="STR87" s="202"/>
      <c r="STS87" s="202"/>
      <c r="STT87" s="203"/>
      <c r="STU87" s="204"/>
      <c r="STV87" s="204"/>
      <c r="STW87" s="204"/>
      <c r="STX87" s="205"/>
      <c r="STY87" s="206"/>
      <c r="STZ87" s="207"/>
      <c r="SUA87" s="207"/>
      <c r="SUB87" s="208"/>
      <c r="SUC87" s="209"/>
      <c r="SUD87" s="207"/>
      <c r="SUE87" s="210"/>
      <c r="SUF87" s="209"/>
      <c r="SUG87" s="204"/>
      <c r="SUH87" s="204"/>
      <c r="SUI87" s="204"/>
      <c r="SUJ87" s="199"/>
      <c r="SUK87" s="167"/>
      <c r="SUL87" s="199"/>
      <c r="SUM87" s="200"/>
      <c r="SUN87" s="201"/>
      <c r="SUO87" s="202"/>
      <c r="SUP87" s="202"/>
      <c r="SUQ87" s="202"/>
      <c r="SUR87" s="202"/>
      <c r="SUS87" s="203"/>
      <c r="SUT87" s="204"/>
      <c r="SUU87" s="204"/>
      <c r="SUV87" s="204"/>
      <c r="SUW87" s="205"/>
      <c r="SUX87" s="206"/>
      <c r="SUY87" s="207"/>
      <c r="SUZ87" s="207"/>
      <c r="SVA87" s="208"/>
      <c r="SVB87" s="209"/>
      <c r="SVC87" s="207"/>
      <c r="SVD87" s="210"/>
      <c r="SVE87" s="209"/>
      <c r="SVF87" s="204"/>
      <c r="SVG87" s="204"/>
      <c r="SVH87" s="204"/>
      <c r="SVI87" s="199"/>
      <c r="SVJ87" s="167"/>
      <c r="SVK87" s="199"/>
      <c r="SVL87" s="200"/>
      <c r="SVM87" s="201"/>
      <c r="SVN87" s="202"/>
      <c r="SVO87" s="202"/>
      <c r="SVP87" s="202"/>
      <c r="SVQ87" s="202"/>
      <c r="SVR87" s="203"/>
      <c r="SVS87" s="204"/>
      <c r="SVT87" s="204"/>
      <c r="SVU87" s="204"/>
      <c r="SVV87" s="205"/>
      <c r="SVW87" s="206"/>
      <c r="SVX87" s="207"/>
      <c r="SVY87" s="207"/>
      <c r="SVZ87" s="208"/>
      <c r="SWA87" s="209"/>
      <c r="SWB87" s="207"/>
      <c r="SWC87" s="210"/>
      <c r="SWD87" s="209"/>
      <c r="SWE87" s="204"/>
      <c r="SWF87" s="204"/>
      <c r="SWG87" s="204"/>
      <c r="SWH87" s="199"/>
      <c r="SWI87" s="167"/>
      <c r="SWJ87" s="199"/>
      <c r="SWK87" s="200"/>
      <c r="SWL87" s="201"/>
      <c r="SWM87" s="202"/>
      <c r="SWN87" s="202"/>
      <c r="SWO87" s="202"/>
      <c r="SWP87" s="202"/>
      <c r="SWQ87" s="203"/>
      <c r="SWR87" s="204"/>
      <c r="SWS87" s="204"/>
      <c r="SWT87" s="204"/>
      <c r="SWU87" s="205"/>
      <c r="SWV87" s="206"/>
      <c r="SWW87" s="207"/>
      <c r="SWX87" s="207"/>
      <c r="SWY87" s="208"/>
      <c r="SWZ87" s="209"/>
      <c r="SXA87" s="207"/>
      <c r="SXB87" s="210"/>
      <c r="SXC87" s="209"/>
      <c r="SXD87" s="204"/>
      <c r="SXE87" s="204"/>
      <c r="SXF87" s="204"/>
      <c r="SXG87" s="199"/>
      <c r="SXH87" s="167"/>
      <c r="SXI87" s="199"/>
      <c r="SXJ87" s="200"/>
      <c r="SXK87" s="201"/>
      <c r="SXL87" s="202"/>
      <c r="SXM87" s="202"/>
      <c r="SXN87" s="202"/>
      <c r="SXO87" s="202"/>
      <c r="SXP87" s="203"/>
      <c r="SXQ87" s="204"/>
      <c r="SXR87" s="204"/>
      <c r="SXS87" s="204"/>
      <c r="SXT87" s="205"/>
      <c r="SXU87" s="206"/>
      <c r="SXV87" s="207"/>
      <c r="SXW87" s="207"/>
      <c r="SXX87" s="208"/>
      <c r="SXY87" s="209"/>
      <c r="SXZ87" s="207"/>
      <c r="SYA87" s="210"/>
      <c r="SYB87" s="209"/>
      <c r="SYC87" s="204"/>
      <c r="SYD87" s="204"/>
      <c r="SYE87" s="204"/>
      <c r="SYF87" s="199"/>
      <c r="SYG87" s="167"/>
      <c r="SYH87" s="199"/>
      <c r="SYI87" s="200"/>
      <c r="SYJ87" s="201"/>
      <c r="SYK87" s="202"/>
      <c r="SYL87" s="202"/>
      <c r="SYM87" s="202"/>
      <c r="SYN87" s="202"/>
      <c r="SYO87" s="203"/>
      <c r="SYP87" s="204"/>
      <c r="SYQ87" s="204"/>
      <c r="SYR87" s="204"/>
      <c r="SYS87" s="205"/>
      <c r="SYT87" s="206"/>
      <c r="SYU87" s="207"/>
      <c r="SYV87" s="207"/>
      <c r="SYW87" s="208"/>
      <c r="SYX87" s="209"/>
      <c r="SYY87" s="207"/>
      <c r="SYZ87" s="210"/>
      <c r="SZA87" s="209"/>
      <c r="SZB87" s="204"/>
      <c r="SZC87" s="204"/>
      <c r="SZD87" s="204"/>
      <c r="SZE87" s="199"/>
      <c r="SZF87" s="167"/>
      <c r="SZG87" s="199"/>
      <c r="SZH87" s="200"/>
      <c r="SZI87" s="201"/>
      <c r="SZJ87" s="202"/>
      <c r="SZK87" s="202"/>
      <c r="SZL87" s="202"/>
      <c r="SZM87" s="202"/>
      <c r="SZN87" s="203"/>
      <c r="SZO87" s="204"/>
      <c r="SZP87" s="204"/>
      <c r="SZQ87" s="204"/>
      <c r="SZR87" s="205"/>
      <c r="SZS87" s="206"/>
      <c r="SZT87" s="207"/>
      <c r="SZU87" s="207"/>
      <c r="SZV87" s="208"/>
      <c r="SZW87" s="209"/>
      <c r="SZX87" s="207"/>
      <c r="SZY87" s="210"/>
      <c r="SZZ87" s="209"/>
      <c r="TAA87" s="204"/>
      <c r="TAB87" s="204"/>
      <c r="TAC87" s="204"/>
      <c r="TAD87" s="199"/>
      <c r="TAE87" s="167"/>
      <c r="TAF87" s="199"/>
      <c r="TAG87" s="200"/>
      <c r="TAH87" s="201"/>
      <c r="TAI87" s="202"/>
      <c r="TAJ87" s="202"/>
      <c r="TAK87" s="202"/>
      <c r="TAL87" s="202"/>
      <c r="TAM87" s="203"/>
      <c r="TAN87" s="204"/>
      <c r="TAO87" s="204"/>
      <c r="TAP87" s="204"/>
      <c r="TAQ87" s="205"/>
      <c r="TAR87" s="206"/>
      <c r="TAS87" s="207"/>
      <c r="TAT87" s="207"/>
      <c r="TAU87" s="208"/>
      <c r="TAV87" s="209"/>
      <c r="TAW87" s="207"/>
      <c r="TAX87" s="210"/>
      <c r="TAY87" s="209"/>
      <c r="TAZ87" s="204"/>
      <c r="TBA87" s="204"/>
      <c r="TBB87" s="204"/>
      <c r="TBC87" s="199"/>
      <c r="TBD87" s="167"/>
      <c r="TBE87" s="199"/>
      <c r="TBF87" s="200"/>
      <c r="TBG87" s="201"/>
      <c r="TBH87" s="202"/>
      <c r="TBI87" s="202"/>
      <c r="TBJ87" s="202"/>
      <c r="TBK87" s="202"/>
      <c r="TBL87" s="203"/>
      <c r="TBM87" s="204"/>
      <c r="TBN87" s="204"/>
      <c r="TBO87" s="204"/>
      <c r="TBP87" s="205"/>
      <c r="TBQ87" s="206"/>
      <c r="TBR87" s="207"/>
      <c r="TBS87" s="207"/>
      <c r="TBT87" s="208"/>
      <c r="TBU87" s="209"/>
      <c r="TBV87" s="207"/>
      <c r="TBW87" s="210"/>
      <c r="TBX87" s="209"/>
      <c r="TBY87" s="204"/>
      <c r="TBZ87" s="204"/>
      <c r="TCA87" s="204"/>
      <c r="TCB87" s="199"/>
      <c r="TCC87" s="167"/>
      <c r="TCD87" s="199"/>
      <c r="TCE87" s="200"/>
      <c r="TCF87" s="201"/>
      <c r="TCG87" s="202"/>
      <c r="TCH87" s="202"/>
      <c r="TCI87" s="202"/>
      <c r="TCJ87" s="202"/>
      <c r="TCK87" s="203"/>
      <c r="TCL87" s="204"/>
      <c r="TCM87" s="204"/>
      <c r="TCN87" s="204"/>
      <c r="TCO87" s="205"/>
      <c r="TCP87" s="206"/>
      <c r="TCQ87" s="207"/>
      <c r="TCR87" s="207"/>
      <c r="TCS87" s="208"/>
      <c r="TCT87" s="209"/>
      <c r="TCU87" s="207"/>
      <c r="TCV87" s="210"/>
      <c r="TCW87" s="209"/>
      <c r="TCX87" s="204"/>
      <c r="TCY87" s="204"/>
      <c r="TCZ87" s="204"/>
      <c r="TDA87" s="199"/>
      <c r="TDB87" s="167"/>
      <c r="TDC87" s="199"/>
      <c r="TDD87" s="200"/>
      <c r="TDE87" s="201"/>
      <c r="TDF87" s="202"/>
      <c r="TDG87" s="202"/>
      <c r="TDH87" s="202"/>
      <c r="TDI87" s="202"/>
      <c r="TDJ87" s="203"/>
      <c r="TDK87" s="204"/>
      <c r="TDL87" s="204"/>
      <c r="TDM87" s="204"/>
      <c r="TDN87" s="205"/>
      <c r="TDO87" s="206"/>
      <c r="TDP87" s="207"/>
      <c r="TDQ87" s="207"/>
      <c r="TDR87" s="208"/>
      <c r="TDS87" s="209"/>
      <c r="TDT87" s="207"/>
      <c r="TDU87" s="210"/>
      <c r="TDV87" s="209"/>
      <c r="TDW87" s="204"/>
      <c r="TDX87" s="204"/>
      <c r="TDY87" s="204"/>
      <c r="TDZ87" s="199"/>
      <c r="TEA87" s="167"/>
      <c r="TEB87" s="199"/>
      <c r="TEC87" s="200"/>
      <c r="TED87" s="201"/>
      <c r="TEE87" s="202"/>
      <c r="TEF87" s="202"/>
      <c r="TEG87" s="202"/>
      <c r="TEH87" s="202"/>
      <c r="TEI87" s="203"/>
      <c r="TEJ87" s="204"/>
      <c r="TEK87" s="204"/>
      <c r="TEL87" s="204"/>
      <c r="TEM87" s="205"/>
      <c r="TEN87" s="206"/>
      <c r="TEO87" s="207"/>
      <c r="TEP87" s="207"/>
      <c r="TEQ87" s="208"/>
      <c r="TER87" s="209"/>
      <c r="TES87" s="207"/>
      <c r="TET87" s="210"/>
      <c r="TEU87" s="209"/>
      <c r="TEV87" s="204"/>
      <c r="TEW87" s="204"/>
      <c r="TEX87" s="204"/>
      <c r="TEY87" s="199"/>
      <c r="TEZ87" s="167"/>
      <c r="TFA87" s="199"/>
      <c r="TFB87" s="200"/>
      <c r="TFC87" s="201"/>
      <c r="TFD87" s="202"/>
      <c r="TFE87" s="202"/>
      <c r="TFF87" s="202"/>
      <c r="TFG87" s="202"/>
      <c r="TFH87" s="203"/>
      <c r="TFI87" s="204"/>
      <c r="TFJ87" s="204"/>
      <c r="TFK87" s="204"/>
      <c r="TFL87" s="205"/>
      <c r="TFM87" s="206"/>
      <c r="TFN87" s="207"/>
      <c r="TFO87" s="207"/>
      <c r="TFP87" s="208"/>
      <c r="TFQ87" s="209"/>
      <c r="TFR87" s="207"/>
      <c r="TFS87" s="210"/>
      <c r="TFT87" s="209"/>
      <c r="TFU87" s="204"/>
      <c r="TFV87" s="204"/>
      <c r="TFW87" s="204"/>
      <c r="TFX87" s="199"/>
      <c r="TFY87" s="167"/>
      <c r="TFZ87" s="199"/>
      <c r="TGA87" s="200"/>
      <c r="TGB87" s="201"/>
      <c r="TGC87" s="202"/>
      <c r="TGD87" s="202"/>
      <c r="TGE87" s="202"/>
      <c r="TGF87" s="202"/>
      <c r="TGG87" s="203"/>
      <c r="TGH87" s="204"/>
      <c r="TGI87" s="204"/>
      <c r="TGJ87" s="204"/>
      <c r="TGK87" s="205"/>
      <c r="TGL87" s="206"/>
      <c r="TGM87" s="207"/>
      <c r="TGN87" s="207"/>
      <c r="TGO87" s="208"/>
      <c r="TGP87" s="209"/>
      <c r="TGQ87" s="207"/>
      <c r="TGR87" s="210"/>
      <c r="TGS87" s="209"/>
      <c r="TGT87" s="204"/>
      <c r="TGU87" s="204"/>
      <c r="TGV87" s="204"/>
      <c r="TGW87" s="199"/>
      <c r="TGX87" s="167"/>
      <c r="TGY87" s="199"/>
      <c r="TGZ87" s="200"/>
      <c r="THA87" s="201"/>
      <c r="THB87" s="202"/>
      <c r="THC87" s="202"/>
      <c r="THD87" s="202"/>
      <c r="THE87" s="202"/>
      <c r="THF87" s="203"/>
      <c r="THG87" s="204"/>
      <c r="THH87" s="204"/>
      <c r="THI87" s="204"/>
      <c r="THJ87" s="205"/>
      <c r="THK87" s="206"/>
      <c r="THL87" s="207"/>
      <c r="THM87" s="207"/>
      <c r="THN87" s="208"/>
      <c r="THO87" s="209"/>
      <c r="THP87" s="207"/>
      <c r="THQ87" s="210"/>
      <c r="THR87" s="209"/>
      <c r="THS87" s="204"/>
      <c r="THT87" s="204"/>
      <c r="THU87" s="204"/>
      <c r="THV87" s="199"/>
      <c r="THW87" s="167"/>
      <c r="THX87" s="199"/>
      <c r="THY87" s="200"/>
      <c r="THZ87" s="201"/>
      <c r="TIA87" s="202"/>
      <c r="TIB87" s="202"/>
      <c r="TIC87" s="202"/>
      <c r="TID87" s="202"/>
      <c r="TIE87" s="203"/>
      <c r="TIF87" s="204"/>
      <c r="TIG87" s="204"/>
      <c r="TIH87" s="204"/>
      <c r="TII87" s="205"/>
      <c r="TIJ87" s="206"/>
      <c r="TIK87" s="207"/>
      <c r="TIL87" s="207"/>
      <c r="TIM87" s="208"/>
      <c r="TIN87" s="209"/>
      <c r="TIO87" s="207"/>
      <c r="TIP87" s="210"/>
      <c r="TIQ87" s="209"/>
      <c r="TIR87" s="204"/>
      <c r="TIS87" s="204"/>
      <c r="TIT87" s="204"/>
      <c r="TIU87" s="199"/>
      <c r="TIV87" s="167"/>
      <c r="TIW87" s="199"/>
      <c r="TIX87" s="200"/>
      <c r="TIY87" s="201"/>
      <c r="TIZ87" s="202"/>
      <c r="TJA87" s="202"/>
      <c r="TJB87" s="202"/>
      <c r="TJC87" s="202"/>
      <c r="TJD87" s="203"/>
      <c r="TJE87" s="204"/>
      <c r="TJF87" s="204"/>
      <c r="TJG87" s="204"/>
      <c r="TJH87" s="205"/>
      <c r="TJI87" s="206"/>
      <c r="TJJ87" s="207"/>
      <c r="TJK87" s="207"/>
      <c r="TJL87" s="208"/>
      <c r="TJM87" s="209"/>
      <c r="TJN87" s="207"/>
      <c r="TJO87" s="210"/>
      <c r="TJP87" s="209"/>
      <c r="TJQ87" s="204"/>
      <c r="TJR87" s="204"/>
      <c r="TJS87" s="204"/>
      <c r="TJT87" s="199"/>
      <c r="TJU87" s="167"/>
      <c r="TJV87" s="199"/>
      <c r="TJW87" s="200"/>
      <c r="TJX87" s="201"/>
      <c r="TJY87" s="202"/>
      <c r="TJZ87" s="202"/>
      <c r="TKA87" s="202"/>
      <c r="TKB87" s="202"/>
      <c r="TKC87" s="203"/>
      <c r="TKD87" s="204"/>
      <c r="TKE87" s="204"/>
      <c r="TKF87" s="204"/>
      <c r="TKG87" s="205"/>
      <c r="TKH87" s="206"/>
      <c r="TKI87" s="207"/>
      <c r="TKJ87" s="207"/>
      <c r="TKK87" s="208"/>
      <c r="TKL87" s="209"/>
      <c r="TKM87" s="207"/>
      <c r="TKN87" s="210"/>
      <c r="TKO87" s="209"/>
      <c r="TKP87" s="204"/>
      <c r="TKQ87" s="204"/>
      <c r="TKR87" s="204"/>
      <c r="TKS87" s="199"/>
      <c r="TKT87" s="167"/>
      <c r="TKU87" s="199"/>
      <c r="TKV87" s="200"/>
      <c r="TKW87" s="201"/>
      <c r="TKX87" s="202"/>
      <c r="TKY87" s="202"/>
      <c r="TKZ87" s="202"/>
      <c r="TLA87" s="202"/>
      <c r="TLB87" s="203"/>
      <c r="TLC87" s="204"/>
      <c r="TLD87" s="204"/>
      <c r="TLE87" s="204"/>
      <c r="TLF87" s="205"/>
      <c r="TLG87" s="206"/>
      <c r="TLH87" s="207"/>
      <c r="TLI87" s="207"/>
      <c r="TLJ87" s="208"/>
      <c r="TLK87" s="209"/>
      <c r="TLL87" s="207"/>
      <c r="TLM87" s="210"/>
      <c r="TLN87" s="209"/>
      <c r="TLO87" s="204"/>
      <c r="TLP87" s="204"/>
      <c r="TLQ87" s="204"/>
      <c r="TLR87" s="199"/>
      <c r="TLS87" s="167"/>
      <c r="TLT87" s="199"/>
      <c r="TLU87" s="200"/>
      <c r="TLV87" s="201"/>
      <c r="TLW87" s="202"/>
      <c r="TLX87" s="202"/>
      <c r="TLY87" s="202"/>
      <c r="TLZ87" s="202"/>
      <c r="TMA87" s="203"/>
      <c r="TMB87" s="204"/>
      <c r="TMC87" s="204"/>
      <c r="TMD87" s="204"/>
      <c r="TME87" s="205"/>
      <c r="TMF87" s="206"/>
      <c r="TMG87" s="207"/>
      <c r="TMH87" s="207"/>
      <c r="TMI87" s="208"/>
      <c r="TMJ87" s="209"/>
      <c r="TMK87" s="207"/>
      <c r="TML87" s="210"/>
      <c r="TMM87" s="209"/>
      <c r="TMN87" s="204"/>
      <c r="TMO87" s="204"/>
      <c r="TMP87" s="204"/>
      <c r="TMQ87" s="199"/>
      <c r="TMR87" s="167"/>
      <c r="TMS87" s="199"/>
      <c r="TMT87" s="200"/>
      <c r="TMU87" s="201"/>
      <c r="TMV87" s="202"/>
      <c r="TMW87" s="202"/>
      <c r="TMX87" s="202"/>
      <c r="TMY87" s="202"/>
      <c r="TMZ87" s="203"/>
      <c r="TNA87" s="204"/>
      <c r="TNB87" s="204"/>
      <c r="TNC87" s="204"/>
      <c r="TND87" s="205"/>
      <c r="TNE87" s="206"/>
      <c r="TNF87" s="207"/>
      <c r="TNG87" s="207"/>
      <c r="TNH87" s="208"/>
      <c r="TNI87" s="209"/>
      <c r="TNJ87" s="207"/>
      <c r="TNK87" s="210"/>
      <c r="TNL87" s="209"/>
      <c r="TNM87" s="204"/>
      <c r="TNN87" s="204"/>
      <c r="TNO87" s="204"/>
      <c r="TNP87" s="199"/>
      <c r="TNQ87" s="167"/>
      <c r="TNR87" s="199"/>
      <c r="TNS87" s="200"/>
      <c r="TNT87" s="201"/>
      <c r="TNU87" s="202"/>
      <c r="TNV87" s="202"/>
      <c r="TNW87" s="202"/>
      <c r="TNX87" s="202"/>
      <c r="TNY87" s="203"/>
      <c r="TNZ87" s="204"/>
      <c r="TOA87" s="204"/>
      <c r="TOB87" s="204"/>
      <c r="TOC87" s="205"/>
      <c r="TOD87" s="206"/>
      <c r="TOE87" s="207"/>
      <c r="TOF87" s="207"/>
      <c r="TOG87" s="208"/>
      <c r="TOH87" s="209"/>
      <c r="TOI87" s="207"/>
      <c r="TOJ87" s="210"/>
      <c r="TOK87" s="209"/>
      <c r="TOL87" s="204"/>
      <c r="TOM87" s="204"/>
      <c r="TON87" s="204"/>
      <c r="TOO87" s="199"/>
      <c r="TOP87" s="167"/>
      <c r="TOQ87" s="199"/>
      <c r="TOR87" s="200"/>
      <c r="TOS87" s="201"/>
      <c r="TOT87" s="202"/>
      <c r="TOU87" s="202"/>
      <c r="TOV87" s="202"/>
      <c r="TOW87" s="202"/>
      <c r="TOX87" s="203"/>
      <c r="TOY87" s="204"/>
      <c r="TOZ87" s="204"/>
      <c r="TPA87" s="204"/>
      <c r="TPB87" s="205"/>
      <c r="TPC87" s="206"/>
      <c r="TPD87" s="207"/>
      <c r="TPE87" s="207"/>
      <c r="TPF87" s="208"/>
      <c r="TPG87" s="209"/>
      <c r="TPH87" s="207"/>
      <c r="TPI87" s="210"/>
      <c r="TPJ87" s="209"/>
      <c r="TPK87" s="204"/>
      <c r="TPL87" s="204"/>
      <c r="TPM87" s="204"/>
      <c r="TPN87" s="199"/>
      <c r="TPO87" s="167"/>
      <c r="TPP87" s="199"/>
      <c r="TPQ87" s="200"/>
      <c r="TPR87" s="201"/>
      <c r="TPS87" s="202"/>
      <c r="TPT87" s="202"/>
      <c r="TPU87" s="202"/>
      <c r="TPV87" s="202"/>
      <c r="TPW87" s="203"/>
      <c r="TPX87" s="204"/>
      <c r="TPY87" s="204"/>
      <c r="TPZ87" s="204"/>
      <c r="TQA87" s="205"/>
      <c r="TQB87" s="206"/>
      <c r="TQC87" s="207"/>
      <c r="TQD87" s="207"/>
      <c r="TQE87" s="208"/>
      <c r="TQF87" s="209"/>
      <c r="TQG87" s="207"/>
      <c r="TQH87" s="210"/>
      <c r="TQI87" s="209"/>
      <c r="TQJ87" s="204"/>
      <c r="TQK87" s="204"/>
      <c r="TQL87" s="204"/>
      <c r="TQM87" s="199"/>
      <c r="TQN87" s="167"/>
      <c r="TQO87" s="199"/>
      <c r="TQP87" s="200"/>
      <c r="TQQ87" s="201"/>
      <c r="TQR87" s="202"/>
      <c r="TQS87" s="202"/>
      <c r="TQT87" s="202"/>
      <c r="TQU87" s="202"/>
      <c r="TQV87" s="203"/>
      <c r="TQW87" s="204"/>
      <c r="TQX87" s="204"/>
      <c r="TQY87" s="204"/>
      <c r="TQZ87" s="205"/>
      <c r="TRA87" s="206"/>
      <c r="TRB87" s="207"/>
      <c r="TRC87" s="207"/>
      <c r="TRD87" s="208"/>
      <c r="TRE87" s="209"/>
      <c r="TRF87" s="207"/>
      <c r="TRG87" s="210"/>
      <c r="TRH87" s="209"/>
      <c r="TRI87" s="204"/>
      <c r="TRJ87" s="204"/>
      <c r="TRK87" s="204"/>
      <c r="TRL87" s="199"/>
      <c r="TRM87" s="167"/>
      <c r="TRN87" s="199"/>
      <c r="TRO87" s="200"/>
      <c r="TRP87" s="201"/>
      <c r="TRQ87" s="202"/>
      <c r="TRR87" s="202"/>
      <c r="TRS87" s="202"/>
      <c r="TRT87" s="202"/>
      <c r="TRU87" s="203"/>
      <c r="TRV87" s="204"/>
      <c r="TRW87" s="204"/>
      <c r="TRX87" s="204"/>
      <c r="TRY87" s="205"/>
      <c r="TRZ87" s="206"/>
      <c r="TSA87" s="207"/>
      <c r="TSB87" s="207"/>
      <c r="TSC87" s="208"/>
      <c r="TSD87" s="209"/>
      <c r="TSE87" s="207"/>
      <c r="TSF87" s="210"/>
      <c r="TSG87" s="209"/>
      <c r="TSH87" s="204"/>
      <c r="TSI87" s="204"/>
      <c r="TSJ87" s="204"/>
      <c r="TSK87" s="199"/>
      <c r="TSL87" s="167"/>
      <c r="TSM87" s="199"/>
      <c r="TSN87" s="200"/>
      <c r="TSO87" s="201"/>
      <c r="TSP87" s="202"/>
      <c r="TSQ87" s="202"/>
      <c r="TSR87" s="202"/>
      <c r="TSS87" s="202"/>
      <c r="TST87" s="203"/>
      <c r="TSU87" s="204"/>
      <c r="TSV87" s="204"/>
      <c r="TSW87" s="204"/>
      <c r="TSX87" s="205"/>
      <c r="TSY87" s="206"/>
      <c r="TSZ87" s="207"/>
      <c r="TTA87" s="207"/>
      <c r="TTB87" s="208"/>
      <c r="TTC87" s="209"/>
      <c r="TTD87" s="207"/>
      <c r="TTE87" s="210"/>
      <c r="TTF87" s="209"/>
      <c r="TTG87" s="204"/>
      <c r="TTH87" s="204"/>
      <c r="TTI87" s="204"/>
      <c r="TTJ87" s="199"/>
      <c r="TTK87" s="167"/>
      <c r="TTL87" s="199"/>
      <c r="TTM87" s="200"/>
      <c r="TTN87" s="201"/>
      <c r="TTO87" s="202"/>
      <c r="TTP87" s="202"/>
      <c r="TTQ87" s="202"/>
      <c r="TTR87" s="202"/>
      <c r="TTS87" s="203"/>
      <c r="TTT87" s="204"/>
      <c r="TTU87" s="204"/>
      <c r="TTV87" s="204"/>
      <c r="TTW87" s="205"/>
      <c r="TTX87" s="206"/>
      <c r="TTY87" s="207"/>
      <c r="TTZ87" s="207"/>
      <c r="TUA87" s="208"/>
      <c r="TUB87" s="209"/>
      <c r="TUC87" s="207"/>
      <c r="TUD87" s="210"/>
      <c r="TUE87" s="209"/>
      <c r="TUF87" s="204"/>
      <c r="TUG87" s="204"/>
      <c r="TUH87" s="204"/>
      <c r="TUI87" s="199"/>
      <c r="TUJ87" s="167"/>
      <c r="TUK87" s="199"/>
      <c r="TUL87" s="200"/>
      <c r="TUM87" s="201"/>
      <c r="TUN87" s="202"/>
      <c r="TUO87" s="202"/>
      <c r="TUP87" s="202"/>
      <c r="TUQ87" s="202"/>
      <c r="TUR87" s="203"/>
      <c r="TUS87" s="204"/>
      <c r="TUT87" s="204"/>
      <c r="TUU87" s="204"/>
      <c r="TUV87" s="205"/>
      <c r="TUW87" s="206"/>
      <c r="TUX87" s="207"/>
      <c r="TUY87" s="207"/>
      <c r="TUZ87" s="208"/>
      <c r="TVA87" s="209"/>
      <c r="TVB87" s="207"/>
      <c r="TVC87" s="210"/>
      <c r="TVD87" s="209"/>
      <c r="TVE87" s="204"/>
      <c r="TVF87" s="204"/>
      <c r="TVG87" s="204"/>
      <c r="TVH87" s="199"/>
      <c r="TVI87" s="167"/>
      <c r="TVJ87" s="199"/>
      <c r="TVK87" s="200"/>
      <c r="TVL87" s="201"/>
      <c r="TVM87" s="202"/>
      <c r="TVN87" s="202"/>
      <c r="TVO87" s="202"/>
      <c r="TVP87" s="202"/>
      <c r="TVQ87" s="203"/>
      <c r="TVR87" s="204"/>
      <c r="TVS87" s="204"/>
      <c r="TVT87" s="204"/>
      <c r="TVU87" s="205"/>
      <c r="TVV87" s="206"/>
      <c r="TVW87" s="207"/>
      <c r="TVX87" s="207"/>
      <c r="TVY87" s="208"/>
      <c r="TVZ87" s="209"/>
      <c r="TWA87" s="207"/>
      <c r="TWB87" s="210"/>
      <c r="TWC87" s="209"/>
      <c r="TWD87" s="204"/>
      <c r="TWE87" s="204"/>
      <c r="TWF87" s="204"/>
      <c r="TWG87" s="199"/>
      <c r="TWH87" s="167"/>
      <c r="TWI87" s="199"/>
      <c r="TWJ87" s="200"/>
      <c r="TWK87" s="201"/>
      <c r="TWL87" s="202"/>
      <c r="TWM87" s="202"/>
      <c r="TWN87" s="202"/>
      <c r="TWO87" s="202"/>
      <c r="TWP87" s="203"/>
      <c r="TWQ87" s="204"/>
      <c r="TWR87" s="204"/>
      <c r="TWS87" s="204"/>
      <c r="TWT87" s="205"/>
      <c r="TWU87" s="206"/>
      <c r="TWV87" s="207"/>
      <c r="TWW87" s="207"/>
      <c r="TWX87" s="208"/>
      <c r="TWY87" s="209"/>
      <c r="TWZ87" s="207"/>
      <c r="TXA87" s="210"/>
      <c r="TXB87" s="209"/>
      <c r="TXC87" s="204"/>
      <c r="TXD87" s="204"/>
      <c r="TXE87" s="204"/>
      <c r="TXF87" s="199"/>
      <c r="TXG87" s="167"/>
      <c r="TXH87" s="199"/>
      <c r="TXI87" s="200"/>
      <c r="TXJ87" s="201"/>
      <c r="TXK87" s="202"/>
      <c r="TXL87" s="202"/>
      <c r="TXM87" s="202"/>
      <c r="TXN87" s="202"/>
      <c r="TXO87" s="203"/>
      <c r="TXP87" s="204"/>
      <c r="TXQ87" s="204"/>
      <c r="TXR87" s="204"/>
      <c r="TXS87" s="205"/>
      <c r="TXT87" s="206"/>
      <c r="TXU87" s="207"/>
      <c r="TXV87" s="207"/>
      <c r="TXW87" s="208"/>
      <c r="TXX87" s="209"/>
      <c r="TXY87" s="207"/>
      <c r="TXZ87" s="210"/>
      <c r="TYA87" s="209"/>
      <c r="TYB87" s="204"/>
      <c r="TYC87" s="204"/>
      <c r="TYD87" s="204"/>
      <c r="TYE87" s="199"/>
      <c r="TYF87" s="167"/>
      <c r="TYG87" s="199"/>
      <c r="TYH87" s="200"/>
      <c r="TYI87" s="201"/>
      <c r="TYJ87" s="202"/>
      <c r="TYK87" s="202"/>
      <c r="TYL87" s="202"/>
      <c r="TYM87" s="202"/>
      <c r="TYN87" s="203"/>
      <c r="TYO87" s="204"/>
      <c r="TYP87" s="204"/>
      <c r="TYQ87" s="204"/>
      <c r="TYR87" s="205"/>
      <c r="TYS87" s="206"/>
      <c r="TYT87" s="207"/>
      <c r="TYU87" s="207"/>
      <c r="TYV87" s="208"/>
      <c r="TYW87" s="209"/>
      <c r="TYX87" s="207"/>
      <c r="TYY87" s="210"/>
      <c r="TYZ87" s="209"/>
      <c r="TZA87" s="204"/>
      <c r="TZB87" s="204"/>
      <c r="TZC87" s="204"/>
      <c r="TZD87" s="199"/>
      <c r="TZE87" s="167"/>
      <c r="TZF87" s="199"/>
      <c r="TZG87" s="200"/>
      <c r="TZH87" s="201"/>
      <c r="TZI87" s="202"/>
      <c r="TZJ87" s="202"/>
      <c r="TZK87" s="202"/>
      <c r="TZL87" s="202"/>
      <c r="TZM87" s="203"/>
      <c r="TZN87" s="204"/>
      <c r="TZO87" s="204"/>
      <c r="TZP87" s="204"/>
      <c r="TZQ87" s="205"/>
      <c r="TZR87" s="206"/>
      <c r="TZS87" s="207"/>
      <c r="TZT87" s="207"/>
      <c r="TZU87" s="208"/>
      <c r="TZV87" s="209"/>
      <c r="TZW87" s="207"/>
      <c r="TZX87" s="210"/>
      <c r="TZY87" s="209"/>
      <c r="TZZ87" s="204"/>
      <c r="UAA87" s="204"/>
      <c r="UAB87" s="204"/>
      <c r="UAC87" s="199"/>
      <c r="UAD87" s="167"/>
      <c r="UAE87" s="199"/>
      <c r="UAF87" s="200"/>
      <c r="UAG87" s="201"/>
      <c r="UAH87" s="202"/>
      <c r="UAI87" s="202"/>
      <c r="UAJ87" s="202"/>
      <c r="UAK87" s="202"/>
      <c r="UAL87" s="203"/>
      <c r="UAM87" s="204"/>
      <c r="UAN87" s="204"/>
      <c r="UAO87" s="204"/>
      <c r="UAP87" s="205"/>
      <c r="UAQ87" s="206"/>
      <c r="UAR87" s="207"/>
      <c r="UAS87" s="207"/>
      <c r="UAT87" s="208"/>
      <c r="UAU87" s="209"/>
      <c r="UAV87" s="207"/>
      <c r="UAW87" s="210"/>
      <c r="UAX87" s="209"/>
      <c r="UAY87" s="204"/>
      <c r="UAZ87" s="204"/>
      <c r="UBA87" s="204"/>
      <c r="UBB87" s="199"/>
      <c r="UBC87" s="167"/>
      <c r="UBD87" s="199"/>
      <c r="UBE87" s="200"/>
      <c r="UBF87" s="201"/>
      <c r="UBG87" s="202"/>
      <c r="UBH87" s="202"/>
      <c r="UBI87" s="202"/>
      <c r="UBJ87" s="202"/>
      <c r="UBK87" s="203"/>
      <c r="UBL87" s="204"/>
      <c r="UBM87" s="204"/>
      <c r="UBN87" s="204"/>
      <c r="UBO87" s="205"/>
      <c r="UBP87" s="206"/>
      <c r="UBQ87" s="207"/>
      <c r="UBR87" s="207"/>
      <c r="UBS87" s="208"/>
      <c r="UBT87" s="209"/>
      <c r="UBU87" s="207"/>
      <c r="UBV87" s="210"/>
      <c r="UBW87" s="209"/>
      <c r="UBX87" s="204"/>
      <c r="UBY87" s="204"/>
      <c r="UBZ87" s="204"/>
      <c r="UCA87" s="199"/>
      <c r="UCB87" s="167"/>
      <c r="UCC87" s="199"/>
      <c r="UCD87" s="200"/>
      <c r="UCE87" s="201"/>
      <c r="UCF87" s="202"/>
      <c r="UCG87" s="202"/>
      <c r="UCH87" s="202"/>
      <c r="UCI87" s="202"/>
      <c r="UCJ87" s="203"/>
      <c r="UCK87" s="204"/>
      <c r="UCL87" s="204"/>
      <c r="UCM87" s="204"/>
      <c r="UCN87" s="205"/>
      <c r="UCO87" s="206"/>
      <c r="UCP87" s="207"/>
      <c r="UCQ87" s="207"/>
      <c r="UCR87" s="208"/>
      <c r="UCS87" s="209"/>
      <c r="UCT87" s="207"/>
      <c r="UCU87" s="210"/>
      <c r="UCV87" s="209"/>
      <c r="UCW87" s="204"/>
      <c r="UCX87" s="204"/>
      <c r="UCY87" s="204"/>
      <c r="UCZ87" s="199"/>
      <c r="UDA87" s="167"/>
      <c r="UDB87" s="199"/>
      <c r="UDC87" s="200"/>
      <c r="UDD87" s="201"/>
      <c r="UDE87" s="202"/>
      <c r="UDF87" s="202"/>
      <c r="UDG87" s="202"/>
      <c r="UDH87" s="202"/>
      <c r="UDI87" s="203"/>
      <c r="UDJ87" s="204"/>
      <c r="UDK87" s="204"/>
      <c r="UDL87" s="204"/>
      <c r="UDM87" s="205"/>
      <c r="UDN87" s="206"/>
      <c r="UDO87" s="207"/>
      <c r="UDP87" s="207"/>
      <c r="UDQ87" s="208"/>
      <c r="UDR87" s="209"/>
      <c r="UDS87" s="207"/>
      <c r="UDT87" s="210"/>
      <c r="UDU87" s="209"/>
      <c r="UDV87" s="204"/>
      <c r="UDW87" s="204"/>
      <c r="UDX87" s="204"/>
      <c r="UDY87" s="199"/>
      <c r="UDZ87" s="167"/>
      <c r="UEA87" s="199"/>
      <c r="UEB87" s="200"/>
      <c r="UEC87" s="201"/>
      <c r="UED87" s="202"/>
      <c r="UEE87" s="202"/>
      <c r="UEF87" s="202"/>
      <c r="UEG87" s="202"/>
      <c r="UEH87" s="203"/>
      <c r="UEI87" s="204"/>
      <c r="UEJ87" s="204"/>
      <c r="UEK87" s="204"/>
      <c r="UEL87" s="205"/>
      <c r="UEM87" s="206"/>
      <c r="UEN87" s="207"/>
      <c r="UEO87" s="207"/>
      <c r="UEP87" s="208"/>
      <c r="UEQ87" s="209"/>
      <c r="UER87" s="207"/>
      <c r="UES87" s="210"/>
      <c r="UET87" s="209"/>
      <c r="UEU87" s="204"/>
      <c r="UEV87" s="204"/>
      <c r="UEW87" s="204"/>
      <c r="UEX87" s="199"/>
      <c r="UEY87" s="167"/>
      <c r="UEZ87" s="199"/>
      <c r="UFA87" s="200"/>
      <c r="UFB87" s="201"/>
      <c r="UFC87" s="202"/>
      <c r="UFD87" s="202"/>
      <c r="UFE87" s="202"/>
      <c r="UFF87" s="202"/>
      <c r="UFG87" s="203"/>
      <c r="UFH87" s="204"/>
      <c r="UFI87" s="204"/>
      <c r="UFJ87" s="204"/>
      <c r="UFK87" s="205"/>
      <c r="UFL87" s="206"/>
      <c r="UFM87" s="207"/>
      <c r="UFN87" s="207"/>
      <c r="UFO87" s="208"/>
      <c r="UFP87" s="209"/>
      <c r="UFQ87" s="207"/>
      <c r="UFR87" s="210"/>
      <c r="UFS87" s="209"/>
      <c r="UFT87" s="204"/>
      <c r="UFU87" s="204"/>
      <c r="UFV87" s="204"/>
      <c r="UFW87" s="199"/>
      <c r="UFX87" s="167"/>
      <c r="UFY87" s="199"/>
      <c r="UFZ87" s="200"/>
      <c r="UGA87" s="201"/>
      <c r="UGB87" s="202"/>
      <c r="UGC87" s="202"/>
      <c r="UGD87" s="202"/>
      <c r="UGE87" s="202"/>
      <c r="UGF87" s="203"/>
      <c r="UGG87" s="204"/>
      <c r="UGH87" s="204"/>
      <c r="UGI87" s="204"/>
      <c r="UGJ87" s="205"/>
      <c r="UGK87" s="206"/>
      <c r="UGL87" s="207"/>
      <c r="UGM87" s="207"/>
      <c r="UGN87" s="208"/>
      <c r="UGO87" s="209"/>
      <c r="UGP87" s="207"/>
      <c r="UGQ87" s="210"/>
      <c r="UGR87" s="209"/>
      <c r="UGS87" s="204"/>
      <c r="UGT87" s="204"/>
      <c r="UGU87" s="204"/>
      <c r="UGV87" s="199"/>
      <c r="UGW87" s="167"/>
      <c r="UGX87" s="199"/>
      <c r="UGY87" s="200"/>
      <c r="UGZ87" s="201"/>
      <c r="UHA87" s="202"/>
      <c r="UHB87" s="202"/>
      <c r="UHC87" s="202"/>
      <c r="UHD87" s="202"/>
      <c r="UHE87" s="203"/>
      <c r="UHF87" s="204"/>
      <c r="UHG87" s="204"/>
      <c r="UHH87" s="204"/>
      <c r="UHI87" s="205"/>
      <c r="UHJ87" s="206"/>
      <c r="UHK87" s="207"/>
      <c r="UHL87" s="207"/>
      <c r="UHM87" s="208"/>
      <c r="UHN87" s="209"/>
      <c r="UHO87" s="207"/>
      <c r="UHP87" s="210"/>
      <c r="UHQ87" s="209"/>
      <c r="UHR87" s="204"/>
      <c r="UHS87" s="204"/>
      <c r="UHT87" s="204"/>
      <c r="UHU87" s="199"/>
      <c r="UHV87" s="167"/>
      <c r="UHW87" s="199"/>
      <c r="UHX87" s="200"/>
      <c r="UHY87" s="201"/>
      <c r="UHZ87" s="202"/>
      <c r="UIA87" s="202"/>
      <c r="UIB87" s="202"/>
      <c r="UIC87" s="202"/>
      <c r="UID87" s="203"/>
      <c r="UIE87" s="204"/>
      <c r="UIF87" s="204"/>
      <c r="UIG87" s="204"/>
      <c r="UIH87" s="205"/>
      <c r="UII87" s="206"/>
      <c r="UIJ87" s="207"/>
      <c r="UIK87" s="207"/>
      <c r="UIL87" s="208"/>
      <c r="UIM87" s="209"/>
      <c r="UIN87" s="207"/>
      <c r="UIO87" s="210"/>
      <c r="UIP87" s="209"/>
      <c r="UIQ87" s="204"/>
      <c r="UIR87" s="204"/>
      <c r="UIS87" s="204"/>
      <c r="UIT87" s="199"/>
      <c r="UIU87" s="167"/>
      <c r="UIV87" s="199"/>
      <c r="UIW87" s="200"/>
      <c r="UIX87" s="201"/>
      <c r="UIY87" s="202"/>
      <c r="UIZ87" s="202"/>
      <c r="UJA87" s="202"/>
      <c r="UJB87" s="202"/>
      <c r="UJC87" s="203"/>
      <c r="UJD87" s="204"/>
      <c r="UJE87" s="204"/>
      <c r="UJF87" s="204"/>
      <c r="UJG87" s="205"/>
      <c r="UJH87" s="206"/>
      <c r="UJI87" s="207"/>
      <c r="UJJ87" s="207"/>
      <c r="UJK87" s="208"/>
      <c r="UJL87" s="209"/>
      <c r="UJM87" s="207"/>
      <c r="UJN87" s="210"/>
      <c r="UJO87" s="209"/>
      <c r="UJP87" s="204"/>
      <c r="UJQ87" s="204"/>
      <c r="UJR87" s="204"/>
      <c r="UJS87" s="199"/>
      <c r="UJT87" s="167"/>
      <c r="UJU87" s="199"/>
      <c r="UJV87" s="200"/>
      <c r="UJW87" s="201"/>
      <c r="UJX87" s="202"/>
      <c r="UJY87" s="202"/>
      <c r="UJZ87" s="202"/>
      <c r="UKA87" s="202"/>
      <c r="UKB87" s="203"/>
      <c r="UKC87" s="204"/>
      <c r="UKD87" s="204"/>
      <c r="UKE87" s="204"/>
      <c r="UKF87" s="205"/>
      <c r="UKG87" s="206"/>
      <c r="UKH87" s="207"/>
      <c r="UKI87" s="207"/>
      <c r="UKJ87" s="208"/>
      <c r="UKK87" s="209"/>
      <c r="UKL87" s="207"/>
      <c r="UKM87" s="210"/>
      <c r="UKN87" s="209"/>
      <c r="UKO87" s="204"/>
      <c r="UKP87" s="204"/>
      <c r="UKQ87" s="204"/>
      <c r="UKR87" s="199"/>
      <c r="UKS87" s="167"/>
      <c r="UKT87" s="199"/>
      <c r="UKU87" s="200"/>
      <c r="UKV87" s="201"/>
      <c r="UKW87" s="202"/>
      <c r="UKX87" s="202"/>
      <c r="UKY87" s="202"/>
      <c r="UKZ87" s="202"/>
      <c r="ULA87" s="203"/>
      <c r="ULB87" s="204"/>
      <c r="ULC87" s="204"/>
      <c r="ULD87" s="204"/>
      <c r="ULE87" s="205"/>
      <c r="ULF87" s="206"/>
      <c r="ULG87" s="207"/>
      <c r="ULH87" s="207"/>
      <c r="ULI87" s="208"/>
      <c r="ULJ87" s="209"/>
      <c r="ULK87" s="207"/>
      <c r="ULL87" s="210"/>
      <c r="ULM87" s="209"/>
      <c r="ULN87" s="204"/>
      <c r="ULO87" s="204"/>
      <c r="ULP87" s="204"/>
      <c r="ULQ87" s="199"/>
      <c r="ULR87" s="167"/>
      <c r="ULS87" s="199"/>
      <c r="ULT87" s="200"/>
      <c r="ULU87" s="201"/>
      <c r="ULV87" s="202"/>
      <c r="ULW87" s="202"/>
      <c r="ULX87" s="202"/>
      <c r="ULY87" s="202"/>
      <c r="ULZ87" s="203"/>
      <c r="UMA87" s="204"/>
      <c r="UMB87" s="204"/>
      <c r="UMC87" s="204"/>
      <c r="UMD87" s="205"/>
      <c r="UME87" s="206"/>
      <c r="UMF87" s="207"/>
      <c r="UMG87" s="207"/>
      <c r="UMH87" s="208"/>
      <c r="UMI87" s="209"/>
      <c r="UMJ87" s="207"/>
      <c r="UMK87" s="210"/>
      <c r="UML87" s="209"/>
      <c r="UMM87" s="204"/>
      <c r="UMN87" s="204"/>
      <c r="UMO87" s="204"/>
      <c r="UMP87" s="199"/>
      <c r="UMQ87" s="167"/>
      <c r="UMR87" s="199"/>
      <c r="UMS87" s="200"/>
      <c r="UMT87" s="201"/>
      <c r="UMU87" s="202"/>
      <c r="UMV87" s="202"/>
      <c r="UMW87" s="202"/>
      <c r="UMX87" s="202"/>
      <c r="UMY87" s="203"/>
      <c r="UMZ87" s="204"/>
      <c r="UNA87" s="204"/>
      <c r="UNB87" s="204"/>
      <c r="UNC87" s="205"/>
      <c r="UND87" s="206"/>
      <c r="UNE87" s="207"/>
      <c r="UNF87" s="207"/>
      <c r="UNG87" s="208"/>
      <c r="UNH87" s="209"/>
      <c r="UNI87" s="207"/>
      <c r="UNJ87" s="210"/>
      <c r="UNK87" s="209"/>
      <c r="UNL87" s="204"/>
      <c r="UNM87" s="204"/>
      <c r="UNN87" s="204"/>
      <c r="UNO87" s="199"/>
      <c r="UNP87" s="167"/>
      <c r="UNQ87" s="199"/>
      <c r="UNR87" s="200"/>
      <c r="UNS87" s="201"/>
      <c r="UNT87" s="202"/>
      <c r="UNU87" s="202"/>
      <c r="UNV87" s="202"/>
      <c r="UNW87" s="202"/>
      <c r="UNX87" s="203"/>
      <c r="UNY87" s="204"/>
      <c r="UNZ87" s="204"/>
      <c r="UOA87" s="204"/>
      <c r="UOB87" s="205"/>
      <c r="UOC87" s="206"/>
      <c r="UOD87" s="207"/>
      <c r="UOE87" s="207"/>
      <c r="UOF87" s="208"/>
      <c r="UOG87" s="209"/>
      <c r="UOH87" s="207"/>
      <c r="UOI87" s="210"/>
      <c r="UOJ87" s="209"/>
      <c r="UOK87" s="204"/>
      <c r="UOL87" s="204"/>
      <c r="UOM87" s="204"/>
      <c r="UON87" s="199"/>
      <c r="UOO87" s="167"/>
      <c r="UOP87" s="199"/>
      <c r="UOQ87" s="200"/>
      <c r="UOR87" s="201"/>
      <c r="UOS87" s="202"/>
      <c r="UOT87" s="202"/>
      <c r="UOU87" s="202"/>
      <c r="UOV87" s="202"/>
      <c r="UOW87" s="203"/>
      <c r="UOX87" s="204"/>
      <c r="UOY87" s="204"/>
      <c r="UOZ87" s="204"/>
      <c r="UPA87" s="205"/>
      <c r="UPB87" s="206"/>
      <c r="UPC87" s="207"/>
      <c r="UPD87" s="207"/>
      <c r="UPE87" s="208"/>
      <c r="UPF87" s="209"/>
      <c r="UPG87" s="207"/>
      <c r="UPH87" s="210"/>
      <c r="UPI87" s="209"/>
      <c r="UPJ87" s="204"/>
      <c r="UPK87" s="204"/>
      <c r="UPL87" s="204"/>
      <c r="UPM87" s="199"/>
      <c r="UPN87" s="167"/>
      <c r="UPO87" s="199"/>
      <c r="UPP87" s="200"/>
      <c r="UPQ87" s="201"/>
      <c r="UPR87" s="202"/>
      <c r="UPS87" s="202"/>
      <c r="UPT87" s="202"/>
      <c r="UPU87" s="202"/>
      <c r="UPV87" s="203"/>
      <c r="UPW87" s="204"/>
      <c r="UPX87" s="204"/>
      <c r="UPY87" s="204"/>
      <c r="UPZ87" s="205"/>
      <c r="UQA87" s="206"/>
      <c r="UQB87" s="207"/>
      <c r="UQC87" s="207"/>
      <c r="UQD87" s="208"/>
      <c r="UQE87" s="209"/>
      <c r="UQF87" s="207"/>
      <c r="UQG87" s="210"/>
      <c r="UQH87" s="209"/>
      <c r="UQI87" s="204"/>
      <c r="UQJ87" s="204"/>
      <c r="UQK87" s="204"/>
      <c r="UQL87" s="199"/>
      <c r="UQM87" s="167"/>
      <c r="UQN87" s="199"/>
      <c r="UQO87" s="200"/>
      <c r="UQP87" s="201"/>
      <c r="UQQ87" s="202"/>
      <c r="UQR87" s="202"/>
      <c r="UQS87" s="202"/>
      <c r="UQT87" s="202"/>
      <c r="UQU87" s="203"/>
      <c r="UQV87" s="204"/>
      <c r="UQW87" s="204"/>
      <c r="UQX87" s="204"/>
      <c r="UQY87" s="205"/>
      <c r="UQZ87" s="206"/>
      <c r="URA87" s="207"/>
      <c r="URB87" s="207"/>
      <c r="URC87" s="208"/>
      <c r="URD87" s="209"/>
      <c r="URE87" s="207"/>
      <c r="URF87" s="210"/>
      <c r="URG87" s="209"/>
      <c r="URH87" s="204"/>
      <c r="URI87" s="204"/>
      <c r="URJ87" s="204"/>
      <c r="URK87" s="199"/>
      <c r="URL87" s="167"/>
      <c r="URM87" s="199"/>
      <c r="URN87" s="200"/>
      <c r="URO87" s="201"/>
      <c r="URP87" s="202"/>
      <c r="URQ87" s="202"/>
      <c r="URR87" s="202"/>
      <c r="URS87" s="202"/>
      <c r="URT87" s="203"/>
      <c r="URU87" s="204"/>
      <c r="URV87" s="204"/>
      <c r="URW87" s="204"/>
      <c r="URX87" s="205"/>
      <c r="URY87" s="206"/>
      <c r="URZ87" s="207"/>
      <c r="USA87" s="207"/>
      <c r="USB87" s="208"/>
      <c r="USC87" s="209"/>
      <c r="USD87" s="207"/>
      <c r="USE87" s="210"/>
      <c r="USF87" s="209"/>
      <c r="USG87" s="204"/>
      <c r="USH87" s="204"/>
      <c r="USI87" s="204"/>
      <c r="USJ87" s="199"/>
      <c r="USK87" s="167"/>
      <c r="USL87" s="199"/>
      <c r="USM87" s="200"/>
      <c r="USN87" s="201"/>
      <c r="USO87" s="202"/>
      <c r="USP87" s="202"/>
      <c r="USQ87" s="202"/>
      <c r="USR87" s="202"/>
      <c r="USS87" s="203"/>
      <c r="UST87" s="204"/>
      <c r="USU87" s="204"/>
      <c r="USV87" s="204"/>
      <c r="USW87" s="205"/>
      <c r="USX87" s="206"/>
      <c r="USY87" s="207"/>
      <c r="USZ87" s="207"/>
      <c r="UTA87" s="208"/>
      <c r="UTB87" s="209"/>
      <c r="UTC87" s="207"/>
      <c r="UTD87" s="210"/>
      <c r="UTE87" s="209"/>
      <c r="UTF87" s="204"/>
      <c r="UTG87" s="204"/>
      <c r="UTH87" s="204"/>
      <c r="UTI87" s="199"/>
      <c r="UTJ87" s="167"/>
      <c r="UTK87" s="199"/>
      <c r="UTL87" s="200"/>
      <c r="UTM87" s="201"/>
      <c r="UTN87" s="202"/>
      <c r="UTO87" s="202"/>
      <c r="UTP87" s="202"/>
      <c r="UTQ87" s="202"/>
      <c r="UTR87" s="203"/>
      <c r="UTS87" s="204"/>
      <c r="UTT87" s="204"/>
      <c r="UTU87" s="204"/>
      <c r="UTV87" s="205"/>
      <c r="UTW87" s="206"/>
      <c r="UTX87" s="207"/>
      <c r="UTY87" s="207"/>
      <c r="UTZ87" s="208"/>
      <c r="UUA87" s="209"/>
      <c r="UUB87" s="207"/>
      <c r="UUC87" s="210"/>
      <c r="UUD87" s="209"/>
      <c r="UUE87" s="204"/>
      <c r="UUF87" s="204"/>
      <c r="UUG87" s="204"/>
      <c r="UUH87" s="199"/>
      <c r="UUI87" s="167"/>
      <c r="UUJ87" s="199"/>
      <c r="UUK87" s="200"/>
      <c r="UUL87" s="201"/>
      <c r="UUM87" s="202"/>
      <c r="UUN87" s="202"/>
      <c r="UUO87" s="202"/>
      <c r="UUP87" s="202"/>
      <c r="UUQ87" s="203"/>
      <c r="UUR87" s="204"/>
      <c r="UUS87" s="204"/>
      <c r="UUT87" s="204"/>
      <c r="UUU87" s="205"/>
      <c r="UUV87" s="206"/>
      <c r="UUW87" s="207"/>
      <c r="UUX87" s="207"/>
      <c r="UUY87" s="208"/>
      <c r="UUZ87" s="209"/>
      <c r="UVA87" s="207"/>
      <c r="UVB87" s="210"/>
      <c r="UVC87" s="209"/>
      <c r="UVD87" s="204"/>
      <c r="UVE87" s="204"/>
      <c r="UVF87" s="204"/>
      <c r="UVG87" s="199"/>
      <c r="UVH87" s="167"/>
      <c r="UVI87" s="199"/>
      <c r="UVJ87" s="200"/>
      <c r="UVK87" s="201"/>
      <c r="UVL87" s="202"/>
      <c r="UVM87" s="202"/>
      <c r="UVN87" s="202"/>
      <c r="UVO87" s="202"/>
      <c r="UVP87" s="203"/>
      <c r="UVQ87" s="204"/>
      <c r="UVR87" s="204"/>
      <c r="UVS87" s="204"/>
      <c r="UVT87" s="205"/>
      <c r="UVU87" s="206"/>
      <c r="UVV87" s="207"/>
      <c r="UVW87" s="207"/>
      <c r="UVX87" s="208"/>
      <c r="UVY87" s="209"/>
      <c r="UVZ87" s="207"/>
      <c r="UWA87" s="210"/>
      <c r="UWB87" s="209"/>
      <c r="UWC87" s="204"/>
      <c r="UWD87" s="204"/>
      <c r="UWE87" s="204"/>
      <c r="UWF87" s="199"/>
      <c r="UWG87" s="167"/>
      <c r="UWH87" s="199"/>
      <c r="UWI87" s="200"/>
      <c r="UWJ87" s="201"/>
      <c r="UWK87" s="202"/>
      <c r="UWL87" s="202"/>
      <c r="UWM87" s="202"/>
      <c r="UWN87" s="202"/>
      <c r="UWO87" s="203"/>
      <c r="UWP87" s="204"/>
      <c r="UWQ87" s="204"/>
      <c r="UWR87" s="204"/>
      <c r="UWS87" s="205"/>
      <c r="UWT87" s="206"/>
      <c r="UWU87" s="207"/>
      <c r="UWV87" s="207"/>
      <c r="UWW87" s="208"/>
      <c r="UWX87" s="209"/>
      <c r="UWY87" s="207"/>
      <c r="UWZ87" s="210"/>
      <c r="UXA87" s="209"/>
      <c r="UXB87" s="204"/>
      <c r="UXC87" s="204"/>
      <c r="UXD87" s="204"/>
      <c r="UXE87" s="199"/>
      <c r="UXF87" s="167"/>
      <c r="UXG87" s="199"/>
      <c r="UXH87" s="200"/>
      <c r="UXI87" s="201"/>
      <c r="UXJ87" s="202"/>
      <c r="UXK87" s="202"/>
      <c r="UXL87" s="202"/>
      <c r="UXM87" s="202"/>
      <c r="UXN87" s="203"/>
      <c r="UXO87" s="204"/>
      <c r="UXP87" s="204"/>
      <c r="UXQ87" s="204"/>
      <c r="UXR87" s="205"/>
      <c r="UXS87" s="206"/>
      <c r="UXT87" s="207"/>
      <c r="UXU87" s="207"/>
      <c r="UXV87" s="208"/>
      <c r="UXW87" s="209"/>
      <c r="UXX87" s="207"/>
      <c r="UXY87" s="210"/>
      <c r="UXZ87" s="209"/>
      <c r="UYA87" s="204"/>
      <c r="UYB87" s="204"/>
      <c r="UYC87" s="204"/>
      <c r="UYD87" s="199"/>
      <c r="UYE87" s="167"/>
      <c r="UYF87" s="199"/>
      <c r="UYG87" s="200"/>
      <c r="UYH87" s="201"/>
      <c r="UYI87" s="202"/>
      <c r="UYJ87" s="202"/>
      <c r="UYK87" s="202"/>
      <c r="UYL87" s="202"/>
      <c r="UYM87" s="203"/>
      <c r="UYN87" s="204"/>
      <c r="UYO87" s="204"/>
      <c r="UYP87" s="204"/>
      <c r="UYQ87" s="205"/>
      <c r="UYR87" s="206"/>
      <c r="UYS87" s="207"/>
      <c r="UYT87" s="207"/>
      <c r="UYU87" s="208"/>
      <c r="UYV87" s="209"/>
      <c r="UYW87" s="207"/>
      <c r="UYX87" s="210"/>
      <c r="UYY87" s="209"/>
      <c r="UYZ87" s="204"/>
      <c r="UZA87" s="204"/>
      <c r="UZB87" s="204"/>
      <c r="UZC87" s="199"/>
      <c r="UZD87" s="167"/>
      <c r="UZE87" s="199"/>
      <c r="UZF87" s="200"/>
      <c r="UZG87" s="201"/>
      <c r="UZH87" s="202"/>
      <c r="UZI87" s="202"/>
      <c r="UZJ87" s="202"/>
      <c r="UZK87" s="202"/>
      <c r="UZL87" s="203"/>
      <c r="UZM87" s="204"/>
      <c r="UZN87" s="204"/>
      <c r="UZO87" s="204"/>
      <c r="UZP87" s="205"/>
      <c r="UZQ87" s="206"/>
      <c r="UZR87" s="207"/>
      <c r="UZS87" s="207"/>
      <c r="UZT87" s="208"/>
      <c r="UZU87" s="209"/>
      <c r="UZV87" s="207"/>
      <c r="UZW87" s="210"/>
      <c r="UZX87" s="209"/>
      <c r="UZY87" s="204"/>
      <c r="UZZ87" s="204"/>
      <c r="VAA87" s="204"/>
      <c r="VAB87" s="199"/>
      <c r="VAC87" s="167"/>
      <c r="VAD87" s="199"/>
      <c r="VAE87" s="200"/>
      <c r="VAF87" s="201"/>
      <c r="VAG87" s="202"/>
      <c r="VAH87" s="202"/>
      <c r="VAI87" s="202"/>
      <c r="VAJ87" s="202"/>
      <c r="VAK87" s="203"/>
      <c r="VAL87" s="204"/>
      <c r="VAM87" s="204"/>
      <c r="VAN87" s="204"/>
      <c r="VAO87" s="205"/>
      <c r="VAP87" s="206"/>
      <c r="VAQ87" s="207"/>
      <c r="VAR87" s="207"/>
      <c r="VAS87" s="208"/>
      <c r="VAT87" s="209"/>
      <c r="VAU87" s="207"/>
      <c r="VAV87" s="210"/>
      <c r="VAW87" s="209"/>
      <c r="VAX87" s="204"/>
      <c r="VAY87" s="204"/>
      <c r="VAZ87" s="204"/>
      <c r="VBA87" s="199"/>
      <c r="VBB87" s="167"/>
      <c r="VBC87" s="199"/>
      <c r="VBD87" s="200"/>
      <c r="VBE87" s="201"/>
      <c r="VBF87" s="202"/>
      <c r="VBG87" s="202"/>
      <c r="VBH87" s="202"/>
      <c r="VBI87" s="202"/>
      <c r="VBJ87" s="203"/>
      <c r="VBK87" s="204"/>
      <c r="VBL87" s="204"/>
      <c r="VBM87" s="204"/>
      <c r="VBN87" s="205"/>
      <c r="VBO87" s="206"/>
      <c r="VBP87" s="207"/>
      <c r="VBQ87" s="207"/>
      <c r="VBR87" s="208"/>
      <c r="VBS87" s="209"/>
      <c r="VBT87" s="207"/>
      <c r="VBU87" s="210"/>
      <c r="VBV87" s="209"/>
      <c r="VBW87" s="204"/>
      <c r="VBX87" s="204"/>
      <c r="VBY87" s="204"/>
      <c r="VBZ87" s="199"/>
      <c r="VCA87" s="167"/>
      <c r="VCB87" s="199"/>
      <c r="VCC87" s="200"/>
      <c r="VCD87" s="201"/>
      <c r="VCE87" s="202"/>
      <c r="VCF87" s="202"/>
      <c r="VCG87" s="202"/>
      <c r="VCH87" s="202"/>
      <c r="VCI87" s="203"/>
      <c r="VCJ87" s="204"/>
      <c r="VCK87" s="204"/>
      <c r="VCL87" s="204"/>
      <c r="VCM87" s="205"/>
      <c r="VCN87" s="206"/>
      <c r="VCO87" s="207"/>
      <c r="VCP87" s="207"/>
      <c r="VCQ87" s="208"/>
      <c r="VCR87" s="209"/>
      <c r="VCS87" s="207"/>
      <c r="VCT87" s="210"/>
      <c r="VCU87" s="209"/>
      <c r="VCV87" s="204"/>
      <c r="VCW87" s="204"/>
      <c r="VCX87" s="204"/>
      <c r="VCY87" s="199"/>
      <c r="VCZ87" s="167"/>
      <c r="VDA87" s="199"/>
      <c r="VDB87" s="200"/>
      <c r="VDC87" s="201"/>
      <c r="VDD87" s="202"/>
      <c r="VDE87" s="202"/>
      <c r="VDF87" s="202"/>
      <c r="VDG87" s="202"/>
      <c r="VDH87" s="203"/>
      <c r="VDI87" s="204"/>
      <c r="VDJ87" s="204"/>
      <c r="VDK87" s="204"/>
      <c r="VDL87" s="205"/>
      <c r="VDM87" s="206"/>
      <c r="VDN87" s="207"/>
      <c r="VDO87" s="207"/>
      <c r="VDP87" s="208"/>
      <c r="VDQ87" s="209"/>
      <c r="VDR87" s="207"/>
      <c r="VDS87" s="210"/>
      <c r="VDT87" s="209"/>
      <c r="VDU87" s="204"/>
      <c r="VDV87" s="204"/>
      <c r="VDW87" s="204"/>
      <c r="VDX87" s="199"/>
      <c r="VDY87" s="167"/>
      <c r="VDZ87" s="199"/>
      <c r="VEA87" s="200"/>
      <c r="VEB87" s="201"/>
      <c r="VEC87" s="202"/>
      <c r="VED87" s="202"/>
      <c r="VEE87" s="202"/>
      <c r="VEF87" s="202"/>
      <c r="VEG87" s="203"/>
      <c r="VEH87" s="204"/>
      <c r="VEI87" s="204"/>
      <c r="VEJ87" s="204"/>
      <c r="VEK87" s="205"/>
      <c r="VEL87" s="206"/>
      <c r="VEM87" s="207"/>
      <c r="VEN87" s="207"/>
      <c r="VEO87" s="208"/>
      <c r="VEP87" s="209"/>
      <c r="VEQ87" s="207"/>
      <c r="VER87" s="210"/>
      <c r="VES87" s="209"/>
      <c r="VET87" s="204"/>
      <c r="VEU87" s="204"/>
      <c r="VEV87" s="204"/>
      <c r="VEW87" s="199"/>
      <c r="VEX87" s="167"/>
      <c r="VEY87" s="199"/>
      <c r="VEZ87" s="200"/>
      <c r="VFA87" s="201"/>
      <c r="VFB87" s="202"/>
      <c r="VFC87" s="202"/>
      <c r="VFD87" s="202"/>
      <c r="VFE87" s="202"/>
      <c r="VFF87" s="203"/>
      <c r="VFG87" s="204"/>
      <c r="VFH87" s="204"/>
      <c r="VFI87" s="204"/>
      <c r="VFJ87" s="205"/>
      <c r="VFK87" s="206"/>
      <c r="VFL87" s="207"/>
      <c r="VFM87" s="207"/>
      <c r="VFN87" s="208"/>
      <c r="VFO87" s="209"/>
      <c r="VFP87" s="207"/>
      <c r="VFQ87" s="210"/>
      <c r="VFR87" s="209"/>
      <c r="VFS87" s="204"/>
      <c r="VFT87" s="204"/>
      <c r="VFU87" s="204"/>
      <c r="VFV87" s="199"/>
      <c r="VFW87" s="167"/>
      <c r="VFX87" s="199"/>
      <c r="VFY87" s="200"/>
      <c r="VFZ87" s="201"/>
      <c r="VGA87" s="202"/>
      <c r="VGB87" s="202"/>
      <c r="VGC87" s="202"/>
      <c r="VGD87" s="202"/>
      <c r="VGE87" s="203"/>
      <c r="VGF87" s="204"/>
      <c r="VGG87" s="204"/>
      <c r="VGH87" s="204"/>
      <c r="VGI87" s="205"/>
      <c r="VGJ87" s="206"/>
      <c r="VGK87" s="207"/>
      <c r="VGL87" s="207"/>
      <c r="VGM87" s="208"/>
      <c r="VGN87" s="209"/>
      <c r="VGO87" s="207"/>
      <c r="VGP87" s="210"/>
      <c r="VGQ87" s="209"/>
      <c r="VGR87" s="204"/>
      <c r="VGS87" s="204"/>
      <c r="VGT87" s="204"/>
      <c r="VGU87" s="199"/>
      <c r="VGV87" s="167"/>
      <c r="VGW87" s="199"/>
      <c r="VGX87" s="200"/>
      <c r="VGY87" s="201"/>
      <c r="VGZ87" s="202"/>
      <c r="VHA87" s="202"/>
      <c r="VHB87" s="202"/>
      <c r="VHC87" s="202"/>
      <c r="VHD87" s="203"/>
      <c r="VHE87" s="204"/>
      <c r="VHF87" s="204"/>
      <c r="VHG87" s="204"/>
      <c r="VHH87" s="205"/>
      <c r="VHI87" s="206"/>
      <c r="VHJ87" s="207"/>
      <c r="VHK87" s="207"/>
      <c r="VHL87" s="208"/>
      <c r="VHM87" s="209"/>
      <c r="VHN87" s="207"/>
      <c r="VHO87" s="210"/>
      <c r="VHP87" s="209"/>
      <c r="VHQ87" s="204"/>
      <c r="VHR87" s="204"/>
      <c r="VHS87" s="204"/>
      <c r="VHT87" s="199"/>
      <c r="VHU87" s="167"/>
      <c r="VHV87" s="199"/>
      <c r="VHW87" s="200"/>
      <c r="VHX87" s="201"/>
      <c r="VHY87" s="202"/>
      <c r="VHZ87" s="202"/>
      <c r="VIA87" s="202"/>
      <c r="VIB87" s="202"/>
      <c r="VIC87" s="203"/>
      <c r="VID87" s="204"/>
      <c r="VIE87" s="204"/>
      <c r="VIF87" s="204"/>
      <c r="VIG87" s="205"/>
      <c r="VIH87" s="206"/>
      <c r="VII87" s="207"/>
      <c r="VIJ87" s="207"/>
      <c r="VIK87" s="208"/>
      <c r="VIL87" s="209"/>
      <c r="VIM87" s="207"/>
      <c r="VIN87" s="210"/>
      <c r="VIO87" s="209"/>
      <c r="VIP87" s="204"/>
      <c r="VIQ87" s="204"/>
      <c r="VIR87" s="204"/>
      <c r="VIS87" s="199"/>
      <c r="VIT87" s="167"/>
      <c r="VIU87" s="199"/>
      <c r="VIV87" s="200"/>
      <c r="VIW87" s="201"/>
      <c r="VIX87" s="202"/>
      <c r="VIY87" s="202"/>
      <c r="VIZ87" s="202"/>
      <c r="VJA87" s="202"/>
      <c r="VJB87" s="203"/>
      <c r="VJC87" s="204"/>
      <c r="VJD87" s="204"/>
      <c r="VJE87" s="204"/>
      <c r="VJF87" s="205"/>
      <c r="VJG87" s="206"/>
      <c r="VJH87" s="207"/>
      <c r="VJI87" s="207"/>
      <c r="VJJ87" s="208"/>
      <c r="VJK87" s="209"/>
      <c r="VJL87" s="207"/>
      <c r="VJM87" s="210"/>
      <c r="VJN87" s="209"/>
      <c r="VJO87" s="204"/>
      <c r="VJP87" s="204"/>
      <c r="VJQ87" s="204"/>
      <c r="VJR87" s="199"/>
      <c r="VJS87" s="167"/>
      <c r="VJT87" s="199"/>
      <c r="VJU87" s="200"/>
      <c r="VJV87" s="201"/>
      <c r="VJW87" s="202"/>
      <c r="VJX87" s="202"/>
      <c r="VJY87" s="202"/>
      <c r="VJZ87" s="202"/>
      <c r="VKA87" s="203"/>
      <c r="VKB87" s="204"/>
      <c r="VKC87" s="204"/>
      <c r="VKD87" s="204"/>
      <c r="VKE87" s="205"/>
      <c r="VKF87" s="206"/>
      <c r="VKG87" s="207"/>
      <c r="VKH87" s="207"/>
      <c r="VKI87" s="208"/>
      <c r="VKJ87" s="209"/>
      <c r="VKK87" s="207"/>
      <c r="VKL87" s="210"/>
      <c r="VKM87" s="209"/>
      <c r="VKN87" s="204"/>
      <c r="VKO87" s="204"/>
      <c r="VKP87" s="204"/>
      <c r="VKQ87" s="199"/>
      <c r="VKR87" s="167"/>
      <c r="VKS87" s="199"/>
      <c r="VKT87" s="200"/>
      <c r="VKU87" s="201"/>
      <c r="VKV87" s="202"/>
      <c r="VKW87" s="202"/>
      <c r="VKX87" s="202"/>
      <c r="VKY87" s="202"/>
      <c r="VKZ87" s="203"/>
      <c r="VLA87" s="204"/>
      <c r="VLB87" s="204"/>
      <c r="VLC87" s="204"/>
      <c r="VLD87" s="205"/>
      <c r="VLE87" s="206"/>
      <c r="VLF87" s="207"/>
      <c r="VLG87" s="207"/>
      <c r="VLH87" s="208"/>
      <c r="VLI87" s="209"/>
      <c r="VLJ87" s="207"/>
      <c r="VLK87" s="210"/>
      <c r="VLL87" s="209"/>
      <c r="VLM87" s="204"/>
      <c r="VLN87" s="204"/>
      <c r="VLO87" s="204"/>
      <c r="VLP87" s="199"/>
      <c r="VLQ87" s="167"/>
      <c r="VLR87" s="199"/>
      <c r="VLS87" s="200"/>
      <c r="VLT87" s="201"/>
      <c r="VLU87" s="202"/>
      <c r="VLV87" s="202"/>
      <c r="VLW87" s="202"/>
      <c r="VLX87" s="202"/>
      <c r="VLY87" s="203"/>
      <c r="VLZ87" s="204"/>
      <c r="VMA87" s="204"/>
      <c r="VMB87" s="204"/>
      <c r="VMC87" s="205"/>
      <c r="VMD87" s="206"/>
      <c r="VME87" s="207"/>
      <c r="VMF87" s="207"/>
      <c r="VMG87" s="208"/>
      <c r="VMH87" s="209"/>
      <c r="VMI87" s="207"/>
      <c r="VMJ87" s="210"/>
      <c r="VMK87" s="209"/>
      <c r="VML87" s="204"/>
      <c r="VMM87" s="204"/>
      <c r="VMN87" s="204"/>
      <c r="VMO87" s="199"/>
      <c r="VMP87" s="167"/>
      <c r="VMQ87" s="199"/>
      <c r="VMR87" s="200"/>
      <c r="VMS87" s="201"/>
      <c r="VMT87" s="202"/>
      <c r="VMU87" s="202"/>
      <c r="VMV87" s="202"/>
      <c r="VMW87" s="202"/>
      <c r="VMX87" s="203"/>
      <c r="VMY87" s="204"/>
      <c r="VMZ87" s="204"/>
      <c r="VNA87" s="204"/>
      <c r="VNB87" s="205"/>
      <c r="VNC87" s="206"/>
      <c r="VND87" s="207"/>
      <c r="VNE87" s="207"/>
      <c r="VNF87" s="208"/>
      <c r="VNG87" s="209"/>
      <c r="VNH87" s="207"/>
      <c r="VNI87" s="210"/>
      <c r="VNJ87" s="209"/>
      <c r="VNK87" s="204"/>
      <c r="VNL87" s="204"/>
      <c r="VNM87" s="204"/>
      <c r="VNN87" s="199"/>
      <c r="VNO87" s="167"/>
      <c r="VNP87" s="199"/>
      <c r="VNQ87" s="200"/>
      <c r="VNR87" s="201"/>
      <c r="VNS87" s="202"/>
      <c r="VNT87" s="202"/>
      <c r="VNU87" s="202"/>
      <c r="VNV87" s="202"/>
      <c r="VNW87" s="203"/>
      <c r="VNX87" s="204"/>
      <c r="VNY87" s="204"/>
      <c r="VNZ87" s="204"/>
      <c r="VOA87" s="205"/>
      <c r="VOB87" s="206"/>
      <c r="VOC87" s="207"/>
      <c r="VOD87" s="207"/>
      <c r="VOE87" s="208"/>
      <c r="VOF87" s="209"/>
      <c r="VOG87" s="207"/>
      <c r="VOH87" s="210"/>
      <c r="VOI87" s="209"/>
      <c r="VOJ87" s="204"/>
      <c r="VOK87" s="204"/>
      <c r="VOL87" s="204"/>
      <c r="VOM87" s="199"/>
      <c r="VON87" s="167"/>
      <c r="VOO87" s="199"/>
      <c r="VOP87" s="200"/>
      <c r="VOQ87" s="201"/>
      <c r="VOR87" s="202"/>
      <c r="VOS87" s="202"/>
      <c r="VOT87" s="202"/>
      <c r="VOU87" s="202"/>
      <c r="VOV87" s="203"/>
      <c r="VOW87" s="204"/>
      <c r="VOX87" s="204"/>
      <c r="VOY87" s="204"/>
      <c r="VOZ87" s="205"/>
      <c r="VPA87" s="206"/>
      <c r="VPB87" s="207"/>
      <c r="VPC87" s="207"/>
      <c r="VPD87" s="208"/>
      <c r="VPE87" s="209"/>
      <c r="VPF87" s="207"/>
      <c r="VPG87" s="210"/>
      <c r="VPH87" s="209"/>
      <c r="VPI87" s="204"/>
      <c r="VPJ87" s="204"/>
      <c r="VPK87" s="204"/>
      <c r="VPL87" s="199"/>
      <c r="VPM87" s="167"/>
      <c r="VPN87" s="199"/>
      <c r="VPO87" s="200"/>
      <c r="VPP87" s="201"/>
      <c r="VPQ87" s="202"/>
      <c r="VPR87" s="202"/>
      <c r="VPS87" s="202"/>
      <c r="VPT87" s="202"/>
      <c r="VPU87" s="203"/>
      <c r="VPV87" s="204"/>
      <c r="VPW87" s="204"/>
      <c r="VPX87" s="204"/>
      <c r="VPY87" s="205"/>
      <c r="VPZ87" s="206"/>
      <c r="VQA87" s="207"/>
      <c r="VQB87" s="207"/>
      <c r="VQC87" s="208"/>
      <c r="VQD87" s="209"/>
      <c r="VQE87" s="207"/>
      <c r="VQF87" s="210"/>
      <c r="VQG87" s="209"/>
      <c r="VQH87" s="204"/>
      <c r="VQI87" s="204"/>
      <c r="VQJ87" s="204"/>
      <c r="VQK87" s="199"/>
      <c r="VQL87" s="167"/>
      <c r="VQM87" s="199"/>
      <c r="VQN87" s="200"/>
      <c r="VQO87" s="201"/>
      <c r="VQP87" s="202"/>
      <c r="VQQ87" s="202"/>
      <c r="VQR87" s="202"/>
      <c r="VQS87" s="202"/>
      <c r="VQT87" s="203"/>
      <c r="VQU87" s="204"/>
      <c r="VQV87" s="204"/>
      <c r="VQW87" s="204"/>
      <c r="VQX87" s="205"/>
      <c r="VQY87" s="206"/>
      <c r="VQZ87" s="207"/>
      <c r="VRA87" s="207"/>
      <c r="VRB87" s="208"/>
      <c r="VRC87" s="209"/>
      <c r="VRD87" s="207"/>
      <c r="VRE87" s="210"/>
      <c r="VRF87" s="209"/>
      <c r="VRG87" s="204"/>
      <c r="VRH87" s="204"/>
      <c r="VRI87" s="204"/>
      <c r="VRJ87" s="199"/>
      <c r="VRK87" s="167"/>
      <c r="VRL87" s="199"/>
      <c r="VRM87" s="200"/>
      <c r="VRN87" s="201"/>
      <c r="VRO87" s="202"/>
      <c r="VRP87" s="202"/>
      <c r="VRQ87" s="202"/>
      <c r="VRR87" s="202"/>
      <c r="VRS87" s="203"/>
      <c r="VRT87" s="204"/>
      <c r="VRU87" s="204"/>
      <c r="VRV87" s="204"/>
      <c r="VRW87" s="205"/>
      <c r="VRX87" s="206"/>
      <c r="VRY87" s="207"/>
      <c r="VRZ87" s="207"/>
      <c r="VSA87" s="208"/>
      <c r="VSB87" s="209"/>
      <c r="VSC87" s="207"/>
      <c r="VSD87" s="210"/>
      <c r="VSE87" s="209"/>
      <c r="VSF87" s="204"/>
      <c r="VSG87" s="204"/>
      <c r="VSH87" s="204"/>
      <c r="VSI87" s="199"/>
      <c r="VSJ87" s="167"/>
      <c r="VSK87" s="199"/>
      <c r="VSL87" s="200"/>
      <c r="VSM87" s="201"/>
      <c r="VSN87" s="202"/>
      <c r="VSO87" s="202"/>
      <c r="VSP87" s="202"/>
      <c r="VSQ87" s="202"/>
      <c r="VSR87" s="203"/>
      <c r="VSS87" s="204"/>
      <c r="VST87" s="204"/>
      <c r="VSU87" s="204"/>
      <c r="VSV87" s="205"/>
      <c r="VSW87" s="206"/>
      <c r="VSX87" s="207"/>
      <c r="VSY87" s="207"/>
      <c r="VSZ87" s="208"/>
      <c r="VTA87" s="209"/>
      <c r="VTB87" s="207"/>
      <c r="VTC87" s="210"/>
      <c r="VTD87" s="209"/>
      <c r="VTE87" s="204"/>
      <c r="VTF87" s="204"/>
      <c r="VTG87" s="204"/>
      <c r="VTH87" s="199"/>
      <c r="VTI87" s="167"/>
      <c r="VTJ87" s="199"/>
      <c r="VTK87" s="200"/>
      <c r="VTL87" s="201"/>
      <c r="VTM87" s="202"/>
      <c r="VTN87" s="202"/>
      <c r="VTO87" s="202"/>
      <c r="VTP87" s="202"/>
      <c r="VTQ87" s="203"/>
      <c r="VTR87" s="204"/>
      <c r="VTS87" s="204"/>
      <c r="VTT87" s="204"/>
      <c r="VTU87" s="205"/>
      <c r="VTV87" s="206"/>
      <c r="VTW87" s="207"/>
      <c r="VTX87" s="207"/>
      <c r="VTY87" s="208"/>
      <c r="VTZ87" s="209"/>
      <c r="VUA87" s="207"/>
      <c r="VUB87" s="210"/>
      <c r="VUC87" s="209"/>
      <c r="VUD87" s="204"/>
      <c r="VUE87" s="204"/>
      <c r="VUF87" s="204"/>
      <c r="VUG87" s="199"/>
      <c r="VUH87" s="167"/>
      <c r="VUI87" s="199"/>
      <c r="VUJ87" s="200"/>
      <c r="VUK87" s="201"/>
      <c r="VUL87" s="202"/>
      <c r="VUM87" s="202"/>
      <c r="VUN87" s="202"/>
      <c r="VUO87" s="202"/>
      <c r="VUP87" s="203"/>
      <c r="VUQ87" s="204"/>
      <c r="VUR87" s="204"/>
      <c r="VUS87" s="204"/>
      <c r="VUT87" s="205"/>
      <c r="VUU87" s="206"/>
      <c r="VUV87" s="207"/>
      <c r="VUW87" s="207"/>
      <c r="VUX87" s="208"/>
      <c r="VUY87" s="209"/>
      <c r="VUZ87" s="207"/>
      <c r="VVA87" s="210"/>
      <c r="VVB87" s="209"/>
      <c r="VVC87" s="204"/>
      <c r="VVD87" s="204"/>
      <c r="VVE87" s="204"/>
      <c r="VVF87" s="199"/>
      <c r="VVG87" s="167"/>
      <c r="VVH87" s="199"/>
      <c r="VVI87" s="200"/>
      <c r="VVJ87" s="201"/>
      <c r="VVK87" s="202"/>
      <c r="VVL87" s="202"/>
      <c r="VVM87" s="202"/>
      <c r="VVN87" s="202"/>
      <c r="VVO87" s="203"/>
      <c r="VVP87" s="204"/>
      <c r="VVQ87" s="204"/>
      <c r="VVR87" s="204"/>
      <c r="VVS87" s="205"/>
      <c r="VVT87" s="206"/>
      <c r="VVU87" s="207"/>
      <c r="VVV87" s="207"/>
      <c r="VVW87" s="208"/>
      <c r="VVX87" s="209"/>
      <c r="VVY87" s="207"/>
      <c r="VVZ87" s="210"/>
      <c r="VWA87" s="209"/>
      <c r="VWB87" s="204"/>
      <c r="VWC87" s="204"/>
      <c r="VWD87" s="204"/>
      <c r="VWE87" s="199"/>
      <c r="VWF87" s="167"/>
      <c r="VWG87" s="199"/>
      <c r="VWH87" s="200"/>
      <c r="VWI87" s="201"/>
      <c r="VWJ87" s="202"/>
      <c r="VWK87" s="202"/>
      <c r="VWL87" s="202"/>
      <c r="VWM87" s="202"/>
      <c r="VWN87" s="203"/>
      <c r="VWO87" s="204"/>
      <c r="VWP87" s="204"/>
      <c r="VWQ87" s="204"/>
      <c r="VWR87" s="205"/>
      <c r="VWS87" s="206"/>
      <c r="VWT87" s="207"/>
      <c r="VWU87" s="207"/>
      <c r="VWV87" s="208"/>
      <c r="VWW87" s="209"/>
      <c r="VWX87" s="207"/>
      <c r="VWY87" s="210"/>
      <c r="VWZ87" s="209"/>
      <c r="VXA87" s="204"/>
      <c r="VXB87" s="204"/>
      <c r="VXC87" s="204"/>
      <c r="VXD87" s="199"/>
      <c r="VXE87" s="167"/>
      <c r="VXF87" s="199"/>
      <c r="VXG87" s="200"/>
      <c r="VXH87" s="201"/>
      <c r="VXI87" s="202"/>
      <c r="VXJ87" s="202"/>
      <c r="VXK87" s="202"/>
      <c r="VXL87" s="202"/>
      <c r="VXM87" s="203"/>
      <c r="VXN87" s="204"/>
      <c r="VXO87" s="204"/>
      <c r="VXP87" s="204"/>
      <c r="VXQ87" s="205"/>
      <c r="VXR87" s="206"/>
      <c r="VXS87" s="207"/>
      <c r="VXT87" s="207"/>
      <c r="VXU87" s="208"/>
      <c r="VXV87" s="209"/>
      <c r="VXW87" s="207"/>
      <c r="VXX87" s="210"/>
      <c r="VXY87" s="209"/>
      <c r="VXZ87" s="204"/>
      <c r="VYA87" s="204"/>
      <c r="VYB87" s="204"/>
      <c r="VYC87" s="199"/>
      <c r="VYD87" s="167"/>
      <c r="VYE87" s="199"/>
      <c r="VYF87" s="200"/>
      <c r="VYG87" s="201"/>
      <c r="VYH87" s="202"/>
      <c r="VYI87" s="202"/>
      <c r="VYJ87" s="202"/>
      <c r="VYK87" s="202"/>
      <c r="VYL87" s="203"/>
      <c r="VYM87" s="204"/>
      <c r="VYN87" s="204"/>
      <c r="VYO87" s="204"/>
      <c r="VYP87" s="205"/>
      <c r="VYQ87" s="206"/>
      <c r="VYR87" s="207"/>
      <c r="VYS87" s="207"/>
      <c r="VYT87" s="208"/>
      <c r="VYU87" s="209"/>
      <c r="VYV87" s="207"/>
      <c r="VYW87" s="210"/>
      <c r="VYX87" s="209"/>
      <c r="VYY87" s="204"/>
      <c r="VYZ87" s="204"/>
      <c r="VZA87" s="204"/>
      <c r="VZB87" s="199"/>
      <c r="VZC87" s="167"/>
      <c r="VZD87" s="199"/>
      <c r="VZE87" s="200"/>
      <c r="VZF87" s="201"/>
      <c r="VZG87" s="202"/>
      <c r="VZH87" s="202"/>
      <c r="VZI87" s="202"/>
      <c r="VZJ87" s="202"/>
      <c r="VZK87" s="203"/>
      <c r="VZL87" s="204"/>
      <c r="VZM87" s="204"/>
      <c r="VZN87" s="204"/>
      <c r="VZO87" s="205"/>
      <c r="VZP87" s="206"/>
      <c r="VZQ87" s="207"/>
      <c r="VZR87" s="207"/>
      <c r="VZS87" s="208"/>
      <c r="VZT87" s="209"/>
      <c r="VZU87" s="207"/>
      <c r="VZV87" s="210"/>
      <c r="VZW87" s="209"/>
      <c r="VZX87" s="204"/>
      <c r="VZY87" s="204"/>
      <c r="VZZ87" s="204"/>
      <c r="WAA87" s="199"/>
      <c r="WAB87" s="167"/>
      <c r="WAC87" s="199"/>
      <c r="WAD87" s="200"/>
      <c r="WAE87" s="201"/>
      <c r="WAF87" s="202"/>
      <c r="WAG87" s="202"/>
      <c r="WAH87" s="202"/>
      <c r="WAI87" s="202"/>
      <c r="WAJ87" s="203"/>
      <c r="WAK87" s="204"/>
      <c r="WAL87" s="204"/>
      <c r="WAM87" s="204"/>
      <c r="WAN87" s="205"/>
      <c r="WAO87" s="206"/>
      <c r="WAP87" s="207"/>
      <c r="WAQ87" s="207"/>
      <c r="WAR87" s="208"/>
      <c r="WAS87" s="209"/>
      <c r="WAT87" s="207"/>
      <c r="WAU87" s="210"/>
      <c r="WAV87" s="209"/>
      <c r="WAW87" s="204"/>
      <c r="WAX87" s="204"/>
      <c r="WAY87" s="204"/>
      <c r="WAZ87" s="199"/>
      <c r="WBA87" s="167"/>
      <c r="WBB87" s="199"/>
      <c r="WBC87" s="200"/>
      <c r="WBD87" s="201"/>
      <c r="WBE87" s="202"/>
      <c r="WBF87" s="202"/>
      <c r="WBG87" s="202"/>
      <c r="WBH87" s="202"/>
      <c r="WBI87" s="203"/>
      <c r="WBJ87" s="204"/>
      <c r="WBK87" s="204"/>
      <c r="WBL87" s="204"/>
      <c r="WBM87" s="205"/>
      <c r="WBN87" s="206"/>
      <c r="WBO87" s="207"/>
      <c r="WBP87" s="207"/>
      <c r="WBQ87" s="208"/>
      <c r="WBR87" s="209"/>
      <c r="WBS87" s="207"/>
      <c r="WBT87" s="210"/>
      <c r="WBU87" s="209"/>
      <c r="WBV87" s="204"/>
      <c r="WBW87" s="204"/>
      <c r="WBX87" s="204"/>
      <c r="WBY87" s="199"/>
      <c r="WBZ87" s="167"/>
      <c r="WCA87" s="199"/>
      <c r="WCB87" s="200"/>
      <c r="WCC87" s="201"/>
      <c r="WCD87" s="202"/>
      <c r="WCE87" s="202"/>
      <c r="WCF87" s="202"/>
      <c r="WCG87" s="202"/>
      <c r="WCH87" s="203"/>
      <c r="WCI87" s="204"/>
      <c r="WCJ87" s="204"/>
      <c r="WCK87" s="204"/>
      <c r="WCL87" s="205"/>
      <c r="WCM87" s="206"/>
      <c r="WCN87" s="207"/>
      <c r="WCO87" s="207"/>
      <c r="WCP87" s="208"/>
      <c r="WCQ87" s="209"/>
      <c r="WCR87" s="207"/>
      <c r="WCS87" s="210"/>
      <c r="WCT87" s="209"/>
      <c r="WCU87" s="204"/>
      <c r="WCV87" s="204"/>
      <c r="WCW87" s="204"/>
      <c r="WCX87" s="199"/>
      <c r="WCY87" s="167"/>
      <c r="WCZ87" s="199"/>
      <c r="WDA87" s="200"/>
      <c r="WDB87" s="201"/>
      <c r="WDC87" s="202"/>
      <c r="WDD87" s="202"/>
      <c r="WDE87" s="202"/>
      <c r="WDF87" s="202"/>
      <c r="WDG87" s="203"/>
      <c r="WDH87" s="204"/>
      <c r="WDI87" s="204"/>
      <c r="WDJ87" s="204"/>
      <c r="WDK87" s="205"/>
      <c r="WDL87" s="206"/>
      <c r="WDM87" s="207"/>
      <c r="WDN87" s="207"/>
      <c r="WDO87" s="208"/>
      <c r="WDP87" s="209"/>
      <c r="WDQ87" s="207"/>
      <c r="WDR87" s="210"/>
      <c r="WDS87" s="209"/>
      <c r="WDT87" s="204"/>
      <c r="WDU87" s="204"/>
      <c r="WDV87" s="204"/>
      <c r="WDW87" s="199"/>
      <c r="WDX87" s="167"/>
      <c r="WDY87" s="199"/>
      <c r="WDZ87" s="200"/>
      <c r="WEA87" s="201"/>
      <c r="WEB87" s="202"/>
      <c r="WEC87" s="202"/>
      <c r="WED87" s="202"/>
      <c r="WEE87" s="202"/>
      <c r="WEF87" s="203"/>
      <c r="WEG87" s="204"/>
      <c r="WEH87" s="204"/>
      <c r="WEI87" s="204"/>
      <c r="WEJ87" s="205"/>
      <c r="WEK87" s="206"/>
      <c r="WEL87" s="207"/>
      <c r="WEM87" s="207"/>
      <c r="WEN87" s="208"/>
      <c r="WEO87" s="209"/>
      <c r="WEP87" s="207"/>
      <c r="WEQ87" s="210"/>
      <c r="WER87" s="209"/>
      <c r="WES87" s="204"/>
      <c r="WET87" s="204"/>
      <c r="WEU87" s="204"/>
      <c r="WEV87" s="199"/>
      <c r="WEW87" s="167"/>
      <c r="WEX87" s="199"/>
      <c r="WEY87" s="200"/>
      <c r="WEZ87" s="201"/>
      <c r="WFA87" s="202"/>
      <c r="WFB87" s="202"/>
      <c r="WFC87" s="202"/>
      <c r="WFD87" s="202"/>
      <c r="WFE87" s="203"/>
      <c r="WFF87" s="204"/>
      <c r="WFG87" s="204"/>
      <c r="WFH87" s="204"/>
      <c r="WFI87" s="205"/>
      <c r="WFJ87" s="206"/>
      <c r="WFK87" s="207"/>
      <c r="WFL87" s="207"/>
      <c r="WFM87" s="208"/>
      <c r="WFN87" s="209"/>
      <c r="WFO87" s="207"/>
      <c r="WFP87" s="210"/>
      <c r="WFQ87" s="209"/>
      <c r="WFR87" s="204"/>
      <c r="WFS87" s="204"/>
      <c r="WFT87" s="204"/>
      <c r="WFU87" s="199"/>
      <c r="WFV87" s="167"/>
      <c r="WFW87" s="199"/>
      <c r="WFX87" s="200"/>
      <c r="WFY87" s="201"/>
      <c r="WFZ87" s="202"/>
      <c r="WGA87" s="202"/>
      <c r="WGB87" s="202"/>
      <c r="WGC87" s="202"/>
      <c r="WGD87" s="203"/>
      <c r="WGE87" s="204"/>
      <c r="WGF87" s="204"/>
      <c r="WGG87" s="204"/>
      <c r="WGH87" s="205"/>
      <c r="WGI87" s="206"/>
      <c r="WGJ87" s="207"/>
      <c r="WGK87" s="207"/>
      <c r="WGL87" s="208"/>
      <c r="WGM87" s="209"/>
      <c r="WGN87" s="207"/>
      <c r="WGO87" s="210"/>
      <c r="WGP87" s="209"/>
      <c r="WGQ87" s="204"/>
      <c r="WGR87" s="204"/>
      <c r="WGS87" s="204"/>
      <c r="WGT87" s="199"/>
      <c r="WGU87" s="167"/>
      <c r="WGV87" s="199"/>
      <c r="WGW87" s="200"/>
      <c r="WGX87" s="201"/>
      <c r="WGY87" s="202"/>
      <c r="WGZ87" s="202"/>
      <c r="WHA87" s="202"/>
      <c r="WHB87" s="202"/>
      <c r="WHC87" s="203"/>
      <c r="WHD87" s="204"/>
      <c r="WHE87" s="204"/>
      <c r="WHF87" s="204"/>
      <c r="WHG87" s="205"/>
      <c r="WHH87" s="206"/>
      <c r="WHI87" s="207"/>
      <c r="WHJ87" s="207"/>
      <c r="WHK87" s="208"/>
      <c r="WHL87" s="209"/>
      <c r="WHM87" s="207"/>
      <c r="WHN87" s="210"/>
      <c r="WHO87" s="209"/>
      <c r="WHP87" s="204"/>
      <c r="WHQ87" s="204"/>
      <c r="WHR87" s="204"/>
      <c r="WHS87" s="199"/>
      <c r="WHT87" s="167"/>
      <c r="WHU87" s="199"/>
      <c r="WHV87" s="200"/>
      <c r="WHW87" s="201"/>
      <c r="WHX87" s="202"/>
      <c r="WHY87" s="202"/>
      <c r="WHZ87" s="202"/>
      <c r="WIA87" s="202"/>
      <c r="WIB87" s="203"/>
      <c r="WIC87" s="204"/>
      <c r="WID87" s="204"/>
      <c r="WIE87" s="204"/>
      <c r="WIF87" s="205"/>
      <c r="WIG87" s="206"/>
      <c r="WIH87" s="207"/>
      <c r="WII87" s="207"/>
      <c r="WIJ87" s="208"/>
      <c r="WIK87" s="209"/>
      <c r="WIL87" s="207"/>
      <c r="WIM87" s="210"/>
      <c r="WIN87" s="209"/>
      <c r="WIO87" s="204"/>
      <c r="WIP87" s="204"/>
      <c r="WIQ87" s="204"/>
      <c r="WIR87" s="199"/>
      <c r="WIS87" s="167"/>
      <c r="WIT87" s="199"/>
      <c r="WIU87" s="200"/>
      <c r="WIV87" s="201"/>
      <c r="WIW87" s="202"/>
      <c r="WIX87" s="202"/>
      <c r="WIY87" s="202"/>
      <c r="WIZ87" s="202"/>
      <c r="WJA87" s="203"/>
      <c r="WJB87" s="204"/>
      <c r="WJC87" s="204"/>
      <c r="WJD87" s="204"/>
      <c r="WJE87" s="205"/>
      <c r="WJF87" s="206"/>
      <c r="WJG87" s="207"/>
      <c r="WJH87" s="207"/>
      <c r="WJI87" s="208"/>
      <c r="WJJ87" s="209"/>
      <c r="WJK87" s="207"/>
      <c r="WJL87" s="210"/>
      <c r="WJM87" s="209"/>
      <c r="WJN87" s="204"/>
      <c r="WJO87" s="204"/>
      <c r="WJP87" s="204"/>
      <c r="WJQ87" s="199"/>
      <c r="WJR87" s="167"/>
      <c r="WJS87" s="199"/>
      <c r="WJT87" s="200"/>
      <c r="WJU87" s="201"/>
      <c r="WJV87" s="202"/>
      <c r="WJW87" s="202"/>
      <c r="WJX87" s="202"/>
      <c r="WJY87" s="202"/>
      <c r="WJZ87" s="203"/>
      <c r="WKA87" s="204"/>
      <c r="WKB87" s="204"/>
      <c r="WKC87" s="204"/>
      <c r="WKD87" s="205"/>
      <c r="WKE87" s="206"/>
      <c r="WKF87" s="207"/>
      <c r="WKG87" s="207"/>
      <c r="WKH87" s="208"/>
      <c r="WKI87" s="209"/>
      <c r="WKJ87" s="207"/>
      <c r="WKK87" s="210"/>
      <c r="WKL87" s="209"/>
      <c r="WKM87" s="204"/>
      <c r="WKN87" s="204"/>
      <c r="WKO87" s="204"/>
      <c r="WKP87" s="199"/>
      <c r="WKQ87" s="167"/>
      <c r="WKR87" s="199"/>
      <c r="WKS87" s="200"/>
      <c r="WKT87" s="201"/>
      <c r="WKU87" s="202"/>
      <c r="WKV87" s="202"/>
      <c r="WKW87" s="202"/>
      <c r="WKX87" s="202"/>
      <c r="WKY87" s="203"/>
      <c r="WKZ87" s="204"/>
      <c r="WLA87" s="204"/>
      <c r="WLB87" s="204"/>
      <c r="WLC87" s="205"/>
      <c r="WLD87" s="206"/>
      <c r="WLE87" s="207"/>
      <c r="WLF87" s="207"/>
      <c r="WLG87" s="208"/>
      <c r="WLH87" s="209"/>
      <c r="WLI87" s="207"/>
      <c r="WLJ87" s="210"/>
      <c r="WLK87" s="209"/>
      <c r="WLL87" s="204"/>
      <c r="WLM87" s="204"/>
      <c r="WLN87" s="204"/>
      <c r="WLO87" s="199"/>
      <c r="WLP87" s="167"/>
      <c r="WLQ87" s="199"/>
      <c r="WLR87" s="200"/>
      <c r="WLS87" s="201"/>
      <c r="WLT87" s="202"/>
      <c r="WLU87" s="202"/>
      <c r="WLV87" s="202"/>
      <c r="WLW87" s="202"/>
      <c r="WLX87" s="203"/>
      <c r="WLY87" s="204"/>
      <c r="WLZ87" s="204"/>
      <c r="WMA87" s="204"/>
      <c r="WMB87" s="205"/>
      <c r="WMC87" s="206"/>
      <c r="WMD87" s="207"/>
      <c r="WME87" s="207"/>
      <c r="WMF87" s="208"/>
      <c r="WMG87" s="209"/>
      <c r="WMH87" s="207"/>
      <c r="WMI87" s="210"/>
      <c r="WMJ87" s="209"/>
      <c r="WMK87" s="204"/>
      <c r="WML87" s="204"/>
      <c r="WMM87" s="204"/>
      <c r="WMN87" s="199"/>
      <c r="WMO87" s="167"/>
      <c r="WMP87" s="199"/>
      <c r="WMQ87" s="200"/>
      <c r="WMR87" s="201"/>
      <c r="WMS87" s="202"/>
      <c r="WMT87" s="202"/>
      <c r="WMU87" s="202"/>
      <c r="WMV87" s="202"/>
      <c r="WMW87" s="203"/>
      <c r="WMX87" s="204"/>
      <c r="WMY87" s="204"/>
      <c r="WMZ87" s="204"/>
      <c r="WNA87" s="205"/>
      <c r="WNB87" s="206"/>
      <c r="WNC87" s="207"/>
      <c r="WND87" s="207"/>
      <c r="WNE87" s="208"/>
      <c r="WNF87" s="209"/>
      <c r="WNG87" s="207"/>
      <c r="WNH87" s="210"/>
      <c r="WNI87" s="209"/>
      <c r="WNJ87" s="204"/>
      <c r="WNK87" s="204"/>
      <c r="WNL87" s="204"/>
      <c r="WNM87" s="199"/>
      <c r="WNN87" s="167"/>
      <c r="WNO87" s="199"/>
      <c r="WNP87" s="200"/>
      <c r="WNQ87" s="201"/>
      <c r="WNR87" s="202"/>
      <c r="WNS87" s="202"/>
      <c r="WNT87" s="202"/>
      <c r="WNU87" s="202"/>
      <c r="WNV87" s="203"/>
      <c r="WNW87" s="204"/>
      <c r="WNX87" s="204"/>
      <c r="WNY87" s="204"/>
      <c r="WNZ87" s="205"/>
      <c r="WOA87" s="206"/>
      <c r="WOB87" s="207"/>
      <c r="WOC87" s="207"/>
      <c r="WOD87" s="208"/>
      <c r="WOE87" s="209"/>
      <c r="WOF87" s="207"/>
      <c r="WOG87" s="210"/>
      <c r="WOH87" s="209"/>
      <c r="WOI87" s="204"/>
      <c r="WOJ87" s="204"/>
      <c r="WOK87" s="204"/>
      <c r="WOL87" s="199"/>
      <c r="WOM87" s="167"/>
      <c r="WON87" s="199"/>
      <c r="WOO87" s="200"/>
      <c r="WOP87" s="201"/>
      <c r="WOQ87" s="202"/>
      <c r="WOR87" s="202"/>
      <c r="WOS87" s="202"/>
      <c r="WOT87" s="202"/>
      <c r="WOU87" s="203"/>
      <c r="WOV87" s="204"/>
      <c r="WOW87" s="204"/>
      <c r="WOX87" s="204"/>
      <c r="WOY87" s="205"/>
      <c r="WOZ87" s="206"/>
      <c r="WPA87" s="207"/>
      <c r="WPB87" s="207"/>
      <c r="WPC87" s="208"/>
      <c r="WPD87" s="209"/>
      <c r="WPE87" s="207"/>
      <c r="WPF87" s="210"/>
      <c r="WPG87" s="209"/>
      <c r="WPH87" s="204"/>
      <c r="WPI87" s="204"/>
      <c r="WPJ87" s="204"/>
      <c r="WPK87" s="199"/>
      <c r="WPL87" s="167"/>
      <c r="WPM87" s="199"/>
      <c r="WPN87" s="200"/>
      <c r="WPO87" s="201"/>
      <c r="WPP87" s="202"/>
      <c r="WPQ87" s="202"/>
      <c r="WPR87" s="202"/>
      <c r="WPS87" s="202"/>
      <c r="WPT87" s="203"/>
      <c r="WPU87" s="204"/>
      <c r="WPV87" s="204"/>
      <c r="WPW87" s="204"/>
      <c r="WPX87" s="205"/>
      <c r="WPY87" s="206"/>
      <c r="WPZ87" s="207"/>
      <c r="WQA87" s="207"/>
      <c r="WQB87" s="208"/>
      <c r="WQC87" s="209"/>
      <c r="WQD87" s="207"/>
      <c r="WQE87" s="210"/>
      <c r="WQF87" s="209"/>
      <c r="WQG87" s="204"/>
      <c r="WQH87" s="204"/>
      <c r="WQI87" s="204"/>
      <c r="WQJ87" s="199"/>
      <c r="WQK87" s="167"/>
      <c r="WQL87" s="199"/>
      <c r="WQM87" s="200"/>
      <c r="WQN87" s="201"/>
      <c r="WQO87" s="202"/>
      <c r="WQP87" s="202"/>
      <c r="WQQ87" s="202"/>
      <c r="WQR87" s="202"/>
      <c r="WQS87" s="203"/>
      <c r="WQT87" s="204"/>
      <c r="WQU87" s="204"/>
      <c r="WQV87" s="204"/>
      <c r="WQW87" s="205"/>
      <c r="WQX87" s="206"/>
      <c r="WQY87" s="207"/>
      <c r="WQZ87" s="207"/>
      <c r="WRA87" s="208"/>
      <c r="WRB87" s="209"/>
      <c r="WRC87" s="207"/>
      <c r="WRD87" s="210"/>
      <c r="WRE87" s="209"/>
      <c r="WRF87" s="204"/>
      <c r="WRG87" s="204"/>
      <c r="WRH87" s="204"/>
      <c r="WRI87" s="199"/>
      <c r="WRJ87" s="167"/>
      <c r="WRK87" s="199"/>
      <c r="WRL87" s="200"/>
      <c r="WRM87" s="201"/>
      <c r="WRN87" s="202"/>
      <c r="WRO87" s="202"/>
      <c r="WRP87" s="202"/>
      <c r="WRQ87" s="202"/>
      <c r="WRR87" s="203"/>
      <c r="WRS87" s="204"/>
      <c r="WRT87" s="204"/>
      <c r="WRU87" s="204"/>
      <c r="WRV87" s="205"/>
      <c r="WRW87" s="206"/>
      <c r="WRX87" s="207"/>
      <c r="WRY87" s="207"/>
      <c r="WRZ87" s="208"/>
      <c r="WSA87" s="209"/>
      <c r="WSB87" s="207"/>
      <c r="WSC87" s="210"/>
      <c r="WSD87" s="209"/>
      <c r="WSE87" s="204"/>
      <c r="WSF87" s="204"/>
      <c r="WSG87" s="204"/>
      <c r="WSH87" s="199"/>
      <c r="WSI87" s="167"/>
      <c r="WSJ87" s="199"/>
      <c r="WSK87" s="200"/>
      <c r="WSL87" s="201"/>
      <c r="WSM87" s="202"/>
      <c r="WSN87" s="202"/>
      <c r="WSO87" s="202"/>
      <c r="WSP87" s="202"/>
      <c r="WSQ87" s="203"/>
      <c r="WSR87" s="204"/>
      <c r="WSS87" s="204"/>
      <c r="WST87" s="204"/>
      <c r="WSU87" s="205"/>
      <c r="WSV87" s="206"/>
      <c r="WSW87" s="207"/>
      <c r="WSX87" s="207"/>
      <c r="WSY87" s="208"/>
      <c r="WSZ87" s="209"/>
      <c r="WTA87" s="207"/>
      <c r="WTB87" s="210"/>
      <c r="WTC87" s="209"/>
      <c r="WTD87" s="204"/>
      <c r="WTE87" s="204"/>
      <c r="WTF87" s="204"/>
      <c r="WTG87" s="199"/>
      <c r="WTH87" s="167"/>
      <c r="WTI87" s="199"/>
      <c r="WTJ87" s="200"/>
      <c r="WTK87" s="201"/>
      <c r="WTL87" s="202"/>
      <c r="WTM87" s="202"/>
      <c r="WTN87" s="202"/>
      <c r="WTO87" s="202"/>
      <c r="WTP87" s="203"/>
      <c r="WTQ87" s="204"/>
      <c r="WTR87" s="204"/>
      <c r="WTS87" s="204"/>
      <c r="WTT87" s="205"/>
      <c r="WTU87" s="206"/>
      <c r="WTV87" s="207"/>
      <c r="WTW87" s="207"/>
      <c r="WTX87" s="208"/>
      <c r="WTY87" s="209"/>
      <c r="WTZ87" s="207"/>
      <c r="WUA87" s="210"/>
      <c r="WUB87" s="209"/>
      <c r="WUC87" s="204"/>
      <c r="WUD87" s="204"/>
      <c r="WUE87" s="204"/>
      <c r="WUF87" s="199"/>
      <c r="WUG87" s="167"/>
      <c r="WUH87" s="199"/>
      <c r="WUI87" s="200"/>
      <c r="WUJ87" s="201"/>
      <c r="WUK87" s="202"/>
      <c r="WUL87" s="202"/>
      <c r="WUM87" s="202"/>
      <c r="WUN87" s="202"/>
      <c r="WUO87" s="203"/>
      <c r="WUP87" s="204"/>
      <c r="WUQ87" s="204"/>
      <c r="WUR87" s="204"/>
      <c r="WUS87" s="205"/>
      <c r="WUT87" s="206"/>
      <c r="WUU87" s="207"/>
      <c r="WUV87" s="207"/>
      <c r="WUW87" s="208"/>
      <c r="WUX87" s="209"/>
      <c r="WUY87" s="207"/>
      <c r="WUZ87" s="210"/>
      <c r="WVA87" s="209"/>
      <c r="WVB87" s="204"/>
      <c r="WVC87" s="204"/>
      <c r="WVD87" s="204"/>
      <c r="WVE87" s="199"/>
      <c r="WVF87" s="167"/>
      <c r="WVG87" s="199"/>
      <c r="WVH87" s="200"/>
      <c r="WVI87" s="201"/>
      <c r="WVJ87" s="202"/>
      <c r="WVK87" s="202"/>
      <c r="WVL87" s="202"/>
      <c r="WVM87" s="202"/>
      <c r="WVN87" s="203"/>
      <c r="WVO87" s="204"/>
      <c r="WVP87" s="204"/>
      <c r="WVQ87" s="204"/>
      <c r="WVR87" s="205"/>
      <c r="WVS87" s="206"/>
      <c r="WVT87" s="207"/>
      <c r="WVU87" s="207"/>
      <c r="WVV87" s="208"/>
      <c r="WVW87" s="209"/>
      <c r="WVX87" s="207"/>
      <c r="WVY87" s="210"/>
      <c r="WVZ87" s="209"/>
      <c r="WWA87" s="204"/>
      <c r="WWB87" s="204"/>
      <c r="WWC87" s="204"/>
      <c r="WWD87" s="199"/>
      <c r="WWE87" s="167"/>
      <c r="WWF87" s="199"/>
      <c r="WWG87" s="200"/>
      <c r="WWH87" s="201"/>
      <c r="WWI87" s="202"/>
      <c r="WWJ87" s="202"/>
      <c r="WWK87" s="202"/>
      <c r="WWL87" s="202"/>
      <c r="WWM87" s="203"/>
      <c r="WWN87" s="204"/>
      <c r="WWO87" s="204"/>
      <c r="WWP87" s="204"/>
      <c r="WWQ87" s="205"/>
      <c r="WWR87" s="206"/>
      <c r="WWS87" s="207"/>
      <c r="WWT87" s="207"/>
      <c r="WWU87" s="208"/>
      <c r="WWV87" s="209"/>
      <c r="WWW87" s="207"/>
      <c r="WWX87" s="210"/>
      <c r="WWY87" s="209"/>
      <c r="WWZ87" s="204"/>
      <c r="WXA87" s="204"/>
      <c r="WXB87" s="204"/>
      <c r="WXC87" s="199"/>
      <c r="WXD87" s="167"/>
      <c r="WXE87" s="199"/>
      <c r="WXF87" s="200"/>
      <c r="WXG87" s="201"/>
      <c r="WXH87" s="202"/>
      <c r="WXI87" s="202"/>
      <c r="WXJ87" s="202"/>
      <c r="WXK87" s="202"/>
      <c r="WXL87" s="203"/>
      <c r="WXM87" s="204"/>
      <c r="WXN87" s="204"/>
      <c r="WXO87" s="204"/>
      <c r="WXP87" s="205"/>
      <c r="WXQ87" s="206"/>
      <c r="WXR87" s="207"/>
      <c r="WXS87" s="207"/>
      <c r="WXT87" s="208"/>
      <c r="WXU87" s="209"/>
      <c r="WXV87" s="207"/>
      <c r="WXW87" s="210"/>
      <c r="WXX87" s="209"/>
      <c r="WXY87" s="204"/>
      <c r="WXZ87" s="204"/>
      <c r="WYA87" s="204"/>
      <c r="WYB87" s="199"/>
      <c r="WYC87" s="167"/>
      <c r="WYD87" s="199"/>
      <c r="WYE87" s="200"/>
      <c r="WYF87" s="201"/>
      <c r="WYG87" s="202"/>
      <c r="WYH87" s="202"/>
      <c r="WYI87" s="202"/>
      <c r="WYJ87" s="202"/>
      <c r="WYK87" s="203"/>
      <c r="WYL87" s="204"/>
      <c r="WYM87" s="204"/>
      <c r="WYN87" s="204"/>
      <c r="WYO87" s="205"/>
      <c r="WYP87" s="206"/>
      <c r="WYQ87" s="207"/>
      <c r="WYR87" s="207"/>
      <c r="WYS87" s="208"/>
      <c r="WYT87" s="209"/>
      <c r="WYU87" s="207"/>
      <c r="WYV87" s="210"/>
      <c r="WYW87" s="209"/>
      <c r="WYX87" s="204"/>
      <c r="WYY87" s="204"/>
      <c r="WYZ87" s="204"/>
      <c r="WZA87" s="199"/>
      <c r="WZB87" s="167"/>
      <c r="WZC87" s="199"/>
      <c r="WZD87" s="200"/>
      <c r="WZE87" s="201"/>
      <c r="WZF87" s="202"/>
      <c r="WZG87" s="202"/>
      <c r="WZH87" s="202"/>
      <c r="WZI87" s="202"/>
      <c r="WZJ87" s="203"/>
      <c r="WZK87" s="204"/>
      <c r="WZL87" s="204"/>
      <c r="WZM87" s="204"/>
      <c r="WZN87" s="205"/>
      <c r="WZO87" s="206"/>
      <c r="WZP87" s="207"/>
      <c r="WZQ87" s="207"/>
      <c r="WZR87" s="208"/>
      <c r="WZS87" s="209"/>
      <c r="WZT87" s="207"/>
      <c r="WZU87" s="210"/>
      <c r="WZV87" s="209"/>
      <c r="WZW87" s="204"/>
      <c r="WZX87" s="204"/>
      <c r="WZY87" s="204"/>
      <c r="WZZ87" s="199"/>
      <c r="XAA87" s="167"/>
      <c r="XAB87" s="199"/>
      <c r="XAC87" s="200"/>
      <c r="XAD87" s="201"/>
      <c r="XAE87" s="202"/>
      <c r="XAF87" s="202"/>
      <c r="XAG87" s="202"/>
      <c r="XAH87" s="202"/>
      <c r="XAI87" s="203"/>
      <c r="XAJ87" s="204"/>
      <c r="XAK87" s="204"/>
      <c r="XAL87" s="204"/>
      <c r="XAM87" s="205"/>
      <c r="XAN87" s="206"/>
      <c r="XAO87" s="207"/>
      <c r="XAP87" s="207"/>
      <c r="XAQ87" s="208"/>
      <c r="XAR87" s="209"/>
      <c r="XAS87" s="207"/>
      <c r="XAT87" s="210"/>
      <c r="XAU87" s="209"/>
      <c r="XAV87" s="204"/>
      <c r="XAW87" s="204"/>
      <c r="XAX87" s="204"/>
      <c r="XAY87" s="199"/>
      <c r="XAZ87" s="167"/>
      <c r="XBA87" s="199"/>
      <c r="XBB87" s="200"/>
      <c r="XBC87" s="201"/>
      <c r="XBD87" s="202"/>
      <c r="XBE87" s="202"/>
      <c r="XBF87" s="202"/>
      <c r="XBG87" s="202"/>
      <c r="XBH87" s="203"/>
      <c r="XBI87" s="204"/>
      <c r="XBJ87" s="204"/>
      <c r="XBK87" s="204"/>
      <c r="XBL87" s="205"/>
      <c r="XBM87" s="206"/>
      <c r="XBN87" s="207"/>
      <c r="XBO87" s="207"/>
      <c r="XBP87" s="208"/>
      <c r="XBQ87" s="209"/>
      <c r="XBR87" s="207"/>
      <c r="XBS87" s="210"/>
      <c r="XBT87" s="209"/>
      <c r="XBU87" s="204"/>
      <c r="XBV87" s="204"/>
      <c r="XBW87" s="204"/>
      <c r="XBX87" s="199"/>
      <c r="XBY87" s="167"/>
      <c r="XBZ87" s="199"/>
      <c r="XCA87" s="200"/>
      <c r="XCB87" s="201"/>
      <c r="XCC87" s="202"/>
      <c r="XCD87" s="202"/>
      <c r="XCE87" s="202"/>
      <c r="XCF87" s="202"/>
      <c r="XCG87" s="203"/>
      <c r="XCH87" s="204"/>
      <c r="XCI87" s="204"/>
      <c r="XCJ87" s="204"/>
      <c r="XCK87" s="205"/>
      <c r="XCL87" s="206"/>
      <c r="XCM87" s="207"/>
      <c r="XCN87" s="207"/>
      <c r="XCO87" s="208"/>
      <c r="XCP87" s="209"/>
      <c r="XCQ87" s="207"/>
      <c r="XCR87" s="210"/>
      <c r="XCS87" s="209"/>
      <c r="XCT87" s="204"/>
      <c r="XCU87" s="204"/>
      <c r="XCV87" s="204"/>
      <c r="XCW87" s="199"/>
      <c r="XCX87" s="167"/>
      <c r="XCY87" s="199"/>
      <c r="XCZ87" s="200"/>
      <c r="XDA87" s="201"/>
      <c r="XDB87" s="202"/>
      <c r="XDC87" s="202"/>
      <c r="XDD87" s="202"/>
      <c r="XDE87" s="202"/>
      <c r="XDF87" s="203"/>
      <c r="XDG87" s="204"/>
      <c r="XDH87" s="204"/>
      <c r="XDI87" s="204"/>
      <c r="XDJ87" s="205"/>
      <c r="XDK87" s="206"/>
      <c r="XDL87" s="207"/>
      <c r="XDM87" s="207"/>
      <c r="XDN87" s="208"/>
      <c r="XDO87" s="209"/>
      <c r="XDP87" s="207"/>
      <c r="XDQ87" s="210"/>
      <c r="XDR87" s="209"/>
      <c r="XDS87" s="204"/>
      <c r="XDT87" s="204"/>
      <c r="XDU87" s="204"/>
      <c r="XDV87" s="199"/>
      <c r="XDW87" s="167"/>
      <c r="XDX87" s="199"/>
      <c r="XDY87" s="200"/>
      <c r="XDZ87" s="201"/>
      <c r="XEA87" s="202"/>
      <c r="XEB87" s="202"/>
      <c r="XEC87" s="202"/>
      <c r="XED87" s="202"/>
      <c r="XEE87" s="203"/>
      <c r="XEF87" s="204"/>
      <c r="XEG87" s="204"/>
      <c r="XEH87" s="204"/>
      <c r="XEI87" s="205"/>
      <c r="XEJ87" s="206"/>
      <c r="XEK87" s="207"/>
      <c r="XEL87" s="207"/>
      <c r="XEM87" s="208"/>
      <c r="XEN87" s="209"/>
      <c r="XEO87" s="207"/>
      <c r="XEP87" s="210"/>
      <c r="XEQ87" s="209"/>
      <c r="XER87" s="204"/>
      <c r="XES87" s="204"/>
      <c r="XET87" s="204"/>
      <c r="XEU87" s="199"/>
      <c r="XEV87" s="167"/>
      <c r="XEW87" s="199"/>
      <c r="XEX87" s="200"/>
      <c r="XEY87" s="201"/>
      <c r="XEZ87" s="202"/>
      <c r="XFA87" s="202"/>
      <c r="XFB87" s="202"/>
      <c r="XFC87" s="202"/>
    </row>
    <row r="88" spans="1:16383" ht="195" x14ac:dyDescent="0.2">
      <c r="A88" s="38" t="s">
        <v>20</v>
      </c>
      <c r="B88" s="66">
        <f t="shared" si="91"/>
        <v>1</v>
      </c>
      <c r="C88" s="66">
        <v>75</v>
      </c>
      <c r="D88" s="70">
        <v>74</v>
      </c>
      <c r="E88" s="51" t="s">
        <v>46</v>
      </c>
      <c r="F88" s="7" t="s">
        <v>228</v>
      </c>
      <c r="G88" s="15">
        <v>1</v>
      </c>
      <c r="H88" s="12" t="s">
        <v>23</v>
      </c>
      <c r="I88" s="10">
        <v>6</v>
      </c>
      <c r="J88" s="11" t="s">
        <v>24</v>
      </c>
      <c r="K88" s="108">
        <v>5860001</v>
      </c>
      <c r="L88" s="151">
        <f>+K88*G88*I88</f>
        <v>35160006</v>
      </c>
      <c r="M88" s="126"/>
      <c r="N88" s="127"/>
      <c r="O88" s="108"/>
      <c r="P88" s="412"/>
      <c r="Q88" s="129">
        <f>+AVERAGE(K88,M88,O88)</f>
        <v>5860001</v>
      </c>
      <c r="R88" s="130">
        <f>+Q88*G88*I88</f>
        <v>35160006</v>
      </c>
      <c r="S88" s="128">
        <f>_xlfn.STDEV.P(K88,M88,O88)</f>
        <v>0</v>
      </c>
      <c r="T88" s="131">
        <f t="shared" ref="T88:T89" si="92">+S88/Q88</f>
        <v>0</v>
      </c>
      <c r="U88" s="132">
        <f>+MEDIAN(K88,M88,O88)</f>
        <v>5860001</v>
      </c>
      <c r="V88" s="133">
        <f>+U88*G88*I88</f>
        <v>35160006</v>
      </c>
      <c r="W88" s="134">
        <f t="shared" ref="W88:W89" si="93">+S88/U88</f>
        <v>0</v>
      </c>
      <c r="X88" s="152" t="s">
        <v>819</v>
      </c>
      <c r="Y88" s="118"/>
      <c r="Z88" s="119"/>
    </row>
    <row r="89" spans="1:16383" ht="166" thickBot="1" x14ac:dyDescent="0.25">
      <c r="A89" s="38" t="s">
        <v>20</v>
      </c>
      <c r="B89" s="66">
        <f t="shared" si="91"/>
        <v>1</v>
      </c>
      <c r="C89" s="66">
        <v>76</v>
      </c>
      <c r="D89" s="70">
        <v>76</v>
      </c>
      <c r="E89" s="51" t="s">
        <v>229</v>
      </c>
      <c r="F89" s="7" t="s">
        <v>230</v>
      </c>
      <c r="G89" s="15">
        <v>1</v>
      </c>
      <c r="H89" s="12" t="s">
        <v>23</v>
      </c>
      <c r="I89" s="10">
        <v>6</v>
      </c>
      <c r="J89" s="11" t="s">
        <v>24</v>
      </c>
      <c r="K89" s="107">
        <v>5860001</v>
      </c>
      <c r="L89" s="146">
        <f>+K89*G89*I89</f>
        <v>35160006</v>
      </c>
      <c r="M89" s="124"/>
      <c r="N89" s="125"/>
      <c r="O89" s="107"/>
      <c r="P89" s="416"/>
      <c r="Q89" s="129">
        <f>+AVERAGE(K89,M89,O89)</f>
        <v>5860001</v>
      </c>
      <c r="R89" s="130">
        <f>+Q89*G89*I89</f>
        <v>35160006</v>
      </c>
      <c r="S89" s="128">
        <f>_xlfn.STDEV.P(K89,M89,O89)</f>
        <v>0</v>
      </c>
      <c r="T89" s="131">
        <f t="shared" si="92"/>
        <v>0</v>
      </c>
      <c r="U89" s="132">
        <f>+MEDIAN(K89,M89,O89)</f>
        <v>5860001</v>
      </c>
      <c r="V89" s="133">
        <f>+U89*G89*I89</f>
        <v>35160006</v>
      </c>
      <c r="W89" s="134">
        <f t="shared" si="93"/>
        <v>0</v>
      </c>
      <c r="X89" s="142" t="s">
        <v>819</v>
      </c>
      <c r="Y89" s="114"/>
      <c r="Z89" s="115"/>
    </row>
    <row r="90" spans="1:16383" ht="64" thickBot="1" x14ac:dyDescent="0.25">
      <c r="A90" s="49">
        <v>1</v>
      </c>
      <c r="B90" s="193"/>
      <c r="C90" s="193"/>
      <c r="D90" s="69"/>
      <c r="E90" s="50"/>
      <c r="F90" s="400" t="s">
        <v>231</v>
      </c>
      <c r="G90" s="30"/>
      <c r="H90" s="30"/>
      <c r="I90" s="30"/>
      <c r="J90" s="30"/>
      <c r="K90" s="109"/>
      <c r="L90" s="110"/>
      <c r="M90" s="110"/>
      <c r="N90" s="110"/>
      <c r="O90" s="109"/>
      <c r="P90" s="110"/>
      <c r="Q90" s="194"/>
      <c r="R90" s="194"/>
      <c r="S90" s="195"/>
      <c r="T90" s="196"/>
      <c r="U90" s="194"/>
      <c r="V90" s="197"/>
      <c r="W90" s="196"/>
      <c r="X90" s="593"/>
      <c r="Y90" s="593"/>
      <c r="Z90" s="594"/>
      <c r="AA90" s="199"/>
      <c r="AB90" s="200"/>
      <c r="AC90" s="201"/>
      <c r="AD90" s="202"/>
      <c r="AE90" s="202"/>
      <c r="AF90" s="202"/>
      <c r="AG90" s="202"/>
      <c r="AH90" s="203"/>
      <c r="AI90" s="204"/>
      <c r="AJ90" s="204"/>
      <c r="AK90" s="204"/>
      <c r="AL90" s="205"/>
      <c r="AM90" s="206"/>
      <c r="AN90" s="207"/>
      <c r="AO90" s="207"/>
      <c r="AP90" s="208"/>
      <c r="AQ90" s="209"/>
      <c r="AR90" s="207"/>
      <c r="AS90" s="210"/>
      <c r="AT90" s="209"/>
      <c r="AU90" s="204"/>
      <c r="AV90" s="204"/>
      <c r="AW90" s="204"/>
      <c r="AX90" s="199"/>
      <c r="AY90" s="167"/>
      <c r="AZ90" s="199"/>
      <c r="BA90" s="200"/>
      <c r="BB90" s="201"/>
      <c r="BC90" s="202"/>
      <c r="BD90" s="202"/>
      <c r="BE90" s="202"/>
      <c r="BF90" s="202"/>
      <c r="BG90" s="203"/>
      <c r="BH90" s="204"/>
      <c r="BI90" s="204"/>
      <c r="BJ90" s="204"/>
      <c r="BK90" s="205"/>
      <c r="BL90" s="206"/>
      <c r="BM90" s="207"/>
      <c r="BN90" s="207"/>
      <c r="BO90" s="208"/>
      <c r="BP90" s="209"/>
      <c r="BQ90" s="207"/>
      <c r="BR90" s="210"/>
      <c r="BS90" s="209"/>
      <c r="BT90" s="204"/>
      <c r="BU90" s="204"/>
      <c r="BV90" s="204"/>
      <c r="BW90" s="199"/>
      <c r="BX90" s="167"/>
      <c r="BY90" s="199"/>
      <c r="BZ90" s="200"/>
      <c r="CA90" s="201"/>
      <c r="CB90" s="202"/>
      <c r="CC90" s="202"/>
      <c r="CD90" s="202"/>
      <c r="CE90" s="202"/>
      <c r="CF90" s="203"/>
      <c r="CG90" s="204"/>
      <c r="CH90" s="204"/>
      <c r="CI90" s="204"/>
      <c r="CJ90" s="205"/>
      <c r="CK90" s="206"/>
      <c r="CL90" s="207"/>
      <c r="CM90" s="207"/>
      <c r="CN90" s="208"/>
      <c r="CO90" s="209"/>
      <c r="CP90" s="207"/>
      <c r="CQ90" s="210"/>
      <c r="CR90" s="209"/>
      <c r="CS90" s="204"/>
      <c r="CT90" s="204"/>
      <c r="CU90" s="204"/>
      <c r="CV90" s="199"/>
      <c r="CW90" s="167"/>
      <c r="CX90" s="199"/>
      <c r="CY90" s="200"/>
      <c r="CZ90" s="201"/>
      <c r="DA90" s="202"/>
      <c r="DB90" s="202"/>
      <c r="DC90" s="202"/>
      <c r="DD90" s="202"/>
      <c r="DE90" s="203"/>
      <c r="DF90" s="204"/>
      <c r="DG90" s="204"/>
      <c r="DH90" s="204"/>
      <c r="DI90" s="205"/>
      <c r="DJ90" s="206"/>
      <c r="DK90" s="207"/>
      <c r="DL90" s="207"/>
      <c r="DM90" s="208"/>
      <c r="DN90" s="209"/>
      <c r="DO90" s="207"/>
      <c r="DP90" s="210"/>
      <c r="DQ90" s="209"/>
      <c r="DR90" s="204"/>
      <c r="DS90" s="204"/>
      <c r="DT90" s="204"/>
      <c r="DU90" s="199"/>
      <c r="DV90" s="167"/>
      <c r="DW90" s="199"/>
      <c r="DX90" s="200"/>
      <c r="DY90" s="201"/>
      <c r="DZ90" s="202"/>
      <c r="EA90" s="202"/>
      <c r="EB90" s="202"/>
      <c r="EC90" s="202"/>
      <c r="ED90" s="203"/>
      <c r="EE90" s="204"/>
      <c r="EF90" s="204"/>
      <c r="EG90" s="204"/>
      <c r="EH90" s="205"/>
      <c r="EI90" s="206"/>
      <c r="EJ90" s="207"/>
      <c r="EK90" s="207"/>
      <c r="EL90" s="208"/>
      <c r="EM90" s="209"/>
      <c r="EN90" s="207"/>
      <c r="EO90" s="210"/>
      <c r="EP90" s="209"/>
      <c r="EQ90" s="204"/>
      <c r="ER90" s="204"/>
      <c r="ES90" s="204"/>
      <c r="ET90" s="199"/>
      <c r="EU90" s="167"/>
      <c r="EV90" s="199"/>
      <c r="EW90" s="200"/>
      <c r="EX90" s="201"/>
      <c r="EY90" s="202"/>
      <c r="EZ90" s="202"/>
      <c r="FA90" s="202"/>
      <c r="FB90" s="202"/>
      <c r="FC90" s="203"/>
      <c r="FD90" s="204"/>
      <c r="FE90" s="204"/>
      <c r="FF90" s="204"/>
      <c r="FG90" s="205"/>
      <c r="FH90" s="206"/>
      <c r="FI90" s="207"/>
      <c r="FJ90" s="207"/>
      <c r="FK90" s="208"/>
      <c r="FL90" s="209"/>
      <c r="FM90" s="207"/>
      <c r="FN90" s="210"/>
      <c r="FO90" s="209"/>
      <c r="FP90" s="204"/>
      <c r="FQ90" s="204"/>
      <c r="FR90" s="204"/>
      <c r="FS90" s="199"/>
      <c r="FT90" s="167"/>
      <c r="FU90" s="199"/>
      <c r="FV90" s="200"/>
      <c r="FW90" s="201"/>
      <c r="FX90" s="202"/>
      <c r="FY90" s="202"/>
      <c r="FZ90" s="202"/>
      <c r="GA90" s="202"/>
      <c r="GB90" s="203"/>
      <c r="GC90" s="204"/>
      <c r="GD90" s="204"/>
      <c r="GE90" s="204"/>
      <c r="GF90" s="205"/>
      <c r="GG90" s="206"/>
      <c r="GH90" s="207"/>
      <c r="GI90" s="207"/>
      <c r="GJ90" s="208"/>
      <c r="GK90" s="209"/>
      <c r="GL90" s="207"/>
      <c r="GM90" s="210"/>
      <c r="GN90" s="209"/>
      <c r="GO90" s="204"/>
      <c r="GP90" s="204"/>
      <c r="GQ90" s="204"/>
      <c r="GR90" s="199"/>
      <c r="GS90" s="167"/>
      <c r="GT90" s="199"/>
      <c r="GU90" s="200"/>
      <c r="GV90" s="201"/>
      <c r="GW90" s="202"/>
      <c r="GX90" s="202"/>
      <c r="GY90" s="202"/>
      <c r="GZ90" s="202"/>
      <c r="HA90" s="203"/>
      <c r="HB90" s="204"/>
      <c r="HC90" s="204"/>
      <c r="HD90" s="204"/>
      <c r="HE90" s="205"/>
      <c r="HF90" s="206"/>
      <c r="HG90" s="207"/>
      <c r="HH90" s="207"/>
      <c r="HI90" s="208"/>
      <c r="HJ90" s="209"/>
      <c r="HK90" s="207"/>
      <c r="HL90" s="210"/>
      <c r="HM90" s="209"/>
      <c r="HN90" s="204"/>
      <c r="HO90" s="204"/>
      <c r="HP90" s="204"/>
      <c r="HQ90" s="199"/>
      <c r="HR90" s="167"/>
      <c r="HS90" s="199"/>
      <c r="HT90" s="200"/>
      <c r="HU90" s="201"/>
      <c r="HV90" s="202"/>
      <c r="HW90" s="202"/>
      <c r="HX90" s="202"/>
      <c r="HY90" s="202"/>
      <c r="HZ90" s="203"/>
      <c r="IA90" s="204"/>
      <c r="IB90" s="204"/>
      <c r="IC90" s="204"/>
      <c r="ID90" s="205"/>
      <c r="IE90" s="206"/>
      <c r="IF90" s="207"/>
      <c r="IG90" s="207"/>
      <c r="IH90" s="208"/>
      <c r="II90" s="209"/>
      <c r="IJ90" s="207"/>
      <c r="IK90" s="210"/>
      <c r="IL90" s="209"/>
      <c r="IM90" s="204"/>
      <c r="IN90" s="204"/>
      <c r="IO90" s="204"/>
      <c r="IP90" s="199"/>
      <c r="IQ90" s="167"/>
      <c r="IR90" s="199"/>
      <c r="IS90" s="200"/>
      <c r="IT90" s="201"/>
      <c r="IU90" s="202"/>
      <c r="IV90" s="202"/>
      <c r="IW90" s="202"/>
      <c r="IX90" s="202"/>
      <c r="IY90" s="203"/>
      <c r="IZ90" s="204"/>
      <c r="JA90" s="204"/>
      <c r="JB90" s="204"/>
      <c r="JC90" s="205"/>
      <c r="JD90" s="206"/>
      <c r="JE90" s="207"/>
      <c r="JF90" s="207"/>
      <c r="JG90" s="208"/>
      <c r="JH90" s="209"/>
      <c r="JI90" s="207"/>
      <c r="JJ90" s="210"/>
      <c r="JK90" s="209"/>
      <c r="JL90" s="204"/>
      <c r="JM90" s="204"/>
      <c r="JN90" s="204"/>
      <c r="JO90" s="199"/>
      <c r="JP90" s="167"/>
      <c r="JQ90" s="199"/>
      <c r="JR90" s="200"/>
      <c r="JS90" s="201"/>
      <c r="JT90" s="202"/>
      <c r="JU90" s="202"/>
      <c r="JV90" s="202"/>
      <c r="JW90" s="202"/>
      <c r="JX90" s="203"/>
      <c r="JY90" s="204"/>
      <c r="JZ90" s="204"/>
      <c r="KA90" s="204"/>
      <c r="KB90" s="205"/>
      <c r="KC90" s="206"/>
      <c r="KD90" s="207"/>
      <c r="KE90" s="207"/>
      <c r="KF90" s="208"/>
      <c r="KG90" s="209"/>
      <c r="KH90" s="207"/>
      <c r="KI90" s="210"/>
      <c r="KJ90" s="209"/>
      <c r="KK90" s="204"/>
      <c r="KL90" s="204"/>
      <c r="KM90" s="204"/>
      <c r="KN90" s="199"/>
      <c r="KO90" s="167"/>
      <c r="KP90" s="199"/>
      <c r="KQ90" s="200"/>
      <c r="KR90" s="201"/>
      <c r="KS90" s="202"/>
      <c r="KT90" s="202"/>
      <c r="KU90" s="202"/>
      <c r="KV90" s="202"/>
      <c r="KW90" s="203"/>
      <c r="KX90" s="204"/>
      <c r="KY90" s="204"/>
      <c r="KZ90" s="204"/>
      <c r="LA90" s="205"/>
      <c r="LB90" s="206"/>
      <c r="LC90" s="207"/>
      <c r="LD90" s="207"/>
      <c r="LE90" s="208"/>
      <c r="LF90" s="209"/>
      <c r="LG90" s="207"/>
      <c r="LH90" s="210"/>
      <c r="LI90" s="209"/>
      <c r="LJ90" s="204"/>
      <c r="LK90" s="204"/>
      <c r="LL90" s="204"/>
      <c r="LM90" s="199"/>
      <c r="LN90" s="167"/>
      <c r="LO90" s="199"/>
      <c r="LP90" s="200"/>
      <c r="LQ90" s="201"/>
      <c r="LR90" s="202"/>
      <c r="LS90" s="202"/>
      <c r="LT90" s="202"/>
      <c r="LU90" s="202"/>
      <c r="LV90" s="203"/>
      <c r="LW90" s="204"/>
      <c r="LX90" s="204"/>
      <c r="LY90" s="204"/>
      <c r="LZ90" s="205"/>
      <c r="MA90" s="206"/>
      <c r="MB90" s="207"/>
      <c r="MC90" s="207"/>
      <c r="MD90" s="208"/>
      <c r="ME90" s="209"/>
      <c r="MF90" s="207"/>
      <c r="MG90" s="210"/>
      <c r="MH90" s="209"/>
      <c r="MI90" s="204"/>
      <c r="MJ90" s="204"/>
      <c r="MK90" s="204"/>
      <c r="ML90" s="199"/>
      <c r="MM90" s="167"/>
      <c r="MN90" s="199"/>
      <c r="MO90" s="200"/>
      <c r="MP90" s="201"/>
      <c r="MQ90" s="202"/>
      <c r="MR90" s="202"/>
      <c r="MS90" s="202"/>
      <c r="MT90" s="202"/>
      <c r="MU90" s="203"/>
      <c r="MV90" s="204"/>
      <c r="MW90" s="204"/>
      <c r="MX90" s="204"/>
      <c r="MY90" s="205"/>
      <c r="MZ90" s="206"/>
      <c r="NA90" s="207"/>
      <c r="NB90" s="207"/>
      <c r="NC90" s="208"/>
      <c r="ND90" s="209"/>
      <c r="NE90" s="207"/>
      <c r="NF90" s="210"/>
      <c r="NG90" s="209"/>
      <c r="NH90" s="204"/>
      <c r="NI90" s="204"/>
      <c r="NJ90" s="204"/>
      <c r="NK90" s="199"/>
      <c r="NL90" s="167"/>
      <c r="NM90" s="199"/>
      <c r="NN90" s="200"/>
      <c r="NO90" s="201"/>
      <c r="NP90" s="202"/>
      <c r="NQ90" s="202"/>
      <c r="NR90" s="202"/>
      <c r="NS90" s="202"/>
      <c r="NT90" s="203"/>
      <c r="NU90" s="204"/>
      <c r="NV90" s="204"/>
      <c r="NW90" s="204"/>
      <c r="NX90" s="205"/>
      <c r="NY90" s="206"/>
      <c r="NZ90" s="207"/>
      <c r="OA90" s="207"/>
      <c r="OB90" s="208"/>
      <c r="OC90" s="209"/>
      <c r="OD90" s="207"/>
      <c r="OE90" s="210"/>
      <c r="OF90" s="209"/>
      <c r="OG90" s="204"/>
      <c r="OH90" s="204"/>
      <c r="OI90" s="204"/>
      <c r="OJ90" s="199"/>
      <c r="OK90" s="167"/>
      <c r="OL90" s="199"/>
      <c r="OM90" s="200"/>
      <c r="ON90" s="201"/>
      <c r="OO90" s="202"/>
      <c r="OP90" s="202"/>
      <c r="OQ90" s="202"/>
      <c r="OR90" s="202"/>
      <c r="OS90" s="203"/>
      <c r="OT90" s="204"/>
      <c r="OU90" s="204"/>
      <c r="OV90" s="204"/>
      <c r="OW90" s="205"/>
      <c r="OX90" s="206"/>
      <c r="OY90" s="207"/>
      <c r="OZ90" s="207"/>
      <c r="PA90" s="208"/>
      <c r="PB90" s="209"/>
      <c r="PC90" s="207"/>
      <c r="PD90" s="210"/>
      <c r="PE90" s="209"/>
      <c r="PF90" s="204"/>
      <c r="PG90" s="204"/>
      <c r="PH90" s="204"/>
      <c r="PI90" s="199"/>
      <c r="PJ90" s="167"/>
      <c r="PK90" s="199"/>
      <c r="PL90" s="200"/>
      <c r="PM90" s="201"/>
      <c r="PN90" s="202"/>
      <c r="PO90" s="202"/>
      <c r="PP90" s="202"/>
      <c r="PQ90" s="202"/>
      <c r="PR90" s="203"/>
      <c r="PS90" s="204"/>
      <c r="PT90" s="204"/>
      <c r="PU90" s="204"/>
      <c r="PV90" s="205"/>
      <c r="PW90" s="206"/>
      <c r="PX90" s="207"/>
      <c r="PY90" s="207"/>
      <c r="PZ90" s="208"/>
      <c r="QA90" s="209"/>
      <c r="QB90" s="207"/>
      <c r="QC90" s="210"/>
      <c r="QD90" s="209"/>
      <c r="QE90" s="204"/>
      <c r="QF90" s="204"/>
      <c r="QG90" s="204"/>
      <c r="QH90" s="199"/>
      <c r="QI90" s="167"/>
      <c r="QJ90" s="199"/>
      <c r="QK90" s="200"/>
      <c r="QL90" s="201"/>
      <c r="QM90" s="202"/>
      <c r="QN90" s="202"/>
      <c r="QO90" s="202"/>
      <c r="QP90" s="202"/>
      <c r="QQ90" s="203"/>
      <c r="QR90" s="204"/>
      <c r="QS90" s="204"/>
      <c r="QT90" s="204"/>
      <c r="QU90" s="205"/>
      <c r="QV90" s="206"/>
      <c r="QW90" s="207"/>
      <c r="QX90" s="207"/>
      <c r="QY90" s="208"/>
      <c r="QZ90" s="209"/>
      <c r="RA90" s="207"/>
      <c r="RB90" s="210"/>
      <c r="RC90" s="209"/>
      <c r="RD90" s="204"/>
      <c r="RE90" s="204"/>
      <c r="RF90" s="204"/>
      <c r="RG90" s="199"/>
      <c r="RH90" s="167"/>
      <c r="RI90" s="199"/>
      <c r="RJ90" s="200"/>
      <c r="RK90" s="201"/>
      <c r="RL90" s="202"/>
      <c r="RM90" s="202"/>
      <c r="RN90" s="202"/>
      <c r="RO90" s="202"/>
      <c r="RP90" s="203"/>
      <c r="RQ90" s="204"/>
      <c r="RR90" s="204"/>
      <c r="RS90" s="204"/>
      <c r="RT90" s="205"/>
      <c r="RU90" s="206"/>
      <c r="RV90" s="207"/>
      <c r="RW90" s="207"/>
      <c r="RX90" s="208"/>
      <c r="RY90" s="209"/>
      <c r="RZ90" s="207"/>
      <c r="SA90" s="210"/>
      <c r="SB90" s="209"/>
      <c r="SC90" s="204"/>
      <c r="SD90" s="204"/>
      <c r="SE90" s="204"/>
      <c r="SF90" s="199"/>
      <c r="SG90" s="167"/>
      <c r="SH90" s="199"/>
      <c r="SI90" s="200"/>
      <c r="SJ90" s="201"/>
      <c r="SK90" s="202"/>
      <c r="SL90" s="202"/>
      <c r="SM90" s="202"/>
      <c r="SN90" s="202"/>
      <c r="SO90" s="203"/>
      <c r="SP90" s="204"/>
      <c r="SQ90" s="204"/>
      <c r="SR90" s="204"/>
      <c r="SS90" s="205"/>
      <c r="ST90" s="206"/>
      <c r="SU90" s="207"/>
      <c r="SV90" s="207"/>
      <c r="SW90" s="208"/>
      <c r="SX90" s="209"/>
      <c r="SY90" s="207"/>
      <c r="SZ90" s="210"/>
      <c r="TA90" s="209"/>
      <c r="TB90" s="204"/>
      <c r="TC90" s="204"/>
      <c r="TD90" s="204"/>
      <c r="TE90" s="199"/>
      <c r="TF90" s="167"/>
      <c r="TG90" s="199"/>
      <c r="TH90" s="200"/>
      <c r="TI90" s="201"/>
      <c r="TJ90" s="202"/>
      <c r="TK90" s="202"/>
      <c r="TL90" s="202"/>
      <c r="TM90" s="202"/>
      <c r="TN90" s="203"/>
      <c r="TO90" s="204"/>
      <c r="TP90" s="204"/>
      <c r="TQ90" s="204"/>
      <c r="TR90" s="205"/>
      <c r="TS90" s="206"/>
      <c r="TT90" s="207"/>
      <c r="TU90" s="207"/>
      <c r="TV90" s="208"/>
      <c r="TW90" s="209"/>
      <c r="TX90" s="207"/>
      <c r="TY90" s="210"/>
      <c r="TZ90" s="209"/>
      <c r="UA90" s="204"/>
      <c r="UB90" s="204"/>
      <c r="UC90" s="204"/>
      <c r="UD90" s="199"/>
      <c r="UE90" s="167"/>
      <c r="UF90" s="199"/>
      <c r="UG90" s="200"/>
      <c r="UH90" s="201"/>
      <c r="UI90" s="202"/>
      <c r="UJ90" s="202"/>
      <c r="UK90" s="202"/>
      <c r="UL90" s="202"/>
      <c r="UM90" s="203"/>
      <c r="UN90" s="204"/>
      <c r="UO90" s="204"/>
      <c r="UP90" s="204"/>
      <c r="UQ90" s="205"/>
      <c r="UR90" s="206"/>
      <c r="US90" s="207"/>
      <c r="UT90" s="207"/>
      <c r="UU90" s="208"/>
      <c r="UV90" s="209"/>
      <c r="UW90" s="207"/>
      <c r="UX90" s="210"/>
      <c r="UY90" s="209"/>
      <c r="UZ90" s="204"/>
      <c r="VA90" s="204"/>
      <c r="VB90" s="204"/>
      <c r="VC90" s="199"/>
      <c r="VD90" s="167"/>
      <c r="VE90" s="199"/>
      <c r="VF90" s="200"/>
      <c r="VG90" s="201"/>
      <c r="VH90" s="202"/>
      <c r="VI90" s="202"/>
      <c r="VJ90" s="202"/>
      <c r="VK90" s="202"/>
      <c r="VL90" s="203"/>
      <c r="VM90" s="204"/>
      <c r="VN90" s="204"/>
      <c r="VO90" s="204"/>
      <c r="VP90" s="205"/>
      <c r="VQ90" s="206"/>
      <c r="VR90" s="207"/>
      <c r="VS90" s="207"/>
      <c r="VT90" s="208"/>
      <c r="VU90" s="209"/>
      <c r="VV90" s="207"/>
      <c r="VW90" s="210"/>
      <c r="VX90" s="209"/>
      <c r="VY90" s="204"/>
      <c r="VZ90" s="204"/>
      <c r="WA90" s="204"/>
      <c r="WB90" s="199"/>
      <c r="WC90" s="167"/>
      <c r="WD90" s="199"/>
      <c r="WE90" s="200"/>
      <c r="WF90" s="201"/>
      <c r="WG90" s="202"/>
      <c r="WH90" s="202"/>
      <c r="WI90" s="202"/>
      <c r="WJ90" s="202"/>
      <c r="WK90" s="203"/>
      <c r="WL90" s="204"/>
      <c r="WM90" s="204"/>
      <c r="WN90" s="204"/>
      <c r="WO90" s="205"/>
      <c r="WP90" s="206"/>
      <c r="WQ90" s="207"/>
      <c r="WR90" s="207"/>
      <c r="WS90" s="208"/>
      <c r="WT90" s="209"/>
      <c r="WU90" s="207"/>
      <c r="WV90" s="210"/>
      <c r="WW90" s="209"/>
      <c r="WX90" s="204"/>
      <c r="WY90" s="204"/>
      <c r="WZ90" s="204"/>
      <c r="XA90" s="199"/>
      <c r="XB90" s="167"/>
      <c r="XC90" s="199"/>
      <c r="XD90" s="200"/>
      <c r="XE90" s="201"/>
      <c r="XF90" s="202"/>
      <c r="XG90" s="202"/>
      <c r="XH90" s="202"/>
      <c r="XI90" s="202"/>
      <c r="XJ90" s="203"/>
      <c r="XK90" s="204"/>
      <c r="XL90" s="204"/>
      <c r="XM90" s="204"/>
      <c r="XN90" s="205"/>
      <c r="XO90" s="206"/>
      <c r="XP90" s="207"/>
      <c r="XQ90" s="207"/>
      <c r="XR90" s="208"/>
      <c r="XS90" s="209"/>
      <c r="XT90" s="207"/>
      <c r="XU90" s="210"/>
      <c r="XV90" s="209"/>
      <c r="XW90" s="204"/>
      <c r="XX90" s="204"/>
      <c r="XY90" s="204"/>
      <c r="XZ90" s="199"/>
      <c r="YA90" s="167"/>
      <c r="YB90" s="199"/>
      <c r="YC90" s="200"/>
      <c r="YD90" s="201"/>
      <c r="YE90" s="202"/>
      <c r="YF90" s="202"/>
      <c r="YG90" s="202"/>
      <c r="YH90" s="202"/>
      <c r="YI90" s="203"/>
      <c r="YJ90" s="204"/>
      <c r="YK90" s="204"/>
      <c r="YL90" s="204"/>
      <c r="YM90" s="205"/>
      <c r="YN90" s="206"/>
      <c r="YO90" s="207"/>
      <c r="YP90" s="207"/>
      <c r="YQ90" s="208"/>
      <c r="YR90" s="209"/>
      <c r="YS90" s="207"/>
      <c r="YT90" s="210"/>
      <c r="YU90" s="209"/>
      <c r="YV90" s="204"/>
      <c r="YW90" s="204"/>
      <c r="YX90" s="204"/>
      <c r="YY90" s="199"/>
      <c r="YZ90" s="167"/>
      <c r="ZA90" s="199"/>
      <c r="ZB90" s="200"/>
      <c r="ZC90" s="201"/>
      <c r="ZD90" s="202"/>
      <c r="ZE90" s="202"/>
      <c r="ZF90" s="202"/>
      <c r="ZG90" s="202"/>
      <c r="ZH90" s="203"/>
      <c r="ZI90" s="204"/>
      <c r="ZJ90" s="204"/>
      <c r="ZK90" s="204"/>
      <c r="ZL90" s="205"/>
      <c r="ZM90" s="206"/>
      <c r="ZN90" s="207"/>
      <c r="ZO90" s="207"/>
      <c r="ZP90" s="208"/>
      <c r="ZQ90" s="209"/>
      <c r="ZR90" s="207"/>
      <c r="ZS90" s="210"/>
      <c r="ZT90" s="209"/>
      <c r="ZU90" s="204"/>
      <c r="ZV90" s="204"/>
      <c r="ZW90" s="204"/>
      <c r="ZX90" s="199"/>
      <c r="ZY90" s="167"/>
      <c r="ZZ90" s="199"/>
      <c r="AAA90" s="200"/>
      <c r="AAB90" s="201"/>
      <c r="AAC90" s="202"/>
      <c r="AAD90" s="202"/>
      <c r="AAE90" s="202"/>
      <c r="AAF90" s="202"/>
      <c r="AAG90" s="203"/>
      <c r="AAH90" s="204"/>
      <c r="AAI90" s="204"/>
      <c r="AAJ90" s="204"/>
      <c r="AAK90" s="205"/>
      <c r="AAL90" s="206"/>
      <c r="AAM90" s="207"/>
      <c r="AAN90" s="207"/>
      <c r="AAO90" s="208"/>
      <c r="AAP90" s="209"/>
      <c r="AAQ90" s="207"/>
      <c r="AAR90" s="210"/>
      <c r="AAS90" s="209"/>
      <c r="AAT90" s="204"/>
      <c r="AAU90" s="204"/>
      <c r="AAV90" s="204"/>
      <c r="AAW90" s="199"/>
      <c r="AAX90" s="167"/>
      <c r="AAY90" s="199"/>
      <c r="AAZ90" s="200"/>
      <c r="ABA90" s="201"/>
      <c r="ABB90" s="202"/>
      <c r="ABC90" s="202"/>
      <c r="ABD90" s="202"/>
      <c r="ABE90" s="202"/>
      <c r="ABF90" s="203"/>
      <c r="ABG90" s="204"/>
      <c r="ABH90" s="204"/>
      <c r="ABI90" s="204"/>
      <c r="ABJ90" s="205"/>
      <c r="ABK90" s="206"/>
      <c r="ABL90" s="207"/>
      <c r="ABM90" s="207"/>
      <c r="ABN90" s="208"/>
      <c r="ABO90" s="209"/>
      <c r="ABP90" s="207"/>
      <c r="ABQ90" s="210"/>
      <c r="ABR90" s="209"/>
      <c r="ABS90" s="204"/>
      <c r="ABT90" s="204"/>
      <c r="ABU90" s="204"/>
      <c r="ABV90" s="199"/>
      <c r="ABW90" s="167"/>
      <c r="ABX90" s="199"/>
      <c r="ABY90" s="200"/>
      <c r="ABZ90" s="201"/>
      <c r="ACA90" s="202"/>
      <c r="ACB90" s="202"/>
      <c r="ACC90" s="202"/>
      <c r="ACD90" s="202"/>
      <c r="ACE90" s="203"/>
      <c r="ACF90" s="204"/>
      <c r="ACG90" s="204"/>
      <c r="ACH90" s="204"/>
      <c r="ACI90" s="205"/>
      <c r="ACJ90" s="206"/>
      <c r="ACK90" s="207"/>
      <c r="ACL90" s="207"/>
      <c r="ACM90" s="208"/>
      <c r="ACN90" s="209"/>
      <c r="ACO90" s="207"/>
      <c r="ACP90" s="210"/>
      <c r="ACQ90" s="209"/>
      <c r="ACR90" s="204"/>
      <c r="ACS90" s="204"/>
      <c r="ACT90" s="204"/>
      <c r="ACU90" s="199"/>
      <c r="ACV90" s="167"/>
      <c r="ACW90" s="199"/>
      <c r="ACX90" s="200"/>
      <c r="ACY90" s="201"/>
      <c r="ACZ90" s="202"/>
      <c r="ADA90" s="202"/>
      <c r="ADB90" s="202"/>
      <c r="ADC90" s="202"/>
      <c r="ADD90" s="203"/>
      <c r="ADE90" s="204"/>
      <c r="ADF90" s="204"/>
      <c r="ADG90" s="204"/>
      <c r="ADH90" s="205"/>
      <c r="ADI90" s="206"/>
      <c r="ADJ90" s="207"/>
      <c r="ADK90" s="207"/>
      <c r="ADL90" s="208"/>
      <c r="ADM90" s="209"/>
      <c r="ADN90" s="207"/>
      <c r="ADO90" s="210"/>
      <c r="ADP90" s="209"/>
      <c r="ADQ90" s="204"/>
      <c r="ADR90" s="204"/>
      <c r="ADS90" s="204"/>
      <c r="ADT90" s="199"/>
      <c r="ADU90" s="167"/>
      <c r="ADV90" s="199"/>
      <c r="ADW90" s="200"/>
      <c r="ADX90" s="201"/>
      <c r="ADY90" s="202"/>
      <c r="ADZ90" s="202"/>
      <c r="AEA90" s="202"/>
      <c r="AEB90" s="202"/>
      <c r="AEC90" s="203"/>
      <c r="AED90" s="204"/>
      <c r="AEE90" s="204"/>
      <c r="AEF90" s="204"/>
      <c r="AEG90" s="205"/>
      <c r="AEH90" s="206"/>
      <c r="AEI90" s="207"/>
      <c r="AEJ90" s="207"/>
      <c r="AEK90" s="208"/>
      <c r="AEL90" s="209"/>
      <c r="AEM90" s="207"/>
      <c r="AEN90" s="210"/>
      <c r="AEO90" s="209"/>
      <c r="AEP90" s="204"/>
      <c r="AEQ90" s="204"/>
      <c r="AER90" s="204"/>
      <c r="AES90" s="199"/>
      <c r="AET90" s="167"/>
      <c r="AEU90" s="199"/>
      <c r="AEV90" s="200"/>
      <c r="AEW90" s="201"/>
      <c r="AEX90" s="202"/>
      <c r="AEY90" s="202"/>
      <c r="AEZ90" s="202"/>
      <c r="AFA90" s="202"/>
      <c r="AFB90" s="203"/>
      <c r="AFC90" s="204"/>
      <c r="AFD90" s="204"/>
      <c r="AFE90" s="204"/>
      <c r="AFF90" s="205"/>
      <c r="AFG90" s="206"/>
      <c r="AFH90" s="207"/>
      <c r="AFI90" s="207"/>
      <c r="AFJ90" s="208"/>
      <c r="AFK90" s="209"/>
      <c r="AFL90" s="207"/>
      <c r="AFM90" s="210"/>
      <c r="AFN90" s="209"/>
      <c r="AFO90" s="204"/>
      <c r="AFP90" s="204"/>
      <c r="AFQ90" s="204"/>
      <c r="AFR90" s="199"/>
      <c r="AFS90" s="167"/>
      <c r="AFT90" s="199"/>
      <c r="AFU90" s="200"/>
      <c r="AFV90" s="201"/>
      <c r="AFW90" s="202"/>
      <c r="AFX90" s="202"/>
      <c r="AFY90" s="202"/>
      <c r="AFZ90" s="202"/>
      <c r="AGA90" s="203"/>
      <c r="AGB90" s="204"/>
      <c r="AGC90" s="204"/>
      <c r="AGD90" s="204"/>
      <c r="AGE90" s="205"/>
      <c r="AGF90" s="206"/>
      <c r="AGG90" s="207"/>
      <c r="AGH90" s="207"/>
      <c r="AGI90" s="208"/>
      <c r="AGJ90" s="209"/>
      <c r="AGK90" s="207"/>
      <c r="AGL90" s="210"/>
      <c r="AGM90" s="209"/>
      <c r="AGN90" s="204"/>
      <c r="AGO90" s="204"/>
      <c r="AGP90" s="204"/>
      <c r="AGQ90" s="199"/>
      <c r="AGR90" s="167"/>
      <c r="AGS90" s="199"/>
      <c r="AGT90" s="200"/>
      <c r="AGU90" s="201"/>
      <c r="AGV90" s="202"/>
      <c r="AGW90" s="202"/>
      <c r="AGX90" s="202"/>
      <c r="AGY90" s="202"/>
      <c r="AGZ90" s="203"/>
      <c r="AHA90" s="204"/>
      <c r="AHB90" s="204"/>
      <c r="AHC90" s="204"/>
      <c r="AHD90" s="205"/>
      <c r="AHE90" s="206"/>
      <c r="AHF90" s="207"/>
      <c r="AHG90" s="207"/>
      <c r="AHH90" s="208"/>
      <c r="AHI90" s="209"/>
      <c r="AHJ90" s="207"/>
      <c r="AHK90" s="210"/>
      <c r="AHL90" s="209"/>
      <c r="AHM90" s="204"/>
      <c r="AHN90" s="204"/>
      <c r="AHO90" s="204"/>
      <c r="AHP90" s="199"/>
      <c r="AHQ90" s="167"/>
      <c r="AHR90" s="199"/>
      <c r="AHS90" s="200"/>
      <c r="AHT90" s="201"/>
      <c r="AHU90" s="202"/>
      <c r="AHV90" s="202"/>
      <c r="AHW90" s="202"/>
      <c r="AHX90" s="202"/>
      <c r="AHY90" s="203"/>
      <c r="AHZ90" s="204"/>
      <c r="AIA90" s="204"/>
      <c r="AIB90" s="204"/>
      <c r="AIC90" s="205"/>
      <c r="AID90" s="206"/>
      <c r="AIE90" s="207"/>
      <c r="AIF90" s="207"/>
      <c r="AIG90" s="208"/>
      <c r="AIH90" s="209"/>
      <c r="AII90" s="207"/>
      <c r="AIJ90" s="210"/>
      <c r="AIK90" s="209"/>
      <c r="AIL90" s="204"/>
      <c r="AIM90" s="204"/>
      <c r="AIN90" s="204"/>
      <c r="AIO90" s="199"/>
      <c r="AIP90" s="167"/>
      <c r="AIQ90" s="199"/>
      <c r="AIR90" s="200"/>
      <c r="AIS90" s="201"/>
      <c r="AIT90" s="202"/>
      <c r="AIU90" s="202"/>
      <c r="AIV90" s="202"/>
      <c r="AIW90" s="202"/>
      <c r="AIX90" s="203"/>
      <c r="AIY90" s="204"/>
      <c r="AIZ90" s="204"/>
      <c r="AJA90" s="204"/>
      <c r="AJB90" s="205"/>
      <c r="AJC90" s="206"/>
      <c r="AJD90" s="207"/>
      <c r="AJE90" s="207"/>
      <c r="AJF90" s="208"/>
      <c r="AJG90" s="209"/>
      <c r="AJH90" s="207"/>
      <c r="AJI90" s="210"/>
      <c r="AJJ90" s="209"/>
      <c r="AJK90" s="204"/>
      <c r="AJL90" s="204"/>
      <c r="AJM90" s="204"/>
      <c r="AJN90" s="199"/>
      <c r="AJO90" s="167"/>
      <c r="AJP90" s="199"/>
      <c r="AJQ90" s="200"/>
      <c r="AJR90" s="201"/>
      <c r="AJS90" s="202"/>
      <c r="AJT90" s="202"/>
      <c r="AJU90" s="202"/>
      <c r="AJV90" s="202"/>
      <c r="AJW90" s="203"/>
      <c r="AJX90" s="204"/>
      <c r="AJY90" s="204"/>
      <c r="AJZ90" s="204"/>
      <c r="AKA90" s="205"/>
      <c r="AKB90" s="206"/>
      <c r="AKC90" s="207"/>
      <c r="AKD90" s="207"/>
      <c r="AKE90" s="208"/>
      <c r="AKF90" s="209"/>
      <c r="AKG90" s="207"/>
      <c r="AKH90" s="210"/>
      <c r="AKI90" s="209"/>
      <c r="AKJ90" s="204"/>
      <c r="AKK90" s="204"/>
      <c r="AKL90" s="204"/>
      <c r="AKM90" s="199"/>
      <c r="AKN90" s="167"/>
      <c r="AKO90" s="199"/>
      <c r="AKP90" s="200"/>
      <c r="AKQ90" s="201"/>
      <c r="AKR90" s="202"/>
      <c r="AKS90" s="202"/>
      <c r="AKT90" s="202"/>
      <c r="AKU90" s="202"/>
      <c r="AKV90" s="203"/>
      <c r="AKW90" s="204"/>
      <c r="AKX90" s="204"/>
      <c r="AKY90" s="204"/>
      <c r="AKZ90" s="205"/>
      <c r="ALA90" s="206"/>
      <c r="ALB90" s="207"/>
      <c r="ALC90" s="207"/>
      <c r="ALD90" s="208"/>
      <c r="ALE90" s="209"/>
      <c r="ALF90" s="207"/>
      <c r="ALG90" s="210"/>
      <c r="ALH90" s="209"/>
      <c r="ALI90" s="204"/>
      <c r="ALJ90" s="204"/>
      <c r="ALK90" s="204"/>
      <c r="ALL90" s="199"/>
      <c r="ALM90" s="167"/>
      <c r="ALN90" s="199"/>
      <c r="ALO90" s="200"/>
      <c r="ALP90" s="201"/>
      <c r="ALQ90" s="202"/>
      <c r="ALR90" s="202"/>
      <c r="ALS90" s="202"/>
      <c r="ALT90" s="202"/>
      <c r="ALU90" s="203"/>
      <c r="ALV90" s="204"/>
      <c r="ALW90" s="204"/>
      <c r="ALX90" s="204"/>
      <c r="ALY90" s="205"/>
      <c r="ALZ90" s="206"/>
      <c r="AMA90" s="207"/>
      <c r="AMB90" s="207"/>
      <c r="AMC90" s="208"/>
      <c r="AMD90" s="209"/>
      <c r="AME90" s="207"/>
      <c r="AMF90" s="210"/>
      <c r="AMG90" s="209"/>
      <c r="AMH90" s="204"/>
      <c r="AMI90" s="204"/>
      <c r="AMJ90" s="204"/>
      <c r="AMK90" s="199"/>
      <c r="AML90" s="167"/>
      <c r="AMM90" s="199"/>
      <c r="AMN90" s="200"/>
      <c r="AMO90" s="201"/>
      <c r="AMP90" s="202"/>
      <c r="AMQ90" s="202"/>
      <c r="AMR90" s="202"/>
      <c r="AMS90" s="202"/>
      <c r="AMT90" s="203"/>
      <c r="AMU90" s="204"/>
      <c r="AMV90" s="204"/>
      <c r="AMW90" s="204"/>
      <c r="AMX90" s="205"/>
      <c r="AMY90" s="206"/>
      <c r="AMZ90" s="207"/>
      <c r="ANA90" s="207"/>
      <c r="ANB90" s="208"/>
      <c r="ANC90" s="209"/>
      <c r="AND90" s="207"/>
      <c r="ANE90" s="210"/>
      <c r="ANF90" s="209"/>
      <c r="ANG90" s="204"/>
      <c r="ANH90" s="204"/>
      <c r="ANI90" s="204"/>
      <c r="ANJ90" s="199"/>
      <c r="ANK90" s="167"/>
      <c r="ANL90" s="199"/>
      <c r="ANM90" s="200"/>
      <c r="ANN90" s="201"/>
      <c r="ANO90" s="202"/>
      <c r="ANP90" s="202"/>
      <c r="ANQ90" s="202"/>
      <c r="ANR90" s="202"/>
      <c r="ANS90" s="203"/>
      <c r="ANT90" s="204"/>
      <c r="ANU90" s="204"/>
      <c r="ANV90" s="204"/>
      <c r="ANW90" s="205"/>
      <c r="ANX90" s="206"/>
      <c r="ANY90" s="207"/>
      <c r="ANZ90" s="207"/>
      <c r="AOA90" s="208"/>
      <c r="AOB90" s="209"/>
      <c r="AOC90" s="207"/>
      <c r="AOD90" s="210"/>
      <c r="AOE90" s="209"/>
      <c r="AOF90" s="204"/>
      <c r="AOG90" s="204"/>
      <c r="AOH90" s="204"/>
      <c r="AOI90" s="199"/>
      <c r="AOJ90" s="167"/>
      <c r="AOK90" s="199"/>
      <c r="AOL90" s="200"/>
      <c r="AOM90" s="201"/>
      <c r="AON90" s="202"/>
      <c r="AOO90" s="202"/>
      <c r="AOP90" s="202"/>
      <c r="AOQ90" s="202"/>
      <c r="AOR90" s="203"/>
      <c r="AOS90" s="204"/>
      <c r="AOT90" s="204"/>
      <c r="AOU90" s="204"/>
      <c r="AOV90" s="205"/>
      <c r="AOW90" s="206"/>
      <c r="AOX90" s="207"/>
      <c r="AOY90" s="207"/>
      <c r="AOZ90" s="208"/>
      <c r="APA90" s="209"/>
      <c r="APB90" s="207"/>
      <c r="APC90" s="210"/>
      <c r="APD90" s="209"/>
      <c r="APE90" s="204"/>
      <c r="APF90" s="204"/>
      <c r="APG90" s="204"/>
      <c r="APH90" s="199"/>
      <c r="API90" s="167"/>
      <c r="APJ90" s="199"/>
      <c r="APK90" s="200"/>
      <c r="APL90" s="201"/>
      <c r="APM90" s="202"/>
      <c r="APN90" s="202"/>
      <c r="APO90" s="202"/>
      <c r="APP90" s="202"/>
      <c r="APQ90" s="203"/>
      <c r="APR90" s="204"/>
      <c r="APS90" s="204"/>
      <c r="APT90" s="204"/>
      <c r="APU90" s="205"/>
      <c r="APV90" s="206"/>
      <c r="APW90" s="207"/>
      <c r="APX90" s="207"/>
      <c r="APY90" s="208"/>
      <c r="APZ90" s="209"/>
      <c r="AQA90" s="207"/>
      <c r="AQB90" s="210"/>
      <c r="AQC90" s="209"/>
      <c r="AQD90" s="204"/>
      <c r="AQE90" s="204"/>
      <c r="AQF90" s="204"/>
      <c r="AQG90" s="199"/>
      <c r="AQH90" s="167"/>
      <c r="AQI90" s="199"/>
      <c r="AQJ90" s="200"/>
      <c r="AQK90" s="201"/>
      <c r="AQL90" s="202"/>
      <c r="AQM90" s="202"/>
      <c r="AQN90" s="202"/>
      <c r="AQO90" s="202"/>
      <c r="AQP90" s="203"/>
      <c r="AQQ90" s="204"/>
      <c r="AQR90" s="204"/>
      <c r="AQS90" s="204"/>
      <c r="AQT90" s="205"/>
      <c r="AQU90" s="206"/>
      <c r="AQV90" s="207"/>
      <c r="AQW90" s="207"/>
      <c r="AQX90" s="208"/>
      <c r="AQY90" s="209"/>
      <c r="AQZ90" s="207"/>
      <c r="ARA90" s="210"/>
      <c r="ARB90" s="209"/>
      <c r="ARC90" s="204"/>
      <c r="ARD90" s="204"/>
      <c r="ARE90" s="204"/>
      <c r="ARF90" s="199"/>
      <c r="ARG90" s="167"/>
      <c r="ARH90" s="199"/>
      <c r="ARI90" s="200"/>
      <c r="ARJ90" s="201"/>
      <c r="ARK90" s="202"/>
      <c r="ARL90" s="202"/>
      <c r="ARM90" s="202"/>
      <c r="ARN90" s="202"/>
      <c r="ARO90" s="203"/>
      <c r="ARP90" s="204"/>
      <c r="ARQ90" s="204"/>
      <c r="ARR90" s="204"/>
      <c r="ARS90" s="205"/>
      <c r="ART90" s="206"/>
      <c r="ARU90" s="207"/>
      <c r="ARV90" s="207"/>
      <c r="ARW90" s="208"/>
      <c r="ARX90" s="209"/>
      <c r="ARY90" s="207"/>
      <c r="ARZ90" s="210"/>
      <c r="ASA90" s="209"/>
      <c r="ASB90" s="204"/>
      <c r="ASC90" s="204"/>
      <c r="ASD90" s="204"/>
      <c r="ASE90" s="199"/>
      <c r="ASF90" s="167"/>
      <c r="ASG90" s="199"/>
      <c r="ASH90" s="200"/>
      <c r="ASI90" s="201"/>
      <c r="ASJ90" s="202"/>
      <c r="ASK90" s="202"/>
      <c r="ASL90" s="202"/>
      <c r="ASM90" s="202"/>
      <c r="ASN90" s="203"/>
      <c r="ASO90" s="204"/>
      <c r="ASP90" s="204"/>
      <c r="ASQ90" s="204"/>
      <c r="ASR90" s="205"/>
      <c r="ASS90" s="206"/>
      <c r="AST90" s="207"/>
      <c r="ASU90" s="207"/>
      <c r="ASV90" s="208"/>
      <c r="ASW90" s="209"/>
      <c r="ASX90" s="207"/>
      <c r="ASY90" s="210"/>
      <c r="ASZ90" s="209"/>
      <c r="ATA90" s="204"/>
      <c r="ATB90" s="204"/>
      <c r="ATC90" s="204"/>
      <c r="ATD90" s="199"/>
      <c r="ATE90" s="167"/>
      <c r="ATF90" s="199"/>
      <c r="ATG90" s="200"/>
      <c r="ATH90" s="201"/>
      <c r="ATI90" s="202"/>
      <c r="ATJ90" s="202"/>
      <c r="ATK90" s="202"/>
      <c r="ATL90" s="202"/>
      <c r="ATM90" s="203"/>
      <c r="ATN90" s="204"/>
      <c r="ATO90" s="204"/>
      <c r="ATP90" s="204"/>
      <c r="ATQ90" s="205"/>
      <c r="ATR90" s="206"/>
      <c r="ATS90" s="207"/>
      <c r="ATT90" s="207"/>
      <c r="ATU90" s="208"/>
      <c r="ATV90" s="209"/>
      <c r="ATW90" s="207"/>
      <c r="ATX90" s="210"/>
      <c r="ATY90" s="209"/>
      <c r="ATZ90" s="204"/>
      <c r="AUA90" s="204"/>
      <c r="AUB90" s="204"/>
      <c r="AUC90" s="199"/>
      <c r="AUD90" s="167"/>
      <c r="AUE90" s="199"/>
      <c r="AUF90" s="200"/>
      <c r="AUG90" s="201"/>
      <c r="AUH90" s="202"/>
      <c r="AUI90" s="202"/>
      <c r="AUJ90" s="202"/>
      <c r="AUK90" s="202"/>
      <c r="AUL90" s="203"/>
      <c r="AUM90" s="204"/>
      <c r="AUN90" s="204"/>
      <c r="AUO90" s="204"/>
      <c r="AUP90" s="205"/>
      <c r="AUQ90" s="206"/>
      <c r="AUR90" s="207"/>
      <c r="AUS90" s="207"/>
      <c r="AUT90" s="208"/>
      <c r="AUU90" s="209"/>
      <c r="AUV90" s="207"/>
      <c r="AUW90" s="210"/>
      <c r="AUX90" s="209"/>
      <c r="AUY90" s="204"/>
      <c r="AUZ90" s="204"/>
      <c r="AVA90" s="204"/>
      <c r="AVB90" s="199"/>
      <c r="AVC90" s="167"/>
      <c r="AVD90" s="199"/>
      <c r="AVE90" s="200"/>
      <c r="AVF90" s="201"/>
      <c r="AVG90" s="202"/>
      <c r="AVH90" s="202"/>
      <c r="AVI90" s="202"/>
      <c r="AVJ90" s="202"/>
      <c r="AVK90" s="203"/>
      <c r="AVL90" s="204"/>
      <c r="AVM90" s="204"/>
      <c r="AVN90" s="204"/>
      <c r="AVO90" s="205"/>
      <c r="AVP90" s="206"/>
      <c r="AVQ90" s="207"/>
      <c r="AVR90" s="207"/>
      <c r="AVS90" s="208"/>
      <c r="AVT90" s="209"/>
      <c r="AVU90" s="207"/>
      <c r="AVV90" s="210"/>
      <c r="AVW90" s="209"/>
      <c r="AVX90" s="204"/>
      <c r="AVY90" s="204"/>
      <c r="AVZ90" s="204"/>
      <c r="AWA90" s="199"/>
      <c r="AWB90" s="167"/>
      <c r="AWC90" s="199"/>
      <c r="AWD90" s="200"/>
      <c r="AWE90" s="201"/>
      <c r="AWF90" s="202"/>
      <c r="AWG90" s="202"/>
      <c r="AWH90" s="202"/>
      <c r="AWI90" s="202"/>
      <c r="AWJ90" s="203"/>
      <c r="AWK90" s="204"/>
      <c r="AWL90" s="204"/>
      <c r="AWM90" s="204"/>
      <c r="AWN90" s="205"/>
      <c r="AWO90" s="206"/>
      <c r="AWP90" s="207"/>
      <c r="AWQ90" s="207"/>
      <c r="AWR90" s="208"/>
      <c r="AWS90" s="209"/>
      <c r="AWT90" s="207"/>
      <c r="AWU90" s="210"/>
      <c r="AWV90" s="209"/>
      <c r="AWW90" s="204"/>
      <c r="AWX90" s="204"/>
      <c r="AWY90" s="204"/>
      <c r="AWZ90" s="199"/>
      <c r="AXA90" s="167"/>
      <c r="AXB90" s="199"/>
      <c r="AXC90" s="200"/>
      <c r="AXD90" s="201"/>
      <c r="AXE90" s="202"/>
      <c r="AXF90" s="202"/>
      <c r="AXG90" s="202"/>
      <c r="AXH90" s="202"/>
      <c r="AXI90" s="203"/>
      <c r="AXJ90" s="204"/>
      <c r="AXK90" s="204"/>
      <c r="AXL90" s="204"/>
      <c r="AXM90" s="205"/>
      <c r="AXN90" s="206"/>
      <c r="AXO90" s="207"/>
      <c r="AXP90" s="207"/>
      <c r="AXQ90" s="208"/>
      <c r="AXR90" s="209"/>
      <c r="AXS90" s="207"/>
      <c r="AXT90" s="210"/>
      <c r="AXU90" s="209"/>
      <c r="AXV90" s="204"/>
      <c r="AXW90" s="204"/>
      <c r="AXX90" s="204"/>
      <c r="AXY90" s="199"/>
      <c r="AXZ90" s="167"/>
      <c r="AYA90" s="199"/>
      <c r="AYB90" s="200"/>
      <c r="AYC90" s="201"/>
      <c r="AYD90" s="202"/>
      <c r="AYE90" s="202"/>
      <c r="AYF90" s="202"/>
      <c r="AYG90" s="202"/>
      <c r="AYH90" s="203"/>
      <c r="AYI90" s="204"/>
      <c r="AYJ90" s="204"/>
      <c r="AYK90" s="204"/>
      <c r="AYL90" s="205"/>
      <c r="AYM90" s="206"/>
      <c r="AYN90" s="207"/>
      <c r="AYO90" s="207"/>
      <c r="AYP90" s="208"/>
      <c r="AYQ90" s="209"/>
      <c r="AYR90" s="207"/>
      <c r="AYS90" s="210"/>
      <c r="AYT90" s="209"/>
      <c r="AYU90" s="204"/>
      <c r="AYV90" s="204"/>
      <c r="AYW90" s="204"/>
      <c r="AYX90" s="199"/>
      <c r="AYY90" s="167"/>
      <c r="AYZ90" s="199"/>
      <c r="AZA90" s="200"/>
      <c r="AZB90" s="201"/>
      <c r="AZC90" s="202"/>
      <c r="AZD90" s="202"/>
      <c r="AZE90" s="202"/>
      <c r="AZF90" s="202"/>
      <c r="AZG90" s="203"/>
      <c r="AZH90" s="204"/>
      <c r="AZI90" s="204"/>
      <c r="AZJ90" s="204"/>
      <c r="AZK90" s="205"/>
      <c r="AZL90" s="206"/>
      <c r="AZM90" s="207"/>
      <c r="AZN90" s="207"/>
      <c r="AZO90" s="208"/>
      <c r="AZP90" s="209"/>
      <c r="AZQ90" s="207"/>
      <c r="AZR90" s="210"/>
      <c r="AZS90" s="209"/>
      <c r="AZT90" s="204"/>
      <c r="AZU90" s="204"/>
      <c r="AZV90" s="204"/>
      <c r="AZW90" s="199"/>
      <c r="AZX90" s="167"/>
      <c r="AZY90" s="199"/>
      <c r="AZZ90" s="200"/>
      <c r="BAA90" s="201"/>
      <c r="BAB90" s="202"/>
      <c r="BAC90" s="202"/>
      <c r="BAD90" s="202"/>
      <c r="BAE90" s="202"/>
      <c r="BAF90" s="203"/>
      <c r="BAG90" s="204"/>
      <c r="BAH90" s="204"/>
      <c r="BAI90" s="204"/>
      <c r="BAJ90" s="205"/>
      <c r="BAK90" s="206"/>
      <c r="BAL90" s="207"/>
      <c r="BAM90" s="207"/>
      <c r="BAN90" s="208"/>
      <c r="BAO90" s="209"/>
      <c r="BAP90" s="207"/>
      <c r="BAQ90" s="210"/>
      <c r="BAR90" s="209"/>
      <c r="BAS90" s="204"/>
      <c r="BAT90" s="204"/>
      <c r="BAU90" s="204"/>
      <c r="BAV90" s="199"/>
      <c r="BAW90" s="167"/>
      <c r="BAX90" s="199"/>
      <c r="BAY90" s="200"/>
      <c r="BAZ90" s="201"/>
      <c r="BBA90" s="202"/>
      <c r="BBB90" s="202"/>
      <c r="BBC90" s="202"/>
      <c r="BBD90" s="202"/>
      <c r="BBE90" s="203"/>
      <c r="BBF90" s="204"/>
      <c r="BBG90" s="204"/>
      <c r="BBH90" s="204"/>
      <c r="BBI90" s="205"/>
      <c r="BBJ90" s="206"/>
      <c r="BBK90" s="207"/>
      <c r="BBL90" s="207"/>
      <c r="BBM90" s="208"/>
      <c r="BBN90" s="209"/>
      <c r="BBO90" s="207"/>
      <c r="BBP90" s="210"/>
      <c r="BBQ90" s="209"/>
      <c r="BBR90" s="204"/>
      <c r="BBS90" s="204"/>
      <c r="BBT90" s="204"/>
      <c r="BBU90" s="199"/>
      <c r="BBV90" s="167"/>
      <c r="BBW90" s="199"/>
      <c r="BBX90" s="200"/>
      <c r="BBY90" s="201"/>
      <c r="BBZ90" s="202"/>
      <c r="BCA90" s="202"/>
      <c r="BCB90" s="202"/>
      <c r="BCC90" s="202"/>
      <c r="BCD90" s="203"/>
      <c r="BCE90" s="204"/>
      <c r="BCF90" s="204"/>
      <c r="BCG90" s="204"/>
      <c r="BCH90" s="205"/>
      <c r="BCI90" s="206"/>
      <c r="BCJ90" s="207"/>
      <c r="BCK90" s="207"/>
      <c r="BCL90" s="208"/>
      <c r="BCM90" s="209"/>
      <c r="BCN90" s="207"/>
      <c r="BCO90" s="210"/>
      <c r="BCP90" s="209"/>
      <c r="BCQ90" s="204"/>
      <c r="BCR90" s="204"/>
      <c r="BCS90" s="204"/>
      <c r="BCT90" s="199"/>
      <c r="BCU90" s="167"/>
      <c r="BCV90" s="199"/>
      <c r="BCW90" s="200"/>
      <c r="BCX90" s="201"/>
      <c r="BCY90" s="202"/>
      <c r="BCZ90" s="202"/>
      <c r="BDA90" s="202"/>
      <c r="BDB90" s="202"/>
      <c r="BDC90" s="203"/>
      <c r="BDD90" s="204"/>
      <c r="BDE90" s="204"/>
      <c r="BDF90" s="204"/>
      <c r="BDG90" s="205"/>
      <c r="BDH90" s="206"/>
      <c r="BDI90" s="207"/>
      <c r="BDJ90" s="207"/>
      <c r="BDK90" s="208"/>
      <c r="BDL90" s="209"/>
      <c r="BDM90" s="207"/>
      <c r="BDN90" s="210"/>
      <c r="BDO90" s="209"/>
      <c r="BDP90" s="204"/>
      <c r="BDQ90" s="204"/>
      <c r="BDR90" s="204"/>
      <c r="BDS90" s="199"/>
      <c r="BDT90" s="167"/>
      <c r="BDU90" s="199"/>
      <c r="BDV90" s="200"/>
      <c r="BDW90" s="201"/>
      <c r="BDX90" s="202"/>
      <c r="BDY90" s="202"/>
      <c r="BDZ90" s="202"/>
      <c r="BEA90" s="202"/>
      <c r="BEB90" s="203"/>
      <c r="BEC90" s="204"/>
      <c r="BED90" s="204"/>
      <c r="BEE90" s="204"/>
      <c r="BEF90" s="205"/>
      <c r="BEG90" s="206"/>
      <c r="BEH90" s="207"/>
      <c r="BEI90" s="207"/>
      <c r="BEJ90" s="208"/>
      <c r="BEK90" s="209"/>
      <c r="BEL90" s="207"/>
      <c r="BEM90" s="210"/>
      <c r="BEN90" s="209"/>
      <c r="BEO90" s="204"/>
      <c r="BEP90" s="204"/>
      <c r="BEQ90" s="204"/>
      <c r="BER90" s="199"/>
      <c r="BES90" s="167"/>
      <c r="BET90" s="199"/>
      <c r="BEU90" s="200"/>
      <c r="BEV90" s="201"/>
      <c r="BEW90" s="202"/>
      <c r="BEX90" s="202"/>
      <c r="BEY90" s="202"/>
      <c r="BEZ90" s="202"/>
      <c r="BFA90" s="203"/>
      <c r="BFB90" s="204"/>
      <c r="BFC90" s="204"/>
      <c r="BFD90" s="204"/>
      <c r="BFE90" s="205"/>
      <c r="BFF90" s="206"/>
      <c r="BFG90" s="207"/>
      <c r="BFH90" s="207"/>
      <c r="BFI90" s="208"/>
      <c r="BFJ90" s="209"/>
      <c r="BFK90" s="207"/>
      <c r="BFL90" s="210"/>
      <c r="BFM90" s="209"/>
      <c r="BFN90" s="204"/>
      <c r="BFO90" s="204"/>
      <c r="BFP90" s="204"/>
      <c r="BFQ90" s="199"/>
      <c r="BFR90" s="167"/>
      <c r="BFS90" s="199"/>
      <c r="BFT90" s="200"/>
      <c r="BFU90" s="201"/>
      <c r="BFV90" s="202"/>
      <c r="BFW90" s="202"/>
      <c r="BFX90" s="202"/>
      <c r="BFY90" s="202"/>
      <c r="BFZ90" s="203"/>
      <c r="BGA90" s="204"/>
      <c r="BGB90" s="204"/>
      <c r="BGC90" s="204"/>
      <c r="BGD90" s="205"/>
      <c r="BGE90" s="206"/>
      <c r="BGF90" s="207"/>
      <c r="BGG90" s="207"/>
      <c r="BGH90" s="208"/>
      <c r="BGI90" s="209"/>
      <c r="BGJ90" s="207"/>
      <c r="BGK90" s="210"/>
      <c r="BGL90" s="209"/>
      <c r="BGM90" s="204"/>
      <c r="BGN90" s="204"/>
      <c r="BGO90" s="204"/>
      <c r="BGP90" s="199"/>
      <c r="BGQ90" s="167"/>
      <c r="BGR90" s="199"/>
      <c r="BGS90" s="200"/>
      <c r="BGT90" s="201"/>
      <c r="BGU90" s="202"/>
      <c r="BGV90" s="202"/>
      <c r="BGW90" s="202"/>
      <c r="BGX90" s="202"/>
      <c r="BGY90" s="203"/>
      <c r="BGZ90" s="204"/>
      <c r="BHA90" s="204"/>
      <c r="BHB90" s="204"/>
      <c r="BHC90" s="205"/>
      <c r="BHD90" s="206"/>
      <c r="BHE90" s="207"/>
      <c r="BHF90" s="207"/>
      <c r="BHG90" s="208"/>
      <c r="BHH90" s="209"/>
      <c r="BHI90" s="207"/>
      <c r="BHJ90" s="210"/>
      <c r="BHK90" s="209"/>
      <c r="BHL90" s="204"/>
      <c r="BHM90" s="204"/>
      <c r="BHN90" s="204"/>
      <c r="BHO90" s="199"/>
      <c r="BHP90" s="167"/>
      <c r="BHQ90" s="199"/>
      <c r="BHR90" s="200"/>
      <c r="BHS90" s="201"/>
      <c r="BHT90" s="202"/>
      <c r="BHU90" s="202"/>
      <c r="BHV90" s="202"/>
      <c r="BHW90" s="202"/>
      <c r="BHX90" s="203"/>
      <c r="BHY90" s="204"/>
      <c r="BHZ90" s="204"/>
      <c r="BIA90" s="204"/>
      <c r="BIB90" s="205"/>
      <c r="BIC90" s="206"/>
      <c r="BID90" s="207"/>
      <c r="BIE90" s="207"/>
      <c r="BIF90" s="208"/>
      <c r="BIG90" s="209"/>
      <c r="BIH90" s="207"/>
      <c r="BII90" s="210"/>
      <c r="BIJ90" s="209"/>
      <c r="BIK90" s="204"/>
      <c r="BIL90" s="204"/>
      <c r="BIM90" s="204"/>
      <c r="BIN90" s="199"/>
      <c r="BIO90" s="167"/>
      <c r="BIP90" s="199"/>
      <c r="BIQ90" s="200"/>
      <c r="BIR90" s="201"/>
      <c r="BIS90" s="202"/>
      <c r="BIT90" s="202"/>
      <c r="BIU90" s="202"/>
      <c r="BIV90" s="202"/>
      <c r="BIW90" s="203"/>
      <c r="BIX90" s="204"/>
      <c r="BIY90" s="204"/>
      <c r="BIZ90" s="204"/>
      <c r="BJA90" s="205"/>
      <c r="BJB90" s="206"/>
      <c r="BJC90" s="207"/>
      <c r="BJD90" s="207"/>
      <c r="BJE90" s="208"/>
      <c r="BJF90" s="209"/>
      <c r="BJG90" s="207"/>
      <c r="BJH90" s="210"/>
      <c r="BJI90" s="209"/>
      <c r="BJJ90" s="204"/>
      <c r="BJK90" s="204"/>
      <c r="BJL90" s="204"/>
      <c r="BJM90" s="199"/>
      <c r="BJN90" s="167"/>
      <c r="BJO90" s="199"/>
      <c r="BJP90" s="200"/>
      <c r="BJQ90" s="201"/>
      <c r="BJR90" s="202"/>
      <c r="BJS90" s="202"/>
      <c r="BJT90" s="202"/>
      <c r="BJU90" s="202"/>
      <c r="BJV90" s="203"/>
      <c r="BJW90" s="204"/>
      <c r="BJX90" s="204"/>
      <c r="BJY90" s="204"/>
      <c r="BJZ90" s="205"/>
      <c r="BKA90" s="206"/>
      <c r="BKB90" s="207"/>
      <c r="BKC90" s="207"/>
      <c r="BKD90" s="208"/>
      <c r="BKE90" s="209"/>
      <c r="BKF90" s="207"/>
      <c r="BKG90" s="210"/>
      <c r="BKH90" s="209"/>
      <c r="BKI90" s="204"/>
      <c r="BKJ90" s="204"/>
      <c r="BKK90" s="204"/>
      <c r="BKL90" s="199"/>
      <c r="BKM90" s="167"/>
      <c r="BKN90" s="199"/>
      <c r="BKO90" s="200"/>
      <c r="BKP90" s="201"/>
      <c r="BKQ90" s="202"/>
      <c r="BKR90" s="202"/>
      <c r="BKS90" s="202"/>
      <c r="BKT90" s="202"/>
      <c r="BKU90" s="203"/>
      <c r="BKV90" s="204"/>
      <c r="BKW90" s="204"/>
      <c r="BKX90" s="204"/>
      <c r="BKY90" s="205"/>
      <c r="BKZ90" s="206"/>
      <c r="BLA90" s="207"/>
      <c r="BLB90" s="207"/>
      <c r="BLC90" s="208"/>
      <c r="BLD90" s="209"/>
      <c r="BLE90" s="207"/>
      <c r="BLF90" s="210"/>
      <c r="BLG90" s="209"/>
      <c r="BLH90" s="204"/>
      <c r="BLI90" s="204"/>
      <c r="BLJ90" s="204"/>
      <c r="BLK90" s="199"/>
      <c r="BLL90" s="167"/>
      <c r="BLM90" s="199"/>
      <c r="BLN90" s="200"/>
      <c r="BLO90" s="201"/>
      <c r="BLP90" s="202"/>
      <c r="BLQ90" s="202"/>
      <c r="BLR90" s="202"/>
      <c r="BLS90" s="202"/>
      <c r="BLT90" s="203"/>
      <c r="BLU90" s="204"/>
      <c r="BLV90" s="204"/>
      <c r="BLW90" s="204"/>
      <c r="BLX90" s="205"/>
      <c r="BLY90" s="206"/>
      <c r="BLZ90" s="207"/>
      <c r="BMA90" s="207"/>
      <c r="BMB90" s="208"/>
      <c r="BMC90" s="209"/>
      <c r="BMD90" s="207"/>
      <c r="BME90" s="210"/>
      <c r="BMF90" s="209"/>
      <c r="BMG90" s="204"/>
      <c r="BMH90" s="204"/>
      <c r="BMI90" s="204"/>
      <c r="BMJ90" s="199"/>
      <c r="BMK90" s="167"/>
      <c r="BML90" s="199"/>
      <c r="BMM90" s="200"/>
      <c r="BMN90" s="201"/>
      <c r="BMO90" s="202"/>
      <c r="BMP90" s="202"/>
      <c r="BMQ90" s="202"/>
      <c r="BMR90" s="202"/>
      <c r="BMS90" s="203"/>
      <c r="BMT90" s="204"/>
      <c r="BMU90" s="204"/>
      <c r="BMV90" s="204"/>
      <c r="BMW90" s="205"/>
      <c r="BMX90" s="206"/>
      <c r="BMY90" s="207"/>
      <c r="BMZ90" s="207"/>
      <c r="BNA90" s="208"/>
      <c r="BNB90" s="209"/>
      <c r="BNC90" s="207"/>
      <c r="BND90" s="210"/>
      <c r="BNE90" s="209"/>
      <c r="BNF90" s="204"/>
      <c r="BNG90" s="204"/>
      <c r="BNH90" s="204"/>
      <c r="BNI90" s="199"/>
      <c r="BNJ90" s="167"/>
      <c r="BNK90" s="199"/>
      <c r="BNL90" s="200"/>
      <c r="BNM90" s="201"/>
      <c r="BNN90" s="202"/>
      <c r="BNO90" s="202"/>
      <c r="BNP90" s="202"/>
      <c r="BNQ90" s="202"/>
      <c r="BNR90" s="203"/>
      <c r="BNS90" s="204"/>
      <c r="BNT90" s="204"/>
      <c r="BNU90" s="204"/>
      <c r="BNV90" s="205"/>
      <c r="BNW90" s="206"/>
      <c r="BNX90" s="207"/>
      <c r="BNY90" s="207"/>
      <c r="BNZ90" s="208"/>
      <c r="BOA90" s="209"/>
      <c r="BOB90" s="207"/>
      <c r="BOC90" s="210"/>
      <c r="BOD90" s="209"/>
      <c r="BOE90" s="204"/>
      <c r="BOF90" s="204"/>
      <c r="BOG90" s="204"/>
      <c r="BOH90" s="199"/>
      <c r="BOI90" s="167"/>
      <c r="BOJ90" s="199"/>
      <c r="BOK90" s="200"/>
      <c r="BOL90" s="201"/>
      <c r="BOM90" s="202"/>
      <c r="BON90" s="202"/>
      <c r="BOO90" s="202"/>
      <c r="BOP90" s="202"/>
      <c r="BOQ90" s="203"/>
      <c r="BOR90" s="204"/>
      <c r="BOS90" s="204"/>
      <c r="BOT90" s="204"/>
      <c r="BOU90" s="205"/>
      <c r="BOV90" s="206"/>
      <c r="BOW90" s="207"/>
      <c r="BOX90" s="207"/>
      <c r="BOY90" s="208"/>
      <c r="BOZ90" s="209"/>
      <c r="BPA90" s="207"/>
      <c r="BPB90" s="210"/>
      <c r="BPC90" s="209"/>
      <c r="BPD90" s="204"/>
      <c r="BPE90" s="204"/>
      <c r="BPF90" s="204"/>
      <c r="BPG90" s="199"/>
      <c r="BPH90" s="167"/>
      <c r="BPI90" s="199"/>
      <c r="BPJ90" s="200"/>
      <c r="BPK90" s="201"/>
      <c r="BPL90" s="202"/>
      <c r="BPM90" s="202"/>
      <c r="BPN90" s="202"/>
      <c r="BPO90" s="202"/>
      <c r="BPP90" s="203"/>
      <c r="BPQ90" s="204"/>
      <c r="BPR90" s="204"/>
      <c r="BPS90" s="204"/>
      <c r="BPT90" s="205"/>
      <c r="BPU90" s="206"/>
      <c r="BPV90" s="207"/>
      <c r="BPW90" s="207"/>
      <c r="BPX90" s="208"/>
      <c r="BPY90" s="209"/>
      <c r="BPZ90" s="207"/>
      <c r="BQA90" s="210"/>
      <c r="BQB90" s="209"/>
      <c r="BQC90" s="204"/>
      <c r="BQD90" s="204"/>
      <c r="BQE90" s="204"/>
      <c r="BQF90" s="199"/>
      <c r="BQG90" s="167"/>
      <c r="BQH90" s="199"/>
      <c r="BQI90" s="200"/>
      <c r="BQJ90" s="201"/>
      <c r="BQK90" s="202"/>
      <c r="BQL90" s="202"/>
      <c r="BQM90" s="202"/>
      <c r="BQN90" s="202"/>
      <c r="BQO90" s="203"/>
      <c r="BQP90" s="204"/>
      <c r="BQQ90" s="204"/>
      <c r="BQR90" s="204"/>
      <c r="BQS90" s="205"/>
      <c r="BQT90" s="206"/>
      <c r="BQU90" s="207"/>
      <c r="BQV90" s="207"/>
      <c r="BQW90" s="208"/>
      <c r="BQX90" s="209"/>
      <c r="BQY90" s="207"/>
      <c r="BQZ90" s="210"/>
      <c r="BRA90" s="209"/>
      <c r="BRB90" s="204"/>
      <c r="BRC90" s="204"/>
      <c r="BRD90" s="204"/>
      <c r="BRE90" s="199"/>
      <c r="BRF90" s="167"/>
      <c r="BRG90" s="199"/>
      <c r="BRH90" s="200"/>
      <c r="BRI90" s="201"/>
      <c r="BRJ90" s="202"/>
      <c r="BRK90" s="202"/>
      <c r="BRL90" s="202"/>
      <c r="BRM90" s="202"/>
      <c r="BRN90" s="203"/>
      <c r="BRO90" s="204"/>
      <c r="BRP90" s="204"/>
      <c r="BRQ90" s="204"/>
      <c r="BRR90" s="205"/>
      <c r="BRS90" s="206"/>
      <c r="BRT90" s="207"/>
      <c r="BRU90" s="207"/>
      <c r="BRV90" s="208"/>
      <c r="BRW90" s="209"/>
      <c r="BRX90" s="207"/>
      <c r="BRY90" s="210"/>
      <c r="BRZ90" s="209"/>
      <c r="BSA90" s="204"/>
      <c r="BSB90" s="204"/>
      <c r="BSC90" s="204"/>
      <c r="BSD90" s="199"/>
      <c r="BSE90" s="167"/>
      <c r="BSF90" s="199"/>
      <c r="BSG90" s="200"/>
      <c r="BSH90" s="201"/>
      <c r="BSI90" s="202"/>
      <c r="BSJ90" s="202"/>
      <c r="BSK90" s="202"/>
      <c r="BSL90" s="202"/>
      <c r="BSM90" s="203"/>
      <c r="BSN90" s="204"/>
      <c r="BSO90" s="204"/>
      <c r="BSP90" s="204"/>
      <c r="BSQ90" s="205"/>
      <c r="BSR90" s="206"/>
      <c r="BSS90" s="207"/>
      <c r="BST90" s="207"/>
      <c r="BSU90" s="208"/>
      <c r="BSV90" s="209"/>
      <c r="BSW90" s="207"/>
      <c r="BSX90" s="210"/>
      <c r="BSY90" s="209"/>
      <c r="BSZ90" s="204"/>
      <c r="BTA90" s="204"/>
      <c r="BTB90" s="204"/>
      <c r="BTC90" s="199"/>
      <c r="BTD90" s="167"/>
      <c r="BTE90" s="199"/>
      <c r="BTF90" s="200"/>
      <c r="BTG90" s="201"/>
      <c r="BTH90" s="202"/>
      <c r="BTI90" s="202"/>
      <c r="BTJ90" s="202"/>
      <c r="BTK90" s="202"/>
      <c r="BTL90" s="203"/>
      <c r="BTM90" s="204"/>
      <c r="BTN90" s="204"/>
      <c r="BTO90" s="204"/>
      <c r="BTP90" s="205"/>
      <c r="BTQ90" s="206"/>
      <c r="BTR90" s="207"/>
      <c r="BTS90" s="207"/>
      <c r="BTT90" s="208"/>
      <c r="BTU90" s="209"/>
      <c r="BTV90" s="207"/>
      <c r="BTW90" s="210"/>
      <c r="BTX90" s="209"/>
      <c r="BTY90" s="204"/>
      <c r="BTZ90" s="204"/>
      <c r="BUA90" s="204"/>
      <c r="BUB90" s="199"/>
      <c r="BUC90" s="167"/>
      <c r="BUD90" s="199"/>
      <c r="BUE90" s="200"/>
      <c r="BUF90" s="201"/>
      <c r="BUG90" s="202"/>
      <c r="BUH90" s="202"/>
      <c r="BUI90" s="202"/>
      <c r="BUJ90" s="202"/>
      <c r="BUK90" s="203"/>
      <c r="BUL90" s="204"/>
      <c r="BUM90" s="204"/>
      <c r="BUN90" s="204"/>
      <c r="BUO90" s="205"/>
      <c r="BUP90" s="206"/>
      <c r="BUQ90" s="207"/>
      <c r="BUR90" s="207"/>
      <c r="BUS90" s="208"/>
      <c r="BUT90" s="209"/>
      <c r="BUU90" s="207"/>
      <c r="BUV90" s="210"/>
      <c r="BUW90" s="209"/>
      <c r="BUX90" s="204"/>
      <c r="BUY90" s="204"/>
      <c r="BUZ90" s="204"/>
      <c r="BVA90" s="199"/>
      <c r="BVB90" s="167"/>
      <c r="BVC90" s="199"/>
      <c r="BVD90" s="200"/>
      <c r="BVE90" s="201"/>
      <c r="BVF90" s="202"/>
      <c r="BVG90" s="202"/>
      <c r="BVH90" s="202"/>
      <c r="BVI90" s="202"/>
      <c r="BVJ90" s="203"/>
      <c r="BVK90" s="204"/>
      <c r="BVL90" s="204"/>
      <c r="BVM90" s="204"/>
      <c r="BVN90" s="205"/>
      <c r="BVO90" s="206"/>
      <c r="BVP90" s="207"/>
      <c r="BVQ90" s="207"/>
      <c r="BVR90" s="208"/>
      <c r="BVS90" s="209"/>
      <c r="BVT90" s="207"/>
      <c r="BVU90" s="210"/>
      <c r="BVV90" s="209"/>
      <c r="BVW90" s="204"/>
      <c r="BVX90" s="204"/>
      <c r="BVY90" s="204"/>
      <c r="BVZ90" s="199"/>
      <c r="BWA90" s="167"/>
      <c r="BWB90" s="199"/>
      <c r="BWC90" s="200"/>
      <c r="BWD90" s="201"/>
      <c r="BWE90" s="202"/>
      <c r="BWF90" s="202"/>
      <c r="BWG90" s="202"/>
      <c r="BWH90" s="202"/>
      <c r="BWI90" s="203"/>
      <c r="BWJ90" s="204"/>
      <c r="BWK90" s="204"/>
      <c r="BWL90" s="204"/>
      <c r="BWM90" s="205"/>
      <c r="BWN90" s="206"/>
      <c r="BWO90" s="207"/>
      <c r="BWP90" s="207"/>
      <c r="BWQ90" s="208"/>
      <c r="BWR90" s="209"/>
      <c r="BWS90" s="207"/>
      <c r="BWT90" s="210"/>
      <c r="BWU90" s="209"/>
      <c r="BWV90" s="204"/>
      <c r="BWW90" s="204"/>
      <c r="BWX90" s="204"/>
      <c r="BWY90" s="199"/>
      <c r="BWZ90" s="167"/>
      <c r="BXA90" s="199"/>
      <c r="BXB90" s="200"/>
      <c r="BXC90" s="201"/>
      <c r="BXD90" s="202"/>
      <c r="BXE90" s="202"/>
      <c r="BXF90" s="202"/>
      <c r="BXG90" s="202"/>
      <c r="BXH90" s="203"/>
      <c r="BXI90" s="204"/>
      <c r="BXJ90" s="204"/>
      <c r="BXK90" s="204"/>
      <c r="BXL90" s="205"/>
      <c r="BXM90" s="206"/>
      <c r="BXN90" s="207"/>
      <c r="BXO90" s="207"/>
      <c r="BXP90" s="208"/>
      <c r="BXQ90" s="209"/>
      <c r="BXR90" s="207"/>
      <c r="BXS90" s="210"/>
      <c r="BXT90" s="209"/>
      <c r="BXU90" s="204"/>
      <c r="BXV90" s="204"/>
      <c r="BXW90" s="204"/>
      <c r="BXX90" s="199"/>
      <c r="BXY90" s="167"/>
      <c r="BXZ90" s="199"/>
      <c r="BYA90" s="200"/>
      <c r="BYB90" s="201"/>
      <c r="BYC90" s="202"/>
      <c r="BYD90" s="202"/>
      <c r="BYE90" s="202"/>
      <c r="BYF90" s="202"/>
      <c r="BYG90" s="203"/>
      <c r="BYH90" s="204"/>
      <c r="BYI90" s="204"/>
      <c r="BYJ90" s="204"/>
      <c r="BYK90" s="205"/>
      <c r="BYL90" s="206"/>
      <c r="BYM90" s="207"/>
      <c r="BYN90" s="207"/>
      <c r="BYO90" s="208"/>
      <c r="BYP90" s="209"/>
      <c r="BYQ90" s="207"/>
      <c r="BYR90" s="210"/>
      <c r="BYS90" s="209"/>
      <c r="BYT90" s="204"/>
      <c r="BYU90" s="204"/>
      <c r="BYV90" s="204"/>
      <c r="BYW90" s="199"/>
      <c r="BYX90" s="167"/>
      <c r="BYY90" s="199"/>
      <c r="BYZ90" s="200"/>
      <c r="BZA90" s="201"/>
      <c r="BZB90" s="202"/>
      <c r="BZC90" s="202"/>
      <c r="BZD90" s="202"/>
      <c r="BZE90" s="202"/>
      <c r="BZF90" s="203"/>
      <c r="BZG90" s="204"/>
      <c r="BZH90" s="204"/>
      <c r="BZI90" s="204"/>
      <c r="BZJ90" s="205"/>
      <c r="BZK90" s="206"/>
      <c r="BZL90" s="207"/>
      <c r="BZM90" s="207"/>
      <c r="BZN90" s="208"/>
      <c r="BZO90" s="209"/>
      <c r="BZP90" s="207"/>
      <c r="BZQ90" s="210"/>
      <c r="BZR90" s="209"/>
      <c r="BZS90" s="204"/>
      <c r="BZT90" s="204"/>
      <c r="BZU90" s="204"/>
      <c r="BZV90" s="199"/>
      <c r="BZW90" s="167"/>
      <c r="BZX90" s="199"/>
      <c r="BZY90" s="200"/>
      <c r="BZZ90" s="201"/>
      <c r="CAA90" s="202"/>
      <c r="CAB90" s="202"/>
      <c r="CAC90" s="202"/>
      <c r="CAD90" s="202"/>
      <c r="CAE90" s="203"/>
      <c r="CAF90" s="204"/>
      <c r="CAG90" s="204"/>
      <c r="CAH90" s="204"/>
      <c r="CAI90" s="205"/>
      <c r="CAJ90" s="206"/>
      <c r="CAK90" s="207"/>
      <c r="CAL90" s="207"/>
      <c r="CAM90" s="208"/>
      <c r="CAN90" s="209"/>
      <c r="CAO90" s="207"/>
      <c r="CAP90" s="210"/>
      <c r="CAQ90" s="209"/>
      <c r="CAR90" s="204"/>
      <c r="CAS90" s="204"/>
      <c r="CAT90" s="204"/>
      <c r="CAU90" s="199"/>
      <c r="CAV90" s="167"/>
      <c r="CAW90" s="199"/>
      <c r="CAX90" s="200"/>
      <c r="CAY90" s="201"/>
      <c r="CAZ90" s="202"/>
      <c r="CBA90" s="202"/>
      <c r="CBB90" s="202"/>
      <c r="CBC90" s="202"/>
      <c r="CBD90" s="203"/>
      <c r="CBE90" s="204"/>
      <c r="CBF90" s="204"/>
      <c r="CBG90" s="204"/>
      <c r="CBH90" s="205"/>
      <c r="CBI90" s="206"/>
      <c r="CBJ90" s="207"/>
      <c r="CBK90" s="207"/>
      <c r="CBL90" s="208"/>
      <c r="CBM90" s="209"/>
      <c r="CBN90" s="207"/>
      <c r="CBO90" s="210"/>
      <c r="CBP90" s="209"/>
      <c r="CBQ90" s="204"/>
      <c r="CBR90" s="204"/>
      <c r="CBS90" s="204"/>
      <c r="CBT90" s="199"/>
      <c r="CBU90" s="167"/>
      <c r="CBV90" s="199"/>
      <c r="CBW90" s="200"/>
      <c r="CBX90" s="201"/>
      <c r="CBY90" s="202"/>
      <c r="CBZ90" s="202"/>
      <c r="CCA90" s="202"/>
      <c r="CCB90" s="202"/>
      <c r="CCC90" s="203"/>
      <c r="CCD90" s="204"/>
      <c r="CCE90" s="204"/>
      <c r="CCF90" s="204"/>
      <c r="CCG90" s="205"/>
      <c r="CCH90" s="206"/>
      <c r="CCI90" s="207"/>
      <c r="CCJ90" s="207"/>
      <c r="CCK90" s="208"/>
      <c r="CCL90" s="209"/>
      <c r="CCM90" s="207"/>
      <c r="CCN90" s="210"/>
      <c r="CCO90" s="209"/>
      <c r="CCP90" s="204"/>
      <c r="CCQ90" s="204"/>
      <c r="CCR90" s="204"/>
      <c r="CCS90" s="199"/>
      <c r="CCT90" s="167"/>
      <c r="CCU90" s="199"/>
      <c r="CCV90" s="200"/>
      <c r="CCW90" s="201"/>
      <c r="CCX90" s="202"/>
      <c r="CCY90" s="202"/>
      <c r="CCZ90" s="202"/>
      <c r="CDA90" s="202"/>
      <c r="CDB90" s="203"/>
      <c r="CDC90" s="204"/>
      <c r="CDD90" s="204"/>
      <c r="CDE90" s="204"/>
      <c r="CDF90" s="205"/>
      <c r="CDG90" s="206"/>
      <c r="CDH90" s="207"/>
      <c r="CDI90" s="207"/>
      <c r="CDJ90" s="208"/>
      <c r="CDK90" s="209"/>
      <c r="CDL90" s="207"/>
      <c r="CDM90" s="210"/>
      <c r="CDN90" s="209"/>
      <c r="CDO90" s="204"/>
      <c r="CDP90" s="204"/>
      <c r="CDQ90" s="204"/>
      <c r="CDR90" s="199"/>
      <c r="CDS90" s="167"/>
      <c r="CDT90" s="199"/>
      <c r="CDU90" s="200"/>
      <c r="CDV90" s="201"/>
      <c r="CDW90" s="202"/>
      <c r="CDX90" s="202"/>
      <c r="CDY90" s="202"/>
      <c r="CDZ90" s="202"/>
      <c r="CEA90" s="203"/>
      <c r="CEB90" s="204"/>
      <c r="CEC90" s="204"/>
      <c r="CED90" s="204"/>
      <c r="CEE90" s="205"/>
      <c r="CEF90" s="206"/>
      <c r="CEG90" s="207"/>
      <c r="CEH90" s="207"/>
      <c r="CEI90" s="208"/>
      <c r="CEJ90" s="209"/>
      <c r="CEK90" s="207"/>
      <c r="CEL90" s="210"/>
      <c r="CEM90" s="209"/>
      <c r="CEN90" s="204"/>
      <c r="CEO90" s="204"/>
      <c r="CEP90" s="204"/>
      <c r="CEQ90" s="199"/>
      <c r="CER90" s="167"/>
      <c r="CES90" s="199"/>
      <c r="CET90" s="200"/>
      <c r="CEU90" s="201"/>
      <c r="CEV90" s="202"/>
      <c r="CEW90" s="202"/>
      <c r="CEX90" s="202"/>
      <c r="CEY90" s="202"/>
      <c r="CEZ90" s="203"/>
      <c r="CFA90" s="204"/>
      <c r="CFB90" s="204"/>
      <c r="CFC90" s="204"/>
      <c r="CFD90" s="205"/>
      <c r="CFE90" s="206"/>
      <c r="CFF90" s="207"/>
      <c r="CFG90" s="207"/>
      <c r="CFH90" s="208"/>
      <c r="CFI90" s="209"/>
      <c r="CFJ90" s="207"/>
      <c r="CFK90" s="210"/>
      <c r="CFL90" s="209"/>
      <c r="CFM90" s="204"/>
      <c r="CFN90" s="204"/>
      <c r="CFO90" s="204"/>
      <c r="CFP90" s="199"/>
      <c r="CFQ90" s="167"/>
      <c r="CFR90" s="199"/>
      <c r="CFS90" s="200"/>
      <c r="CFT90" s="201"/>
      <c r="CFU90" s="202"/>
      <c r="CFV90" s="202"/>
      <c r="CFW90" s="202"/>
      <c r="CFX90" s="202"/>
      <c r="CFY90" s="203"/>
      <c r="CFZ90" s="204"/>
      <c r="CGA90" s="204"/>
      <c r="CGB90" s="204"/>
      <c r="CGC90" s="205"/>
      <c r="CGD90" s="206"/>
      <c r="CGE90" s="207"/>
      <c r="CGF90" s="207"/>
      <c r="CGG90" s="208"/>
      <c r="CGH90" s="209"/>
      <c r="CGI90" s="207"/>
      <c r="CGJ90" s="210"/>
      <c r="CGK90" s="209"/>
      <c r="CGL90" s="204"/>
      <c r="CGM90" s="204"/>
      <c r="CGN90" s="204"/>
      <c r="CGO90" s="199"/>
      <c r="CGP90" s="167"/>
      <c r="CGQ90" s="199"/>
      <c r="CGR90" s="200"/>
      <c r="CGS90" s="201"/>
      <c r="CGT90" s="202"/>
      <c r="CGU90" s="202"/>
      <c r="CGV90" s="202"/>
      <c r="CGW90" s="202"/>
      <c r="CGX90" s="203"/>
      <c r="CGY90" s="204"/>
      <c r="CGZ90" s="204"/>
      <c r="CHA90" s="204"/>
      <c r="CHB90" s="205"/>
      <c r="CHC90" s="206"/>
      <c r="CHD90" s="207"/>
      <c r="CHE90" s="207"/>
      <c r="CHF90" s="208"/>
      <c r="CHG90" s="209"/>
      <c r="CHH90" s="207"/>
      <c r="CHI90" s="210"/>
      <c r="CHJ90" s="209"/>
      <c r="CHK90" s="204"/>
      <c r="CHL90" s="204"/>
      <c r="CHM90" s="204"/>
      <c r="CHN90" s="199"/>
      <c r="CHO90" s="167"/>
      <c r="CHP90" s="199"/>
      <c r="CHQ90" s="200"/>
      <c r="CHR90" s="201"/>
      <c r="CHS90" s="202"/>
      <c r="CHT90" s="202"/>
      <c r="CHU90" s="202"/>
      <c r="CHV90" s="202"/>
      <c r="CHW90" s="203"/>
      <c r="CHX90" s="204"/>
      <c r="CHY90" s="204"/>
      <c r="CHZ90" s="204"/>
      <c r="CIA90" s="205"/>
      <c r="CIB90" s="206"/>
      <c r="CIC90" s="207"/>
      <c r="CID90" s="207"/>
      <c r="CIE90" s="208"/>
      <c r="CIF90" s="209"/>
      <c r="CIG90" s="207"/>
      <c r="CIH90" s="210"/>
      <c r="CII90" s="209"/>
      <c r="CIJ90" s="204"/>
      <c r="CIK90" s="204"/>
      <c r="CIL90" s="204"/>
      <c r="CIM90" s="199"/>
      <c r="CIN90" s="167"/>
      <c r="CIO90" s="199"/>
      <c r="CIP90" s="200"/>
      <c r="CIQ90" s="201"/>
      <c r="CIR90" s="202"/>
      <c r="CIS90" s="202"/>
      <c r="CIT90" s="202"/>
      <c r="CIU90" s="202"/>
      <c r="CIV90" s="203"/>
      <c r="CIW90" s="204"/>
      <c r="CIX90" s="204"/>
      <c r="CIY90" s="204"/>
      <c r="CIZ90" s="205"/>
      <c r="CJA90" s="206"/>
      <c r="CJB90" s="207"/>
      <c r="CJC90" s="207"/>
      <c r="CJD90" s="208"/>
      <c r="CJE90" s="209"/>
      <c r="CJF90" s="207"/>
      <c r="CJG90" s="210"/>
      <c r="CJH90" s="209"/>
      <c r="CJI90" s="204"/>
      <c r="CJJ90" s="204"/>
      <c r="CJK90" s="204"/>
      <c r="CJL90" s="199"/>
      <c r="CJM90" s="167"/>
      <c r="CJN90" s="199"/>
      <c r="CJO90" s="200"/>
      <c r="CJP90" s="201"/>
      <c r="CJQ90" s="202"/>
      <c r="CJR90" s="202"/>
      <c r="CJS90" s="202"/>
      <c r="CJT90" s="202"/>
      <c r="CJU90" s="203"/>
      <c r="CJV90" s="204"/>
      <c r="CJW90" s="204"/>
      <c r="CJX90" s="204"/>
      <c r="CJY90" s="205"/>
      <c r="CJZ90" s="206"/>
      <c r="CKA90" s="207"/>
      <c r="CKB90" s="207"/>
      <c r="CKC90" s="208"/>
      <c r="CKD90" s="209"/>
      <c r="CKE90" s="207"/>
      <c r="CKF90" s="210"/>
      <c r="CKG90" s="209"/>
      <c r="CKH90" s="204"/>
      <c r="CKI90" s="204"/>
      <c r="CKJ90" s="204"/>
      <c r="CKK90" s="199"/>
      <c r="CKL90" s="167"/>
      <c r="CKM90" s="199"/>
      <c r="CKN90" s="200"/>
      <c r="CKO90" s="201"/>
      <c r="CKP90" s="202"/>
      <c r="CKQ90" s="202"/>
      <c r="CKR90" s="202"/>
      <c r="CKS90" s="202"/>
      <c r="CKT90" s="203"/>
      <c r="CKU90" s="204"/>
      <c r="CKV90" s="204"/>
      <c r="CKW90" s="204"/>
      <c r="CKX90" s="205"/>
      <c r="CKY90" s="206"/>
      <c r="CKZ90" s="207"/>
      <c r="CLA90" s="207"/>
      <c r="CLB90" s="208"/>
      <c r="CLC90" s="209"/>
      <c r="CLD90" s="207"/>
      <c r="CLE90" s="210"/>
      <c r="CLF90" s="209"/>
      <c r="CLG90" s="204"/>
      <c r="CLH90" s="204"/>
      <c r="CLI90" s="204"/>
      <c r="CLJ90" s="199"/>
      <c r="CLK90" s="167"/>
      <c r="CLL90" s="199"/>
      <c r="CLM90" s="200"/>
      <c r="CLN90" s="201"/>
      <c r="CLO90" s="202"/>
      <c r="CLP90" s="202"/>
      <c r="CLQ90" s="202"/>
      <c r="CLR90" s="202"/>
      <c r="CLS90" s="203"/>
      <c r="CLT90" s="204"/>
      <c r="CLU90" s="204"/>
      <c r="CLV90" s="204"/>
      <c r="CLW90" s="205"/>
      <c r="CLX90" s="206"/>
      <c r="CLY90" s="207"/>
      <c r="CLZ90" s="207"/>
      <c r="CMA90" s="208"/>
      <c r="CMB90" s="209"/>
      <c r="CMC90" s="207"/>
      <c r="CMD90" s="210"/>
      <c r="CME90" s="209"/>
      <c r="CMF90" s="204"/>
      <c r="CMG90" s="204"/>
      <c r="CMH90" s="204"/>
      <c r="CMI90" s="199"/>
      <c r="CMJ90" s="167"/>
      <c r="CMK90" s="199"/>
      <c r="CML90" s="200"/>
      <c r="CMM90" s="201"/>
      <c r="CMN90" s="202"/>
      <c r="CMO90" s="202"/>
      <c r="CMP90" s="202"/>
      <c r="CMQ90" s="202"/>
      <c r="CMR90" s="203"/>
      <c r="CMS90" s="204"/>
      <c r="CMT90" s="204"/>
      <c r="CMU90" s="204"/>
      <c r="CMV90" s="205"/>
      <c r="CMW90" s="206"/>
      <c r="CMX90" s="207"/>
      <c r="CMY90" s="207"/>
      <c r="CMZ90" s="208"/>
      <c r="CNA90" s="209"/>
      <c r="CNB90" s="207"/>
      <c r="CNC90" s="210"/>
      <c r="CND90" s="209"/>
      <c r="CNE90" s="204"/>
      <c r="CNF90" s="204"/>
      <c r="CNG90" s="204"/>
      <c r="CNH90" s="199"/>
      <c r="CNI90" s="167"/>
      <c r="CNJ90" s="199"/>
      <c r="CNK90" s="200"/>
      <c r="CNL90" s="201"/>
      <c r="CNM90" s="202"/>
      <c r="CNN90" s="202"/>
      <c r="CNO90" s="202"/>
      <c r="CNP90" s="202"/>
      <c r="CNQ90" s="203"/>
      <c r="CNR90" s="204"/>
      <c r="CNS90" s="204"/>
      <c r="CNT90" s="204"/>
      <c r="CNU90" s="205"/>
      <c r="CNV90" s="206"/>
      <c r="CNW90" s="207"/>
      <c r="CNX90" s="207"/>
      <c r="CNY90" s="208"/>
      <c r="CNZ90" s="209"/>
      <c r="COA90" s="207"/>
      <c r="COB90" s="210"/>
      <c r="COC90" s="209"/>
      <c r="COD90" s="204"/>
      <c r="COE90" s="204"/>
      <c r="COF90" s="204"/>
      <c r="COG90" s="199"/>
      <c r="COH90" s="167"/>
      <c r="COI90" s="199"/>
      <c r="COJ90" s="200"/>
      <c r="COK90" s="201"/>
      <c r="COL90" s="202"/>
      <c r="COM90" s="202"/>
      <c r="CON90" s="202"/>
      <c r="COO90" s="202"/>
      <c r="COP90" s="203"/>
      <c r="COQ90" s="204"/>
      <c r="COR90" s="204"/>
      <c r="COS90" s="204"/>
      <c r="COT90" s="205"/>
      <c r="COU90" s="206"/>
      <c r="COV90" s="207"/>
      <c r="COW90" s="207"/>
      <c r="COX90" s="208"/>
      <c r="COY90" s="209"/>
      <c r="COZ90" s="207"/>
      <c r="CPA90" s="210"/>
      <c r="CPB90" s="209"/>
      <c r="CPC90" s="204"/>
      <c r="CPD90" s="204"/>
      <c r="CPE90" s="204"/>
      <c r="CPF90" s="199"/>
      <c r="CPG90" s="167"/>
      <c r="CPH90" s="199"/>
      <c r="CPI90" s="200"/>
      <c r="CPJ90" s="201"/>
      <c r="CPK90" s="202"/>
      <c r="CPL90" s="202"/>
      <c r="CPM90" s="202"/>
      <c r="CPN90" s="202"/>
      <c r="CPO90" s="203"/>
      <c r="CPP90" s="204"/>
      <c r="CPQ90" s="204"/>
      <c r="CPR90" s="204"/>
      <c r="CPS90" s="205"/>
      <c r="CPT90" s="206"/>
      <c r="CPU90" s="207"/>
      <c r="CPV90" s="207"/>
      <c r="CPW90" s="208"/>
      <c r="CPX90" s="209"/>
      <c r="CPY90" s="207"/>
      <c r="CPZ90" s="210"/>
      <c r="CQA90" s="209"/>
      <c r="CQB90" s="204"/>
      <c r="CQC90" s="204"/>
      <c r="CQD90" s="204"/>
      <c r="CQE90" s="199"/>
      <c r="CQF90" s="167"/>
      <c r="CQG90" s="199"/>
      <c r="CQH90" s="200"/>
      <c r="CQI90" s="201"/>
      <c r="CQJ90" s="202"/>
      <c r="CQK90" s="202"/>
      <c r="CQL90" s="202"/>
      <c r="CQM90" s="202"/>
      <c r="CQN90" s="203"/>
      <c r="CQO90" s="204"/>
      <c r="CQP90" s="204"/>
      <c r="CQQ90" s="204"/>
      <c r="CQR90" s="205"/>
      <c r="CQS90" s="206"/>
      <c r="CQT90" s="207"/>
      <c r="CQU90" s="207"/>
      <c r="CQV90" s="208"/>
      <c r="CQW90" s="209"/>
      <c r="CQX90" s="207"/>
      <c r="CQY90" s="210"/>
      <c r="CQZ90" s="209"/>
      <c r="CRA90" s="204"/>
      <c r="CRB90" s="204"/>
      <c r="CRC90" s="204"/>
      <c r="CRD90" s="199"/>
      <c r="CRE90" s="167"/>
      <c r="CRF90" s="199"/>
      <c r="CRG90" s="200"/>
      <c r="CRH90" s="201"/>
      <c r="CRI90" s="202"/>
      <c r="CRJ90" s="202"/>
      <c r="CRK90" s="202"/>
      <c r="CRL90" s="202"/>
      <c r="CRM90" s="203"/>
      <c r="CRN90" s="204"/>
      <c r="CRO90" s="204"/>
      <c r="CRP90" s="204"/>
      <c r="CRQ90" s="205"/>
      <c r="CRR90" s="206"/>
      <c r="CRS90" s="207"/>
      <c r="CRT90" s="207"/>
      <c r="CRU90" s="208"/>
      <c r="CRV90" s="209"/>
      <c r="CRW90" s="207"/>
      <c r="CRX90" s="210"/>
      <c r="CRY90" s="209"/>
      <c r="CRZ90" s="204"/>
      <c r="CSA90" s="204"/>
      <c r="CSB90" s="204"/>
      <c r="CSC90" s="199"/>
      <c r="CSD90" s="167"/>
      <c r="CSE90" s="199"/>
      <c r="CSF90" s="200"/>
      <c r="CSG90" s="201"/>
      <c r="CSH90" s="202"/>
      <c r="CSI90" s="202"/>
      <c r="CSJ90" s="202"/>
      <c r="CSK90" s="202"/>
      <c r="CSL90" s="203"/>
      <c r="CSM90" s="204"/>
      <c r="CSN90" s="204"/>
      <c r="CSO90" s="204"/>
      <c r="CSP90" s="205"/>
      <c r="CSQ90" s="206"/>
      <c r="CSR90" s="207"/>
      <c r="CSS90" s="207"/>
      <c r="CST90" s="208"/>
      <c r="CSU90" s="209"/>
      <c r="CSV90" s="207"/>
      <c r="CSW90" s="210"/>
      <c r="CSX90" s="209"/>
      <c r="CSY90" s="204"/>
      <c r="CSZ90" s="204"/>
      <c r="CTA90" s="204"/>
      <c r="CTB90" s="199"/>
      <c r="CTC90" s="167"/>
      <c r="CTD90" s="199"/>
      <c r="CTE90" s="200"/>
      <c r="CTF90" s="201"/>
      <c r="CTG90" s="202"/>
      <c r="CTH90" s="202"/>
      <c r="CTI90" s="202"/>
      <c r="CTJ90" s="202"/>
      <c r="CTK90" s="203"/>
      <c r="CTL90" s="204"/>
      <c r="CTM90" s="204"/>
      <c r="CTN90" s="204"/>
      <c r="CTO90" s="205"/>
      <c r="CTP90" s="206"/>
      <c r="CTQ90" s="207"/>
      <c r="CTR90" s="207"/>
      <c r="CTS90" s="208"/>
      <c r="CTT90" s="209"/>
      <c r="CTU90" s="207"/>
      <c r="CTV90" s="210"/>
      <c r="CTW90" s="209"/>
      <c r="CTX90" s="204"/>
      <c r="CTY90" s="204"/>
      <c r="CTZ90" s="204"/>
      <c r="CUA90" s="199"/>
      <c r="CUB90" s="167"/>
      <c r="CUC90" s="199"/>
      <c r="CUD90" s="200"/>
      <c r="CUE90" s="201"/>
      <c r="CUF90" s="202"/>
      <c r="CUG90" s="202"/>
      <c r="CUH90" s="202"/>
      <c r="CUI90" s="202"/>
      <c r="CUJ90" s="203"/>
      <c r="CUK90" s="204"/>
      <c r="CUL90" s="204"/>
      <c r="CUM90" s="204"/>
      <c r="CUN90" s="205"/>
      <c r="CUO90" s="206"/>
      <c r="CUP90" s="207"/>
      <c r="CUQ90" s="207"/>
      <c r="CUR90" s="208"/>
      <c r="CUS90" s="209"/>
      <c r="CUT90" s="207"/>
      <c r="CUU90" s="210"/>
      <c r="CUV90" s="209"/>
      <c r="CUW90" s="204"/>
      <c r="CUX90" s="204"/>
      <c r="CUY90" s="204"/>
      <c r="CUZ90" s="199"/>
      <c r="CVA90" s="167"/>
      <c r="CVB90" s="199"/>
      <c r="CVC90" s="200"/>
      <c r="CVD90" s="201"/>
      <c r="CVE90" s="202"/>
      <c r="CVF90" s="202"/>
      <c r="CVG90" s="202"/>
      <c r="CVH90" s="202"/>
      <c r="CVI90" s="203"/>
      <c r="CVJ90" s="204"/>
      <c r="CVK90" s="204"/>
      <c r="CVL90" s="204"/>
      <c r="CVM90" s="205"/>
      <c r="CVN90" s="206"/>
      <c r="CVO90" s="207"/>
      <c r="CVP90" s="207"/>
      <c r="CVQ90" s="208"/>
      <c r="CVR90" s="209"/>
      <c r="CVS90" s="207"/>
      <c r="CVT90" s="210"/>
      <c r="CVU90" s="209"/>
      <c r="CVV90" s="204"/>
      <c r="CVW90" s="204"/>
      <c r="CVX90" s="204"/>
      <c r="CVY90" s="199"/>
      <c r="CVZ90" s="167"/>
      <c r="CWA90" s="199"/>
      <c r="CWB90" s="200"/>
      <c r="CWC90" s="201"/>
      <c r="CWD90" s="202"/>
      <c r="CWE90" s="202"/>
      <c r="CWF90" s="202"/>
      <c r="CWG90" s="202"/>
      <c r="CWH90" s="203"/>
      <c r="CWI90" s="204"/>
      <c r="CWJ90" s="204"/>
      <c r="CWK90" s="204"/>
      <c r="CWL90" s="205"/>
      <c r="CWM90" s="206"/>
      <c r="CWN90" s="207"/>
      <c r="CWO90" s="207"/>
      <c r="CWP90" s="208"/>
      <c r="CWQ90" s="209"/>
      <c r="CWR90" s="207"/>
      <c r="CWS90" s="210"/>
      <c r="CWT90" s="209"/>
      <c r="CWU90" s="204"/>
      <c r="CWV90" s="204"/>
      <c r="CWW90" s="204"/>
      <c r="CWX90" s="199"/>
      <c r="CWY90" s="167"/>
      <c r="CWZ90" s="199"/>
      <c r="CXA90" s="200"/>
      <c r="CXB90" s="201"/>
      <c r="CXC90" s="202"/>
      <c r="CXD90" s="202"/>
      <c r="CXE90" s="202"/>
      <c r="CXF90" s="202"/>
      <c r="CXG90" s="203"/>
      <c r="CXH90" s="204"/>
      <c r="CXI90" s="204"/>
      <c r="CXJ90" s="204"/>
      <c r="CXK90" s="205"/>
      <c r="CXL90" s="206"/>
      <c r="CXM90" s="207"/>
      <c r="CXN90" s="207"/>
      <c r="CXO90" s="208"/>
      <c r="CXP90" s="209"/>
      <c r="CXQ90" s="207"/>
      <c r="CXR90" s="210"/>
      <c r="CXS90" s="209"/>
      <c r="CXT90" s="204"/>
      <c r="CXU90" s="204"/>
      <c r="CXV90" s="204"/>
      <c r="CXW90" s="199"/>
      <c r="CXX90" s="167"/>
      <c r="CXY90" s="199"/>
      <c r="CXZ90" s="200"/>
      <c r="CYA90" s="201"/>
      <c r="CYB90" s="202"/>
      <c r="CYC90" s="202"/>
      <c r="CYD90" s="202"/>
      <c r="CYE90" s="202"/>
      <c r="CYF90" s="203"/>
      <c r="CYG90" s="204"/>
      <c r="CYH90" s="204"/>
      <c r="CYI90" s="204"/>
      <c r="CYJ90" s="205"/>
      <c r="CYK90" s="206"/>
      <c r="CYL90" s="207"/>
      <c r="CYM90" s="207"/>
      <c r="CYN90" s="208"/>
      <c r="CYO90" s="209"/>
      <c r="CYP90" s="207"/>
      <c r="CYQ90" s="210"/>
      <c r="CYR90" s="209"/>
      <c r="CYS90" s="204"/>
      <c r="CYT90" s="204"/>
      <c r="CYU90" s="204"/>
      <c r="CYV90" s="199"/>
      <c r="CYW90" s="167"/>
      <c r="CYX90" s="199"/>
      <c r="CYY90" s="200"/>
      <c r="CYZ90" s="201"/>
      <c r="CZA90" s="202"/>
      <c r="CZB90" s="202"/>
      <c r="CZC90" s="202"/>
      <c r="CZD90" s="202"/>
      <c r="CZE90" s="203"/>
      <c r="CZF90" s="204"/>
      <c r="CZG90" s="204"/>
      <c r="CZH90" s="204"/>
      <c r="CZI90" s="205"/>
      <c r="CZJ90" s="206"/>
      <c r="CZK90" s="207"/>
      <c r="CZL90" s="207"/>
      <c r="CZM90" s="208"/>
      <c r="CZN90" s="209"/>
      <c r="CZO90" s="207"/>
      <c r="CZP90" s="210"/>
      <c r="CZQ90" s="209"/>
      <c r="CZR90" s="204"/>
      <c r="CZS90" s="204"/>
      <c r="CZT90" s="204"/>
      <c r="CZU90" s="199"/>
      <c r="CZV90" s="167"/>
      <c r="CZW90" s="199"/>
      <c r="CZX90" s="200"/>
      <c r="CZY90" s="201"/>
      <c r="CZZ90" s="202"/>
      <c r="DAA90" s="202"/>
      <c r="DAB90" s="202"/>
      <c r="DAC90" s="202"/>
      <c r="DAD90" s="203"/>
      <c r="DAE90" s="204"/>
      <c r="DAF90" s="204"/>
      <c r="DAG90" s="204"/>
      <c r="DAH90" s="205"/>
      <c r="DAI90" s="206"/>
      <c r="DAJ90" s="207"/>
      <c r="DAK90" s="207"/>
      <c r="DAL90" s="208"/>
      <c r="DAM90" s="209"/>
      <c r="DAN90" s="207"/>
      <c r="DAO90" s="210"/>
      <c r="DAP90" s="209"/>
      <c r="DAQ90" s="204"/>
      <c r="DAR90" s="204"/>
      <c r="DAS90" s="204"/>
      <c r="DAT90" s="199"/>
      <c r="DAU90" s="167"/>
      <c r="DAV90" s="199"/>
      <c r="DAW90" s="200"/>
      <c r="DAX90" s="201"/>
      <c r="DAY90" s="202"/>
      <c r="DAZ90" s="202"/>
      <c r="DBA90" s="202"/>
      <c r="DBB90" s="202"/>
      <c r="DBC90" s="203"/>
      <c r="DBD90" s="204"/>
      <c r="DBE90" s="204"/>
      <c r="DBF90" s="204"/>
      <c r="DBG90" s="205"/>
      <c r="DBH90" s="206"/>
      <c r="DBI90" s="207"/>
      <c r="DBJ90" s="207"/>
      <c r="DBK90" s="208"/>
      <c r="DBL90" s="209"/>
      <c r="DBM90" s="207"/>
      <c r="DBN90" s="210"/>
      <c r="DBO90" s="209"/>
      <c r="DBP90" s="204"/>
      <c r="DBQ90" s="204"/>
      <c r="DBR90" s="204"/>
      <c r="DBS90" s="199"/>
      <c r="DBT90" s="167"/>
      <c r="DBU90" s="199"/>
      <c r="DBV90" s="200"/>
      <c r="DBW90" s="201"/>
      <c r="DBX90" s="202"/>
      <c r="DBY90" s="202"/>
      <c r="DBZ90" s="202"/>
      <c r="DCA90" s="202"/>
      <c r="DCB90" s="203"/>
      <c r="DCC90" s="204"/>
      <c r="DCD90" s="204"/>
      <c r="DCE90" s="204"/>
      <c r="DCF90" s="205"/>
      <c r="DCG90" s="206"/>
      <c r="DCH90" s="207"/>
      <c r="DCI90" s="207"/>
      <c r="DCJ90" s="208"/>
      <c r="DCK90" s="209"/>
      <c r="DCL90" s="207"/>
      <c r="DCM90" s="210"/>
      <c r="DCN90" s="209"/>
      <c r="DCO90" s="204"/>
      <c r="DCP90" s="204"/>
      <c r="DCQ90" s="204"/>
      <c r="DCR90" s="199"/>
      <c r="DCS90" s="167"/>
      <c r="DCT90" s="199"/>
      <c r="DCU90" s="200"/>
      <c r="DCV90" s="201"/>
      <c r="DCW90" s="202"/>
      <c r="DCX90" s="202"/>
      <c r="DCY90" s="202"/>
      <c r="DCZ90" s="202"/>
      <c r="DDA90" s="203"/>
      <c r="DDB90" s="204"/>
      <c r="DDC90" s="204"/>
      <c r="DDD90" s="204"/>
      <c r="DDE90" s="205"/>
      <c r="DDF90" s="206"/>
      <c r="DDG90" s="207"/>
      <c r="DDH90" s="207"/>
      <c r="DDI90" s="208"/>
      <c r="DDJ90" s="209"/>
      <c r="DDK90" s="207"/>
      <c r="DDL90" s="210"/>
      <c r="DDM90" s="209"/>
      <c r="DDN90" s="204"/>
      <c r="DDO90" s="204"/>
      <c r="DDP90" s="204"/>
      <c r="DDQ90" s="199"/>
      <c r="DDR90" s="167"/>
      <c r="DDS90" s="199"/>
      <c r="DDT90" s="200"/>
      <c r="DDU90" s="201"/>
      <c r="DDV90" s="202"/>
      <c r="DDW90" s="202"/>
      <c r="DDX90" s="202"/>
      <c r="DDY90" s="202"/>
      <c r="DDZ90" s="203"/>
      <c r="DEA90" s="204"/>
      <c r="DEB90" s="204"/>
      <c r="DEC90" s="204"/>
      <c r="DED90" s="205"/>
      <c r="DEE90" s="206"/>
      <c r="DEF90" s="207"/>
      <c r="DEG90" s="207"/>
      <c r="DEH90" s="208"/>
      <c r="DEI90" s="209"/>
      <c r="DEJ90" s="207"/>
      <c r="DEK90" s="210"/>
      <c r="DEL90" s="209"/>
      <c r="DEM90" s="204"/>
      <c r="DEN90" s="204"/>
      <c r="DEO90" s="204"/>
      <c r="DEP90" s="199"/>
      <c r="DEQ90" s="167"/>
      <c r="DER90" s="199"/>
      <c r="DES90" s="200"/>
      <c r="DET90" s="201"/>
      <c r="DEU90" s="202"/>
      <c r="DEV90" s="202"/>
      <c r="DEW90" s="202"/>
      <c r="DEX90" s="202"/>
      <c r="DEY90" s="203"/>
      <c r="DEZ90" s="204"/>
      <c r="DFA90" s="204"/>
      <c r="DFB90" s="204"/>
      <c r="DFC90" s="205"/>
      <c r="DFD90" s="206"/>
      <c r="DFE90" s="207"/>
      <c r="DFF90" s="207"/>
      <c r="DFG90" s="208"/>
      <c r="DFH90" s="209"/>
      <c r="DFI90" s="207"/>
      <c r="DFJ90" s="210"/>
      <c r="DFK90" s="209"/>
      <c r="DFL90" s="204"/>
      <c r="DFM90" s="204"/>
      <c r="DFN90" s="204"/>
      <c r="DFO90" s="199"/>
      <c r="DFP90" s="167"/>
      <c r="DFQ90" s="199"/>
      <c r="DFR90" s="200"/>
      <c r="DFS90" s="201"/>
      <c r="DFT90" s="202"/>
      <c r="DFU90" s="202"/>
      <c r="DFV90" s="202"/>
      <c r="DFW90" s="202"/>
      <c r="DFX90" s="203"/>
      <c r="DFY90" s="204"/>
      <c r="DFZ90" s="204"/>
      <c r="DGA90" s="204"/>
      <c r="DGB90" s="205"/>
      <c r="DGC90" s="206"/>
      <c r="DGD90" s="207"/>
      <c r="DGE90" s="207"/>
      <c r="DGF90" s="208"/>
      <c r="DGG90" s="209"/>
      <c r="DGH90" s="207"/>
      <c r="DGI90" s="210"/>
      <c r="DGJ90" s="209"/>
      <c r="DGK90" s="204"/>
      <c r="DGL90" s="204"/>
      <c r="DGM90" s="204"/>
      <c r="DGN90" s="199"/>
      <c r="DGO90" s="167"/>
      <c r="DGP90" s="199"/>
      <c r="DGQ90" s="200"/>
      <c r="DGR90" s="201"/>
      <c r="DGS90" s="202"/>
      <c r="DGT90" s="202"/>
      <c r="DGU90" s="202"/>
      <c r="DGV90" s="202"/>
      <c r="DGW90" s="203"/>
      <c r="DGX90" s="204"/>
      <c r="DGY90" s="204"/>
      <c r="DGZ90" s="204"/>
      <c r="DHA90" s="205"/>
      <c r="DHB90" s="206"/>
      <c r="DHC90" s="207"/>
      <c r="DHD90" s="207"/>
      <c r="DHE90" s="208"/>
      <c r="DHF90" s="209"/>
      <c r="DHG90" s="207"/>
      <c r="DHH90" s="210"/>
      <c r="DHI90" s="209"/>
      <c r="DHJ90" s="204"/>
      <c r="DHK90" s="204"/>
      <c r="DHL90" s="204"/>
      <c r="DHM90" s="199"/>
      <c r="DHN90" s="167"/>
      <c r="DHO90" s="199"/>
      <c r="DHP90" s="200"/>
      <c r="DHQ90" s="201"/>
      <c r="DHR90" s="202"/>
      <c r="DHS90" s="202"/>
      <c r="DHT90" s="202"/>
      <c r="DHU90" s="202"/>
      <c r="DHV90" s="203"/>
      <c r="DHW90" s="204"/>
      <c r="DHX90" s="204"/>
      <c r="DHY90" s="204"/>
      <c r="DHZ90" s="205"/>
      <c r="DIA90" s="206"/>
      <c r="DIB90" s="207"/>
      <c r="DIC90" s="207"/>
      <c r="DID90" s="208"/>
      <c r="DIE90" s="209"/>
      <c r="DIF90" s="207"/>
      <c r="DIG90" s="210"/>
      <c r="DIH90" s="209"/>
      <c r="DII90" s="204"/>
      <c r="DIJ90" s="204"/>
      <c r="DIK90" s="204"/>
      <c r="DIL90" s="199"/>
      <c r="DIM90" s="167"/>
      <c r="DIN90" s="199"/>
      <c r="DIO90" s="200"/>
      <c r="DIP90" s="201"/>
      <c r="DIQ90" s="202"/>
      <c r="DIR90" s="202"/>
      <c r="DIS90" s="202"/>
      <c r="DIT90" s="202"/>
      <c r="DIU90" s="203"/>
      <c r="DIV90" s="204"/>
      <c r="DIW90" s="204"/>
      <c r="DIX90" s="204"/>
      <c r="DIY90" s="205"/>
      <c r="DIZ90" s="206"/>
      <c r="DJA90" s="207"/>
      <c r="DJB90" s="207"/>
      <c r="DJC90" s="208"/>
      <c r="DJD90" s="209"/>
      <c r="DJE90" s="207"/>
      <c r="DJF90" s="210"/>
      <c r="DJG90" s="209"/>
      <c r="DJH90" s="204"/>
      <c r="DJI90" s="204"/>
      <c r="DJJ90" s="204"/>
      <c r="DJK90" s="199"/>
      <c r="DJL90" s="167"/>
      <c r="DJM90" s="199"/>
      <c r="DJN90" s="200"/>
      <c r="DJO90" s="201"/>
      <c r="DJP90" s="202"/>
      <c r="DJQ90" s="202"/>
      <c r="DJR90" s="202"/>
      <c r="DJS90" s="202"/>
      <c r="DJT90" s="203"/>
      <c r="DJU90" s="204"/>
      <c r="DJV90" s="204"/>
      <c r="DJW90" s="204"/>
      <c r="DJX90" s="205"/>
      <c r="DJY90" s="206"/>
      <c r="DJZ90" s="207"/>
      <c r="DKA90" s="207"/>
      <c r="DKB90" s="208"/>
      <c r="DKC90" s="209"/>
      <c r="DKD90" s="207"/>
      <c r="DKE90" s="210"/>
      <c r="DKF90" s="209"/>
      <c r="DKG90" s="204"/>
      <c r="DKH90" s="204"/>
      <c r="DKI90" s="204"/>
      <c r="DKJ90" s="199"/>
      <c r="DKK90" s="167"/>
      <c r="DKL90" s="199"/>
      <c r="DKM90" s="200"/>
      <c r="DKN90" s="201"/>
      <c r="DKO90" s="202"/>
      <c r="DKP90" s="202"/>
      <c r="DKQ90" s="202"/>
      <c r="DKR90" s="202"/>
      <c r="DKS90" s="203"/>
      <c r="DKT90" s="204"/>
      <c r="DKU90" s="204"/>
      <c r="DKV90" s="204"/>
      <c r="DKW90" s="205"/>
      <c r="DKX90" s="206"/>
      <c r="DKY90" s="207"/>
      <c r="DKZ90" s="207"/>
      <c r="DLA90" s="208"/>
      <c r="DLB90" s="209"/>
      <c r="DLC90" s="207"/>
      <c r="DLD90" s="210"/>
      <c r="DLE90" s="209"/>
      <c r="DLF90" s="204"/>
      <c r="DLG90" s="204"/>
      <c r="DLH90" s="204"/>
      <c r="DLI90" s="199"/>
      <c r="DLJ90" s="167"/>
      <c r="DLK90" s="199"/>
      <c r="DLL90" s="200"/>
      <c r="DLM90" s="201"/>
      <c r="DLN90" s="202"/>
      <c r="DLO90" s="202"/>
      <c r="DLP90" s="202"/>
      <c r="DLQ90" s="202"/>
      <c r="DLR90" s="203"/>
      <c r="DLS90" s="204"/>
      <c r="DLT90" s="204"/>
      <c r="DLU90" s="204"/>
      <c r="DLV90" s="205"/>
      <c r="DLW90" s="206"/>
      <c r="DLX90" s="207"/>
      <c r="DLY90" s="207"/>
      <c r="DLZ90" s="208"/>
      <c r="DMA90" s="209"/>
      <c r="DMB90" s="207"/>
      <c r="DMC90" s="210"/>
      <c r="DMD90" s="209"/>
      <c r="DME90" s="204"/>
      <c r="DMF90" s="204"/>
      <c r="DMG90" s="204"/>
      <c r="DMH90" s="199"/>
      <c r="DMI90" s="167"/>
      <c r="DMJ90" s="199"/>
      <c r="DMK90" s="200"/>
      <c r="DML90" s="201"/>
      <c r="DMM90" s="202"/>
      <c r="DMN90" s="202"/>
      <c r="DMO90" s="202"/>
      <c r="DMP90" s="202"/>
      <c r="DMQ90" s="203"/>
      <c r="DMR90" s="204"/>
      <c r="DMS90" s="204"/>
      <c r="DMT90" s="204"/>
      <c r="DMU90" s="205"/>
      <c r="DMV90" s="206"/>
      <c r="DMW90" s="207"/>
      <c r="DMX90" s="207"/>
      <c r="DMY90" s="208"/>
      <c r="DMZ90" s="209"/>
      <c r="DNA90" s="207"/>
      <c r="DNB90" s="210"/>
      <c r="DNC90" s="209"/>
      <c r="DND90" s="204"/>
      <c r="DNE90" s="204"/>
      <c r="DNF90" s="204"/>
      <c r="DNG90" s="199"/>
      <c r="DNH90" s="167"/>
      <c r="DNI90" s="199"/>
      <c r="DNJ90" s="200"/>
      <c r="DNK90" s="201"/>
      <c r="DNL90" s="202"/>
      <c r="DNM90" s="202"/>
      <c r="DNN90" s="202"/>
      <c r="DNO90" s="202"/>
      <c r="DNP90" s="203"/>
      <c r="DNQ90" s="204"/>
      <c r="DNR90" s="204"/>
      <c r="DNS90" s="204"/>
      <c r="DNT90" s="205"/>
      <c r="DNU90" s="206"/>
      <c r="DNV90" s="207"/>
      <c r="DNW90" s="207"/>
      <c r="DNX90" s="208"/>
      <c r="DNY90" s="209"/>
      <c r="DNZ90" s="207"/>
      <c r="DOA90" s="210"/>
      <c r="DOB90" s="209"/>
      <c r="DOC90" s="204"/>
      <c r="DOD90" s="204"/>
      <c r="DOE90" s="204"/>
      <c r="DOF90" s="199"/>
      <c r="DOG90" s="167"/>
      <c r="DOH90" s="199"/>
      <c r="DOI90" s="200"/>
      <c r="DOJ90" s="201"/>
      <c r="DOK90" s="202"/>
      <c r="DOL90" s="202"/>
      <c r="DOM90" s="202"/>
      <c r="DON90" s="202"/>
      <c r="DOO90" s="203"/>
      <c r="DOP90" s="204"/>
      <c r="DOQ90" s="204"/>
      <c r="DOR90" s="204"/>
      <c r="DOS90" s="205"/>
      <c r="DOT90" s="206"/>
      <c r="DOU90" s="207"/>
      <c r="DOV90" s="207"/>
      <c r="DOW90" s="208"/>
      <c r="DOX90" s="209"/>
      <c r="DOY90" s="207"/>
      <c r="DOZ90" s="210"/>
      <c r="DPA90" s="209"/>
      <c r="DPB90" s="204"/>
      <c r="DPC90" s="204"/>
      <c r="DPD90" s="204"/>
      <c r="DPE90" s="199"/>
      <c r="DPF90" s="167"/>
      <c r="DPG90" s="199"/>
      <c r="DPH90" s="200"/>
      <c r="DPI90" s="201"/>
      <c r="DPJ90" s="202"/>
      <c r="DPK90" s="202"/>
      <c r="DPL90" s="202"/>
      <c r="DPM90" s="202"/>
      <c r="DPN90" s="203"/>
      <c r="DPO90" s="204"/>
      <c r="DPP90" s="204"/>
      <c r="DPQ90" s="204"/>
      <c r="DPR90" s="205"/>
      <c r="DPS90" s="206"/>
      <c r="DPT90" s="207"/>
      <c r="DPU90" s="207"/>
      <c r="DPV90" s="208"/>
      <c r="DPW90" s="209"/>
      <c r="DPX90" s="207"/>
      <c r="DPY90" s="210"/>
      <c r="DPZ90" s="209"/>
      <c r="DQA90" s="204"/>
      <c r="DQB90" s="204"/>
      <c r="DQC90" s="204"/>
      <c r="DQD90" s="199"/>
      <c r="DQE90" s="167"/>
      <c r="DQF90" s="199"/>
      <c r="DQG90" s="200"/>
      <c r="DQH90" s="201"/>
      <c r="DQI90" s="202"/>
      <c r="DQJ90" s="202"/>
      <c r="DQK90" s="202"/>
      <c r="DQL90" s="202"/>
      <c r="DQM90" s="203"/>
      <c r="DQN90" s="204"/>
      <c r="DQO90" s="204"/>
      <c r="DQP90" s="204"/>
      <c r="DQQ90" s="205"/>
      <c r="DQR90" s="206"/>
      <c r="DQS90" s="207"/>
      <c r="DQT90" s="207"/>
      <c r="DQU90" s="208"/>
      <c r="DQV90" s="209"/>
      <c r="DQW90" s="207"/>
      <c r="DQX90" s="210"/>
      <c r="DQY90" s="209"/>
      <c r="DQZ90" s="204"/>
      <c r="DRA90" s="204"/>
      <c r="DRB90" s="204"/>
      <c r="DRC90" s="199"/>
      <c r="DRD90" s="167"/>
      <c r="DRE90" s="199"/>
      <c r="DRF90" s="200"/>
      <c r="DRG90" s="201"/>
      <c r="DRH90" s="202"/>
      <c r="DRI90" s="202"/>
      <c r="DRJ90" s="202"/>
      <c r="DRK90" s="202"/>
      <c r="DRL90" s="203"/>
      <c r="DRM90" s="204"/>
      <c r="DRN90" s="204"/>
      <c r="DRO90" s="204"/>
      <c r="DRP90" s="205"/>
      <c r="DRQ90" s="206"/>
      <c r="DRR90" s="207"/>
      <c r="DRS90" s="207"/>
      <c r="DRT90" s="208"/>
      <c r="DRU90" s="209"/>
      <c r="DRV90" s="207"/>
      <c r="DRW90" s="210"/>
      <c r="DRX90" s="209"/>
      <c r="DRY90" s="204"/>
      <c r="DRZ90" s="204"/>
      <c r="DSA90" s="204"/>
      <c r="DSB90" s="199"/>
      <c r="DSC90" s="167"/>
      <c r="DSD90" s="199"/>
      <c r="DSE90" s="200"/>
      <c r="DSF90" s="201"/>
      <c r="DSG90" s="202"/>
      <c r="DSH90" s="202"/>
      <c r="DSI90" s="202"/>
      <c r="DSJ90" s="202"/>
      <c r="DSK90" s="203"/>
      <c r="DSL90" s="204"/>
      <c r="DSM90" s="204"/>
      <c r="DSN90" s="204"/>
      <c r="DSO90" s="205"/>
      <c r="DSP90" s="206"/>
      <c r="DSQ90" s="207"/>
      <c r="DSR90" s="207"/>
      <c r="DSS90" s="208"/>
      <c r="DST90" s="209"/>
      <c r="DSU90" s="207"/>
      <c r="DSV90" s="210"/>
      <c r="DSW90" s="209"/>
      <c r="DSX90" s="204"/>
      <c r="DSY90" s="204"/>
      <c r="DSZ90" s="204"/>
      <c r="DTA90" s="199"/>
      <c r="DTB90" s="167"/>
      <c r="DTC90" s="199"/>
      <c r="DTD90" s="200"/>
      <c r="DTE90" s="201"/>
      <c r="DTF90" s="202"/>
      <c r="DTG90" s="202"/>
      <c r="DTH90" s="202"/>
      <c r="DTI90" s="202"/>
      <c r="DTJ90" s="203"/>
      <c r="DTK90" s="204"/>
      <c r="DTL90" s="204"/>
      <c r="DTM90" s="204"/>
      <c r="DTN90" s="205"/>
      <c r="DTO90" s="206"/>
      <c r="DTP90" s="207"/>
      <c r="DTQ90" s="207"/>
      <c r="DTR90" s="208"/>
      <c r="DTS90" s="209"/>
      <c r="DTT90" s="207"/>
      <c r="DTU90" s="210"/>
      <c r="DTV90" s="209"/>
      <c r="DTW90" s="204"/>
      <c r="DTX90" s="204"/>
      <c r="DTY90" s="204"/>
      <c r="DTZ90" s="199"/>
      <c r="DUA90" s="167"/>
      <c r="DUB90" s="199"/>
      <c r="DUC90" s="200"/>
      <c r="DUD90" s="201"/>
      <c r="DUE90" s="202"/>
      <c r="DUF90" s="202"/>
      <c r="DUG90" s="202"/>
      <c r="DUH90" s="202"/>
      <c r="DUI90" s="203"/>
      <c r="DUJ90" s="204"/>
      <c r="DUK90" s="204"/>
      <c r="DUL90" s="204"/>
      <c r="DUM90" s="205"/>
      <c r="DUN90" s="206"/>
      <c r="DUO90" s="207"/>
      <c r="DUP90" s="207"/>
      <c r="DUQ90" s="208"/>
      <c r="DUR90" s="209"/>
      <c r="DUS90" s="207"/>
      <c r="DUT90" s="210"/>
      <c r="DUU90" s="209"/>
      <c r="DUV90" s="204"/>
      <c r="DUW90" s="204"/>
      <c r="DUX90" s="204"/>
      <c r="DUY90" s="199"/>
      <c r="DUZ90" s="167"/>
      <c r="DVA90" s="199"/>
      <c r="DVB90" s="200"/>
      <c r="DVC90" s="201"/>
      <c r="DVD90" s="202"/>
      <c r="DVE90" s="202"/>
      <c r="DVF90" s="202"/>
      <c r="DVG90" s="202"/>
      <c r="DVH90" s="203"/>
      <c r="DVI90" s="204"/>
      <c r="DVJ90" s="204"/>
      <c r="DVK90" s="204"/>
      <c r="DVL90" s="205"/>
      <c r="DVM90" s="206"/>
      <c r="DVN90" s="207"/>
      <c r="DVO90" s="207"/>
      <c r="DVP90" s="208"/>
      <c r="DVQ90" s="209"/>
      <c r="DVR90" s="207"/>
      <c r="DVS90" s="210"/>
      <c r="DVT90" s="209"/>
      <c r="DVU90" s="204"/>
      <c r="DVV90" s="204"/>
      <c r="DVW90" s="204"/>
      <c r="DVX90" s="199"/>
      <c r="DVY90" s="167"/>
      <c r="DVZ90" s="199"/>
      <c r="DWA90" s="200"/>
      <c r="DWB90" s="201"/>
      <c r="DWC90" s="202"/>
      <c r="DWD90" s="202"/>
      <c r="DWE90" s="202"/>
      <c r="DWF90" s="202"/>
      <c r="DWG90" s="203"/>
      <c r="DWH90" s="204"/>
      <c r="DWI90" s="204"/>
      <c r="DWJ90" s="204"/>
      <c r="DWK90" s="205"/>
      <c r="DWL90" s="206"/>
      <c r="DWM90" s="207"/>
      <c r="DWN90" s="207"/>
      <c r="DWO90" s="208"/>
      <c r="DWP90" s="209"/>
      <c r="DWQ90" s="207"/>
      <c r="DWR90" s="210"/>
      <c r="DWS90" s="209"/>
      <c r="DWT90" s="204"/>
      <c r="DWU90" s="204"/>
      <c r="DWV90" s="204"/>
      <c r="DWW90" s="199"/>
      <c r="DWX90" s="167"/>
      <c r="DWY90" s="199"/>
      <c r="DWZ90" s="200"/>
      <c r="DXA90" s="201"/>
      <c r="DXB90" s="202"/>
      <c r="DXC90" s="202"/>
      <c r="DXD90" s="202"/>
      <c r="DXE90" s="202"/>
      <c r="DXF90" s="203"/>
      <c r="DXG90" s="204"/>
      <c r="DXH90" s="204"/>
      <c r="DXI90" s="204"/>
      <c r="DXJ90" s="205"/>
      <c r="DXK90" s="206"/>
      <c r="DXL90" s="207"/>
      <c r="DXM90" s="207"/>
      <c r="DXN90" s="208"/>
      <c r="DXO90" s="209"/>
      <c r="DXP90" s="207"/>
      <c r="DXQ90" s="210"/>
      <c r="DXR90" s="209"/>
      <c r="DXS90" s="204"/>
      <c r="DXT90" s="204"/>
      <c r="DXU90" s="204"/>
      <c r="DXV90" s="199"/>
      <c r="DXW90" s="167"/>
      <c r="DXX90" s="199"/>
      <c r="DXY90" s="200"/>
      <c r="DXZ90" s="201"/>
      <c r="DYA90" s="202"/>
      <c r="DYB90" s="202"/>
      <c r="DYC90" s="202"/>
      <c r="DYD90" s="202"/>
      <c r="DYE90" s="203"/>
      <c r="DYF90" s="204"/>
      <c r="DYG90" s="204"/>
      <c r="DYH90" s="204"/>
      <c r="DYI90" s="205"/>
      <c r="DYJ90" s="206"/>
      <c r="DYK90" s="207"/>
      <c r="DYL90" s="207"/>
      <c r="DYM90" s="208"/>
      <c r="DYN90" s="209"/>
      <c r="DYO90" s="207"/>
      <c r="DYP90" s="210"/>
      <c r="DYQ90" s="209"/>
      <c r="DYR90" s="204"/>
      <c r="DYS90" s="204"/>
      <c r="DYT90" s="204"/>
      <c r="DYU90" s="199"/>
      <c r="DYV90" s="167"/>
      <c r="DYW90" s="199"/>
      <c r="DYX90" s="200"/>
      <c r="DYY90" s="201"/>
      <c r="DYZ90" s="202"/>
      <c r="DZA90" s="202"/>
      <c r="DZB90" s="202"/>
      <c r="DZC90" s="202"/>
      <c r="DZD90" s="203"/>
      <c r="DZE90" s="204"/>
      <c r="DZF90" s="204"/>
      <c r="DZG90" s="204"/>
      <c r="DZH90" s="205"/>
      <c r="DZI90" s="206"/>
      <c r="DZJ90" s="207"/>
      <c r="DZK90" s="207"/>
      <c r="DZL90" s="208"/>
      <c r="DZM90" s="209"/>
      <c r="DZN90" s="207"/>
      <c r="DZO90" s="210"/>
      <c r="DZP90" s="209"/>
      <c r="DZQ90" s="204"/>
      <c r="DZR90" s="204"/>
      <c r="DZS90" s="204"/>
      <c r="DZT90" s="199"/>
      <c r="DZU90" s="167"/>
      <c r="DZV90" s="199"/>
      <c r="DZW90" s="200"/>
      <c r="DZX90" s="201"/>
      <c r="DZY90" s="202"/>
      <c r="DZZ90" s="202"/>
      <c r="EAA90" s="202"/>
      <c r="EAB90" s="202"/>
      <c r="EAC90" s="203"/>
      <c r="EAD90" s="204"/>
      <c r="EAE90" s="204"/>
      <c r="EAF90" s="204"/>
      <c r="EAG90" s="205"/>
      <c r="EAH90" s="206"/>
      <c r="EAI90" s="207"/>
      <c r="EAJ90" s="207"/>
      <c r="EAK90" s="208"/>
      <c r="EAL90" s="209"/>
      <c r="EAM90" s="207"/>
      <c r="EAN90" s="210"/>
      <c r="EAO90" s="209"/>
      <c r="EAP90" s="204"/>
      <c r="EAQ90" s="204"/>
      <c r="EAR90" s="204"/>
      <c r="EAS90" s="199"/>
      <c r="EAT90" s="167"/>
      <c r="EAU90" s="199"/>
      <c r="EAV90" s="200"/>
      <c r="EAW90" s="201"/>
      <c r="EAX90" s="202"/>
      <c r="EAY90" s="202"/>
      <c r="EAZ90" s="202"/>
      <c r="EBA90" s="202"/>
      <c r="EBB90" s="203"/>
      <c r="EBC90" s="204"/>
      <c r="EBD90" s="204"/>
      <c r="EBE90" s="204"/>
      <c r="EBF90" s="205"/>
      <c r="EBG90" s="206"/>
      <c r="EBH90" s="207"/>
      <c r="EBI90" s="207"/>
      <c r="EBJ90" s="208"/>
      <c r="EBK90" s="209"/>
      <c r="EBL90" s="207"/>
      <c r="EBM90" s="210"/>
      <c r="EBN90" s="209"/>
      <c r="EBO90" s="204"/>
      <c r="EBP90" s="204"/>
      <c r="EBQ90" s="204"/>
      <c r="EBR90" s="199"/>
      <c r="EBS90" s="167"/>
      <c r="EBT90" s="199"/>
      <c r="EBU90" s="200"/>
      <c r="EBV90" s="201"/>
      <c r="EBW90" s="202"/>
      <c r="EBX90" s="202"/>
      <c r="EBY90" s="202"/>
      <c r="EBZ90" s="202"/>
      <c r="ECA90" s="203"/>
      <c r="ECB90" s="204"/>
      <c r="ECC90" s="204"/>
      <c r="ECD90" s="204"/>
      <c r="ECE90" s="205"/>
      <c r="ECF90" s="206"/>
      <c r="ECG90" s="207"/>
      <c r="ECH90" s="207"/>
      <c r="ECI90" s="208"/>
      <c r="ECJ90" s="209"/>
      <c r="ECK90" s="207"/>
      <c r="ECL90" s="210"/>
      <c r="ECM90" s="209"/>
      <c r="ECN90" s="204"/>
      <c r="ECO90" s="204"/>
      <c r="ECP90" s="204"/>
      <c r="ECQ90" s="199"/>
      <c r="ECR90" s="167"/>
      <c r="ECS90" s="199"/>
      <c r="ECT90" s="200"/>
      <c r="ECU90" s="201"/>
      <c r="ECV90" s="202"/>
      <c r="ECW90" s="202"/>
      <c r="ECX90" s="202"/>
      <c r="ECY90" s="202"/>
      <c r="ECZ90" s="203"/>
      <c r="EDA90" s="204"/>
      <c r="EDB90" s="204"/>
      <c r="EDC90" s="204"/>
      <c r="EDD90" s="205"/>
      <c r="EDE90" s="206"/>
      <c r="EDF90" s="207"/>
      <c r="EDG90" s="207"/>
      <c r="EDH90" s="208"/>
      <c r="EDI90" s="209"/>
      <c r="EDJ90" s="207"/>
      <c r="EDK90" s="210"/>
      <c r="EDL90" s="209"/>
      <c r="EDM90" s="204"/>
      <c r="EDN90" s="204"/>
      <c r="EDO90" s="204"/>
      <c r="EDP90" s="199"/>
      <c r="EDQ90" s="167"/>
      <c r="EDR90" s="199"/>
      <c r="EDS90" s="200"/>
      <c r="EDT90" s="201"/>
      <c r="EDU90" s="202"/>
      <c r="EDV90" s="202"/>
      <c r="EDW90" s="202"/>
      <c r="EDX90" s="202"/>
      <c r="EDY90" s="203"/>
      <c r="EDZ90" s="204"/>
      <c r="EEA90" s="204"/>
      <c r="EEB90" s="204"/>
      <c r="EEC90" s="205"/>
      <c r="EED90" s="206"/>
      <c r="EEE90" s="207"/>
      <c r="EEF90" s="207"/>
      <c r="EEG90" s="208"/>
      <c r="EEH90" s="209"/>
      <c r="EEI90" s="207"/>
      <c r="EEJ90" s="210"/>
      <c r="EEK90" s="209"/>
      <c r="EEL90" s="204"/>
      <c r="EEM90" s="204"/>
      <c r="EEN90" s="204"/>
      <c r="EEO90" s="199"/>
      <c r="EEP90" s="167"/>
      <c r="EEQ90" s="199"/>
      <c r="EER90" s="200"/>
      <c r="EES90" s="201"/>
      <c r="EET90" s="202"/>
      <c r="EEU90" s="202"/>
      <c r="EEV90" s="202"/>
      <c r="EEW90" s="202"/>
      <c r="EEX90" s="203"/>
      <c r="EEY90" s="204"/>
      <c r="EEZ90" s="204"/>
      <c r="EFA90" s="204"/>
      <c r="EFB90" s="205"/>
      <c r="EFC90" s="206"/>
      <c r="EFD90" s="207"/>
      <c r="EFE90" s="207"/>
      <c r="EFF90" s="208"/>
      <c r="EFG90" s="209"/>
      <c r="EFH90" s="207"/>
      <c r="EFI90" s="210"/>
      <c r="EFJ90" s="209"/>
      <c r="EFK90" s="204"/>
      <c r="EFL90" s="204"/>
      <c r="EFM90" s="204"/>
      <c r="EFN90" s="199"/>
      <c r="EFO90" s="167"/>
      <c r="EFP90" s="199"/>
      <c r="EFQ90" s="200"/>
      <c r="EFR90" s="201"/>
      <c r="EFS90" s="202"/>
      <c r="EFT90" s="202"/>
      <c r="EFU90" s="202"/>
      <c r="EFV90" s="202"/>
      <c r="EFW90" s="203"/>
      <c r="EFX90" s="204"/>
      <c r="EFY90" s="204"/>
      <c r="EFZ90" s="204"/>
      <c r="EGA90" s="205"/>
      <c r="EGB90" s="206"/>
      <c r="EGC90" s="207"/>
      <c r="EGD90" s="207"/>
      <c r="EGE90" s="208"/>
      <c r="EGF90" s="209"/>
      <c r="EGG90" s="207"/>
      <c r="EGH90" s="210"/>
      <c r="EGI90" s="209"/>
      <c r="EGJ90" s="204"/>
      <c r="EGK90" s="204"/>
      <c r="EGL90" s="204"/>
      <c r="EGM90" s="199"/>
      <c r="EGN90" s="167"/>
      <c r="EGO90" s="199"/>
      <c r="EGP90" s="200"/>
      <c r="EGQ90" s="201"/>
      <c r="EGR90" s="202"/>
      <c r="EGS90" s="202"/>
      <c r="EGT90" s="202"/>
      <c r="EGU90" s="202"/>
      <c r="EGV90" s="203"/>
      <c r="EGW90" s="204"/>
      <c r="EGX90" s="204"/>
      <c r="EGY90" s="204"/>
      <c r="EGZ90" s="205"/>
      <c r="EHA90" s="206"/>
      <c r="EHB90" s="207"/>
      <c r="EHC90" s="207"/>
      <c r="EHD90" s="208"/>
      <c r="EHE90" s="209"/>
      <c r="EHF90" s="207"/>
      <c r="EHG90" s="210"/>
      <c r="EHH90" s="209"/>
      <c r="EHI90" s="204"/>
      <c r="EHJ90" s="204"/>
      <c r="EHK90" s="204"/>
      <c r="EHL90" s="199"/>
      <c r="EHM90" s="167"/>
      <c r="EHN90" s="199"/>
      <c r="EHO90" s="200"/>
      <c r="EHP90" s="201"/>
      <c r="EHQ90" s="202"/>
      <c r="EHR90" s="202"/>
      <c r="EHS90" s="202"/>
      <c r="EHT90" s="202"/>
      <c r="EHU90" s="203"/>
      <c r="EHV90" s="204"/>
      <c r="EHW90" s="204"/>
      <c r="EHX90" s="204"/>
      <c r="EHY90" s="205"/>
      <c r="EHZ90" s="206"/>
      <c r="EIA90" s="207"/>
      <c r="EIB90" s="207"/>
      <c r="EIC90" s="208"/>
      <c r="EID90" s="209"/>
      <c r="EIE90" s="207"/>
      <c r="EIF90" s="210"/>
      <c r="EIG90" s="209"/>
      <c r="EIH90" s="204"/>
      <c r="EII90" s="204"/>
      <c r="EIJ90" s="204"/>
      <c r="EIK90" s="199"/>
      <c r="EIL90" s="167"/>
      <c r="EIM90" s="199"/>
      <c r="EIN90" s="200"/>
      <c r="EIO90" s="201"/>
      <c r="EIP90" s="202"/>
      <c r="EIQ90" s="202"/>
      <c r="EIR90" s="202"/>
      <c r="EIS90" s="202"/>
      <c r="EIT90" s="203"/>
      <c r="EIU90" s="204"/>
      <c r="EIV90" s="204"/>
      <c r="EIW90" s="204"/>
      <c r="EIX90" s="205"/>
      <c r="EIY90" s="206"/>
      <c r="EIZ90" s="207"/>
      <c r="EJA90" s="207"/>
      <c r="EJB90" s="208"/>
      <c r="EJC90" s="209"/>
      <c r="EJD90" s="207"/>
      <c r="EJE90" s="210"/>
      <c r="EJF90" s="209"/>
      <c r="EJG90" s="204"/>
      <c r="EJH90" s="204"/>
      <c r="EJI90" s="204"/>
      <c r="EJJ90" s="199"/>
      <c r="EJK90" s="167"/>
      <c r="EJL90" s="199"/>
      <c r="EJM90" s="200"/>
      <c r="EJN90" s="201"/>
      <c r="EJO90" s="202"/>
      <c r="EJP90" s="202"/>
      <c r="EJQ90" s="202"/>
      <c r="EJR90" s="202"/>
      <c r="EJS90" s="203"/>
      <c r="EJT90" s="204"/>
      <c r="EJU90" s="204"/>
      <c r="EJV90" s="204"/>
      <c r="EJW90" s="205"/>
      <c r="EJX90" s="206"/>
      <c r="EJY90" s="207"/>
      <c r="EJZ90" s="207"/>
      <c r="EKA90" s="208"/>
      <c r="EKB90" s="209"/>
      <c r="EKC90" s="207"/>
      <c r="EKD90" s="210"/>
      <c r="EKE90" s="209"/>
      <c r="EKF90" s="204"/>
      <c r="EKG90" s="204"/>
      <c r="EKH90" s="204"/>
      <c r="EKI90" s="199"/>
      <c r="EKJ90" s="167"/>
      <c r="EKK90" s="199"/>
      <c r="EKL90" s="200"/>
      <c r="EKM90" s="201"/>
      <c r="EKN90" s="202"/>
      <c r="EKO90" s="202"/>
      <c r="EKP90" s="202"/>
      <c r="EKQ90" s="202"/>
      <c r="EKR90" s="203"/>
      <c r="EKS90" s="204"/>
      <c r="EKT90" s="204"/>
      <c r="EKU90" s="204"/>
      <c r="EKV90" s="205"/>
      <c r="EKW90" s="206"/>
      <c r="EKX90" s="207"/>
      <c r="EKY90" s="207"/>
      <c r="EKZ90" s="208"/>
      <c r="ELA90" s="209"/>
      <c r="ELB90" s="207"/>
      <c r="ELC90" s="210"/>
      <c r="ELD90" s="209"/>
      <c r="ELE90" s="204"/>
      <c r="ELF90" s="204"/>
      <c r="ELG90" s="204"/>
      <c r="ELH90" s="199"/>
      <c r="ELI90" s="167"/>
      <c r="ELJ90" s="199"/>
      <c r="ELK90" s="200"/>
      <c r="ELL90" s="201"/>
      <c r="ELM90" s="202"/>
      <c r="ELN90" s="202"/>
      <c r="ELO90" s="202"/>
      <c r="ELP90" s="202"/>
      <c r="ELQ90" s="203"/>
      <c r="ELR90" s="204"/>
      <c r="ELS90" s="204"/>
      <c r="ELT90" s="204"/>
      <c r="ELU90" s="205"/>
      <c r="ELV90" s="206"/>
      <c r="ELW90" s="207"/>
      <c r="ELX90" s="207"/>
      <c r="ELY90" s="208"/>
      <c r="ELZ90" s="209"/>
      <c r="EMA90" s="207"/>
      <c r="EMB90" s="210"/>
      <c r="EMC90" s="209"/>
      <c r="EMD90" s="204"/>
      <c r="EME90" s="204"/>
      <c r="EMF90" s="204"/>
      <c r="EMG90" s="199"/>
      <c r="EMH90" s="167"/>
      <c r="EMI90" s="199"/>
      <c r="EMJ90" s="200"/>
      <c r="EMK90" s="201"/>
      <c r="EML90" s="202"/>
      <c r="EMM90" s="202"/>
      <c r="EMN90" s="202"/>
      <c r="EMO90" s="202"/>
      <c r="EMP90" s="203"/>
      <c r="EMQ90" s="204"/>
      <c r="EMR90" s="204"/>
      <c r="EMS90" s="204"/>
      <c r="EMT90" s="205"/>
      <c r="EMU90" s="206"/>
      <c r="EMV90" s="207"/>
      <c r="EMW90" s="207"/>
      <c r="EMX90" s="208"/>
      <c r="EMY90" s="209"/>
      <c r="EMZ90" s="207"/>
      <c r="ENA90" s="210"/>
      <c r="ENB90" s="209"/>
      <c r="ENC90" s="204"/>
      <c r="END90" s="204"/>
      <c r="ENE90" s="204"/>
      <c r="ENF90" s="199"/>
      <c r="ENG90" s="167"/>
      <c r="ENH90" s="199"/>
      <c r="ENI90" s="200"/>
      <c r="ENJ90" s="201"/>
      <c r="ENK90" s="202"/>
      <c r="ENL90" s="202"/>
      <c r="ENM90" s="202"/>
      <c r="ENN90" s="202"/>
      <c r="ENO90" s="203"/>
      <c r="ENP90" s="204"/>
      <c r="ENQ90" s="204"/>
      <c r="ENR90" s="204"/>
      <c r="ENS90" s="205"/>
      <c r="ENT90" s="206"/>
      <c r="ENU90" s="207"/>
      <c r="ENV90" s="207"/>
      <c r="ENW90" s="208"/>
      <c r="ENX90" s="209"/>
      <c r="ENY90" s="207"/>
      <c r="ENZ90" s="210"/>
      <c r="EOA90" s="209"/>
      <c r="EOB90" s="204"/>
      <c r="EOC90" s="204"/>
      <c r="EOD90" s="204"/>
      <c r="EOE90" s="199"/>
      <c r="EOF90" s="167"/>
      <c r="EOG90" s="199"/>
      <c r="EOH90" s="200"/>
      <c r="EOI90" s="201"/>
      <c r="EOJ90" s="202"/>
      <c r="EOK90" s="202"/>
      <c r="EOL90" s="202"/>
      <c r="EOM90" s="202"/>
      <c r="EON90" s="203"/>
      <c r="EOO90" s="204"/>
      <c r="EOP90" s="204"/>
      <c r="EOQ90" s="204"/>
      <c r="EOR90" s="205"/>
      <c r="EOS90" s="206"/>
      <c r="EOT90" s="207"/>
      <c r="EOU90" s="207"/>
      <c r="EOV90" s="208"/>
      <c r="EOW90" s="209"/>
      <c r="EOX90" s="207"/>
      <c r="EOY90" s="210"/>
      <c r="EOZ90" s="209"/>
      <c r="EPA90" s="204"/>
      <c r="EPB90" s="204"/>
      <c r="EPC90" s="204"/>
      <c r="EPD90" s="199"/>
      <c r="EPE90" s="167"/>
      <c r="EPF90" s="199"/>
      <c r="EPG90" s="200"/>
      <c r="EPH90" s="201"/>
      <c r="EPI90" s="202"/>
      <c r="EPJ90" s="202"/>
      <c r="EPK90" s="202"/>
      <c r="EPL90" s="202"/>
      <c r="EPM90" s="203"/>
      <c r="EPN90" s="204"/>
      <c r="EPO90" s="204"/>
      <c r="EPP90" s="204"/>
      <c r="EPQ90" s="205"/>
      <c r="EPR90" s="206"/>
      <c r="EPS90" s="207"/>
      <c r="EPT90" s="207"/>
      <c r="EPU90" s="208"/>
      <c r="EPV90" s="209"/>
      <c r="EPW90" s="207"/>
      <c r="EPX90" s="210"/>
      <c r="EPY90" s="209"/>
      <c r="EPZ90" s="204"/>
      <c r="EQA90" s="204"/>
      <c r="EQB90" s="204"/>
      <c r="EQC90" s="199"/>
      <c r="EQD90" s="167"/>
      <c r="EQE90" s="199"/>
      <c r="EQF90" s="200"/>
      <c r="EQG90" s="201"/>
      <c r="EQH90" s="202"/>
      <c r="EQI90" s="202"/>
      <c r="EQJ90" s="202"/>
      <c r="EQK90" s="202"/>
      <c r="EQL90" s="203"/>
      <c r="EQM90" s="204"/>
      <c r="EQN90" s="204"/>
      <c r="EQO90" s="204"/>
      <c r="EQP90" s="205"/>
      <c r="EQQ90" s="206"/>
      <c r="EQR90" s="207"/>
      <c r="EQS90" s="207"/>
      <c r="EQT90" s="208"/>
      <c r="EQU90" s="209"/>
      <c r="EQV90" s="207"/>
      <c r="EQW90" s="210"/>
      <c r="EQX90" s="209"/>
      <c r="EQY90" s="204"/>
      <c r="EQZ90" s="204"/>
      <c r="ERA90" s="204"/>
      <c r="ERB90" s="199"/>
      <c r="ERC90" s="167"/>
      <c r="ERD90" s="199"/>
      <c r="ERE90" s="200"/>
      <c r="ERF90" s="201"/>
      <c r="ERG90" s="202"/>
      <c r="ERH90" s="202"/>
      <c r="ERI90" s="202"/>
      <c r="ERJ90" s="202"/>
      <c r="ERK90" s="203"/>
      <c r="ERL90" s="204"/>
      <c r="ERM90" s="204"/>
      <c r="ERN90" s="204"/>
      <c r="ERO90" s="205"/>
      <c r="ERP90" s="206"/>
      <c r="ERQ90" s="207"/>
      <c r="ERR90" s="207"/>
      <c r="ERS90" s="208"/>
      <c r="ERT90" s="209"/>
      <c r="ERU90" s="207"/>
      <c r="ERV90" s="210"/>
      <c r="ERW90" s="209"/>
      <c r="ERX90" s="204"/>
      <c r="ERY90" s="204"/>
      <c r="ERZ90" s="204"/>
      <c r="ESA90" s="199"/>
      <c r="ESB90" s="167"/>
      <c r="ESC90" s="199"/>
      <c r="ESD90" s="200"/>
      <c r="ESE90" s="201"/>
      <c r="ESF90" s="202"/>
      <c r="ESG90" s="202"/>
      <c r="ESH90" s="202"/>
      <c r="ESI90" s="202"/>
      <c r="ESJ90" s="203"/>
      <c r="ESK90" s="204"/>
      <c r="ESL90" s="204"/>
      <c r="ESM90" s="204"/>
      <c r="ESN90" s="205"/>
      <c r="ESO90" s="206"/>
      <c r="ESP90" s="207"/>
      <c r="ESQ90" s="207"/>
      <c r="ESR90" s="208"/>
      <c r="ESS90" s="209"/>
      <c r="EST90" s="207"/>
      <c r="ESU90" s="210"/>
      <c r="ESV90" s="209"/>
      <c r="ESW90" s="204"/>
      <c r="ESX90" s="204"/>
      <c r="ESY90" s="204"/>
      <c r="ESZ90" s="199"/>
      <c r="ETA90" s="167"/>
      <c r="ETB90" s="199"/>
      <c r="ETC90" s="200"/>
      <c r="ETD90" s="201"/>
      <c r="ETE90" s="202"/>
      <c r="ETF90" s="202"/>
      <c r="ETG90" s="202"/>
      <c r="ETH90" s="202"/>
      <c r="ETI90" s="203"/>
      <c r="ETJ90" s="204"/>
      <c r="ETK90" s="204"/>
      <c r="ETL90" s="204"/>
      <c r="ETM90" s="205"/>
      <c r="ETN90" s="206"/>
      <c r="ETO90" s="207"/>
      <c r="ETP90" s="207"/>
      <c r="ETQ90" s="208"/>
      <c r="ETR90" s="209"/>
      <c r="ETS90" s="207"/>
      <c r="ETT90" s="210"/>
      <c r="ETU90" s="209"/>
      <c r="ETV90" s="204"/>
      <c r="ETW90" s="204"/>
      <c r="ETX90" s="204"/>
      <c r="ETY90" s="199"/>
      <c r="ETZ90" s="167"/>
      <c r="EUA90" s="199"/>
      <c r="EUB90" s="200"/>
      <c r="EUC90" s="201"/>
      <c r="EUD90" s="202"/>
      <c r="EUE90" s="202"/>
      <c r="EUF90" s="202"/>
      <c r="EUG90" s="202"/>
      <c r="EUH90" s="203"/>
      <c r="EUI90" s="204"/>
      <c r="EUJ90" s="204"/>
      <c r="EUK90" s="204"/>
      <c r="EUL90" s="205"/>
      <c r="EUM90" s="206"/>
      <c r="EUN90" s="207"/>
      <c r="EUO90" s="207"/>
      <c r="EUP90" s="208"/>
      <c r="EUQ90" s="209"/>
      <c r="EUR90" s="207"/>
      <c r="EUS90" s="210"/>
      <c r="EUT90" s="209"/>
      <c r="EUU90" s="204"/>
      <c r="EUV90" s="204"/>
      <c r="EUW90" s="204"/>
      <c r="EUX90" s="199"/>
      <c r="EUY90" s="167"/>
      <c r="EUZ90" s="199"/>
      <c r="EVA90" s="200"/>
      <c r="EVB90" s="201"/>
      <c r="EVC90" s="202"/>
      <c r="EVD90" s="202"/>
      <c r="EVE90" s="202"/>
      <c r="EVF90" s="202"/>
      <c r="EVG90" s="203"/>
      <c r="EVH90" s="204"/>
      <c r="EVI90" s="204"/>
      <c r="EVJ90" s="204"/>
      <c r="EVK90" s="205"/>
      <c r="EVL90" s="206"/>
      <c r="EVM90" s="207"/>
      <c r="EVN90" s="207"/>
      <c r="EVO90" s="208"/>
      <c r="EVP90" s="209"/>
      <c r="EVQ90" s="207"/>
      <c r="EVR90" s="210"/>
      <c r="EVS90" s="209"/>
      <c r="EVT90" s="204"/>
      <c r="EVU90" s="204"/>
      <c r="EVV90" s="204"/>
      <c r="EVW90" s="199"/>
      <c r="EVX90" s="167"/>
      <c r="EVY90" s="199"/>
      <c r="EVZ90" s="200"/>
      <c r="EWA90" s="201"/>
      <c r="EWB90" s="202"/>
      <c r="EWC90" s="202"/>
      <c r="EWD90" s="202"/>
      <c r="EWE90" s="202"/>
      <c r="EWF90" s="203"/>
      <c r="EWG90" s="204"/>
      <c r="EWH90" s="204"/>
      <c r="EWI90" s="204"/>
      <c r="EWJ90" s="205"/>
      <c r="EWK90" s="206"/>
      <c r="EWL90" s="207"/>
      <c r="EWM90" s="207"/>
      <c r="EWN90" s="208"/>
      <c r="EWO90" s="209"/>
      <c r="EWP90" s="207"/>
      <c r="EWQ90" s="210"/>
      <c r="EWR90" s="209"/>
      <c r="EWS90" s="204"/>
      <c r="EWT90" s="204"/>
      <c r="EWU90" s="204"/>
      <c r="EWV90" s="199"/>
      <c r="EWW90" s="167"/>
      <c r="EWX90" s="199"/>
      <c r="EWY90" s="200"/>
      <c r="EWZ90" s="201"/>
      <c r="EXA90" s="202"/>
      <c r="EXB90" s="202"/>
      <c r="EXC90" s="202"/>
      <c r="EXD90" s="202"/>
      <c r="EXE90" s="203"/>
      <c r="EXF90" s="204"/>
      <c r="EXG90" s="204"/>
      <c r="EXH90" s="204"/>
      <c r="EXI90" s="205"/>
      <c r="EXJ90" s="206"/>
      <c r="EXK90" s="207"/>
      <c r="EXL90" s="207"/>
      <c r="EXM90" s="208"/>
      <c r="EXN90" s="209"/>
      <c r="EXO90" s="207"/>
      <c r="EXP90" s="210"/>
      <c r="EXQ90" s="209"/>
      <c r="EXR90" s="204"/>
      <c r="EXS90" s="204"/>
      <c r="EXT90" s="204"/>
      <c r="EXU90" s="199"/>
      <c r="EXV90" s="167"/>
      <c r="EXW90" s="199"/>
      <c r="EXX90" s="200"/>
      <c r="EXY90" s="201"/>
      <c r="EXZ90" s="202"/>
      <c r="EYA90" s="202"/>
      <c r="EYB90" s="202"/>
      <c r="EYC90" s="202"/>
      <c r="EYD90" s="203"/>
      <c r="EYE90" s="204"/>
      <c r="EYF90" s="204"/>
      <c r="EYG90" s="204"/>
      <c r="EYH90" s="205"/>
      <c r="EYI90" s="206"/>
      <c r="EYJ90" s="207"/>
      <c r="EYK90" s="207"/>
      <c r="EYL90" s="208"/>
      <c r="EYM90" s="209"/>
      <c r="EYN90" s="207"/>
      <c r="EYO90" s="210"/>
      <c r="EYP90" s="209"/>
      <c r="EYQ90" s="204"/>
      <c r="EYR90" s="204"/>
      <c r="EYS90" s="204"/>
      <c r="EYT90" s="199"/>
      <c r="EYU90" s="167"/>
      <c r="EYV90" s="199"/>
      <c r="EYW90" s="200"/>
      <c r="EYX90" s="201"/>
      <c r="EYY90" s="202"/>
      <c r="EYZ90" s="202"/>
      <c r="EZA90" s="202"/>
      <c r="EZB90" s="202"/>
      <c r="EZC90" s="203"/>
      <c r="EZD90" s="204"/>
      <c r="EZE90" s="204"/>
      <c r="EZF90" s="204"/>
      <c r="EZG90" s="205"/>
      <c r="EZH90" s="206"/>
      <c r="EZI90" s="207"/>
      <c r="EZJ90" s="207"/>
      <c r="EZK90" s="208"/>
      <c r="EZL90" s="209"/>
      <c r="EZM90" s="207"/>
      <c r="EZN90" s="210"/>
      <c r="EZO90" s="209"/>
      <c r="EZP90" s="204"/>
      <c r="EZQ90" s="204"/>
      <c r="EZR90" s="204"/>
      <c r="EZS90" s="199"/>
      <c r="EZT90" s="167"/>
      <c r="EZU90" s="199"/>
      <c r="EZV90" s="200"/>
      <c r="EZW90" s="201"/>
      <c r="EZX90" s="202"/>
      <c r="EZY90" s="202"/>
      <c r="EZZ90" s="202"/>
      <c r="FAA90" s="202"/>
      <c r="FAB90" s="203"/>
      <c r="FAC90" s="204"/>
      <c r="FAD90" s="204"/>
      <c r="FAE90" s="204"/>
      <c r="FAF90" s="205"/>
      <c r="FAG90" s="206"/>
      <c r="FAH90" s="207"/>
      <c r="FAI90" s="207"/>
      <c r="FAJ90" s="208"/>
      <c r="FAK90" s="209"/>
      <c r="FAL90" s="207"/>
      <c r="FAM90" s="210"/>
      <c r="FAN90" s="209"/>
      <c r="FAO90" s="204"/>
      <c r="FAP90" s="204"/>
      <c r="FAQ90" s="204"/>
      <c r="FAR90" s="199"/>
      <c r="FAS90" s="167"/>
      <c r="FAT90" s="199"/>
      <c r="FAU90" s="200"/>
      <c r="FAV90" s="201"/>
      <c r="FAW90" s="202"/>
      <c r="FAX90" s="202"/>
      <c r="FAY90" s="202"/>
      <c r="FAZ90" s="202"/>
      <c r="FBA90" s="203"/>
      <c r="FBB90" s="204"/>
      <c r="FBC90" s="204"/>
      <c r="FBD90" s="204"/>
      <c r="FBE90" s="205"/>
      <c r="FBF90" s="206"/>
      <c r="FBG90" s="207"/>
      <c r="FBH90" s="207"/>
      <c r="FBI90" s="208"/>
      <c r="FBJ90" s="209"/>
      <c r="FBK90" s="207"/>
      <c r="FBL90" s="210"/>
      <c r="FBM90" s="209"/>
      <c r="FBN90" s="204"/>
      <c r="FBO90" s="204"/>
      <c r="FBP90" s="204"/>
      <c r="FBQ90" s="199"/>
      <c r="FBR90" s="167"/>
      <c r="FBS90" s="199"/>
      <c r="FBT90" s="200"/>
      <c r="FBU90" s="201"/>
      <c r="FBV90" s="202"/>
      <c r="FBW90" s="202"/>
      <c r="FBX90" s="202"/>
      <c r="FBY90" s="202"/>
      <c r="FBZ90" s="203"/>
      <c r="FCA90" s="204"/>
      <c r="FCB90" s="204"/>
      <c r="FCC90" s="204"/>
      <c r="FCD90" s="205"/>
      <c r="FCE90" s="206"/>
      <c r="FCF90" s="207"/>
      <c r="FCG90" s="207"/>
      <c r="FCH90" s="208"/>
      <c r="FCI90" s="209"/>
      <c r="FCJ90" s="207"/>
      <c r="FCK90" s="210"/>
      <c r="FCL90" s="209"/>
      <c r="FCM90" s="204"/>
      <c r="FCN90" s="204"/>
      <c r="FCO90" s="204"/>
      <c r="FCP90" s="199"/>
      <c r="FCQ90" s="167"/>
      <c r="FCR90" s="199"/>
      <c r="FCS90" s="200"/>
      <c r="FCT90" s="201"/>
      <c r="FCU90" s="202"/>
      <c r="FCV90" s="202"/>
      <c r="FCW90" s="202"/>
      <c r="FCX90" s="202"/>
      <c r="FCY90" s="203"/>
      <c r="FCZ90" s="204"/>
      <c r="FDA90" s="204"/>
      <c r="FDB90" s="204"/>
      <c r="FDC90" s="205"/>
      <c r="FDD90" s="206"/>
      <c r="FDE90" s="207"/>
      <c r="FDF90" s="207"/>
      <c r="FDG90" s="208"/>
      <c r="FDH90" s="209"/>
      <c r="FDI90" s="207"/>
      <c r="FDJ90" s="210"/>
      <c r="FDK90" s="209"/>
      <c r="FDL90" s="204"/>
      <c r="FDM90" s="204"/>
      <c r="FDN90" s="204"/>
      <c r="FDO90" s="199"/>
      <c r="FDP90" s="167"/>
      <c r="FDQ90" s="199"/>
      <c r="FDR90" s="200"/>
      <c r="FDS90" s="201"/>
      <c r="FDT90" s="202"/>
      <c r="FDU90" s="202"/>
      <c r="FDV90" s="202"/>
      <c r="FDW90" s="202"/>
      <c r="FDX90" s="203"/>
      <c r="FDY90" s="204"/>
      <c r="FDZ90" s="204"/>
      <c r="FEA90" s="204"/>
      <c r="FEB90" s="205"/>
      <c r="FEC90" s="206"/>
      <c r="FED90" s="207"/>
      <c r="FEE90" s="207"/>
      <c r="FEF90" s="208"/>
      <c r="FEG90" s="209"/>
      <c r="FEH90" s="207"/>
      <c r="FEI90" s="210"/>
      <c r="FEJ90" s="209"/>
      <c r="FEK90" s="204"/>
      <c r="FEL90" s="204"/>
      <c r="FEM90" s="204"/>
      <c r="FEN90" s="199"/>
      <c r="FEO90" s="167"/>
      <c r="FEP90" s="199"/>
      <c r="FEQ90" s="200"/>
      <c r="FER90" s="201"/>
      <c r="FES90" s="202"/>
      <c r="FET90" s="202"/>
      <c r="FEU90" s="202"/>
      <c r="FEV90" s="202"/>
      <c r="FEW90" s="203"/>
      <c r="FEX90" s="204"/>
      <c r="FEY90" s="204"/>
      <c r="FEZ90" s="204"/>
      <c r="FFA90" s="205"/>
      <c r="FFB90" s="206"/>
      <c r="FFC90" s="207"/>
      <c r="FFD90" s="207"/>
      <c r="FFE90" s="208"/>
      <c r="FFF90" s="209"/>
      <c r="FFG90" s="207"/>
      <c r="FFH90" s="210"/>
      <c r="FFI90" s="209"/>
      <c r="FFJ90" s="204"/>
      <c r="FFK90" s="204"/>
      <c r="FFL90" s="204"/>
      <c r="FFM90" s="199"/>
      <c r="FFN90" s="167"/>
      <c r="FFO90" s="199"/>
      <c r="FFP90" s="200"/>
      <c r="FFQ90" s="201"/>
      <c r="FFR90" s="202"/>
      <c r="FFS90" s="202"/>
      <c r="FFT90" s="202"/>
      <c r="FFU90" s="202"/>
      <c r="FFV90" s="203"/>
      <c r="FFW90" s="204"/>
      <c r="FFX90" s="204"/>
      <c r="FFY90" s="204"/>
      <c r="FFZ90" s="205"/>
      <c r="FGA90" s="206"/>
      <c r="FGB90" s="207"/>
      <c r="FGC90" s="207"/>
      <c r="FGD90" s="208"/>
      <c r="FGE90" s="209"/>
      <c r="FGF90" s="207"/>
      <c r="FGG90" s="210"/>
      <c r="FGH90" s="209"/>
      <c r="FGI90" s="204"/>
      <c r="FGJ90" s="204"/>
      <c r="FGK90" s="204"/>
      <c r="FGL90" s="199"/>
      <c r="FGM90" s="167"/>
      <c r="FGN90" s="199"/>
      <c r="FGO90" s="200"/>
      <c r="FGP90" s="201"/>
      <c r="FGQ90" s="202"/>
      <c r="FGR90" s="202"/>
      <c r="FGS90" s="202"/>
      <c r="FGT90" s="202"/>
      <c r="FGU90" s="203"/>
      <c r="FGV90" s="204"/>
      <c r="FGW90" s="204"/>
      <c r="FGX90" s="204"/>
      <c r="FGY90" s="205"/>
      <c r="FGZ90" s="206"/>
      <c r="FHA90" s="207"/>
      <c r="FHB90" s="207"/>
      <c r="FHC90" s="208"/>
      <c r="FHD90" s="209"/>
      <c r="FHE90" s="207"/>
      <c r="FHF90" s="210"/>
      <c r="FHG90" s="209"/>
      <c r="FHH90" s="204"/>
      <c r="FHI90" s="204"/>
      <c r="FHJ90" s="204"/>
      <c r="FHK90" s="199"/>
      <c r="FHL90" s="167"/>
      <c r="FHM90" s="199"/>
      <c r="FHN90" s="200"/>
      <c r="FHO90" s="201"/>
      <c r="FHP90" s="202"/>
      <c r="FHQ90" s="202"/>
      <c r="FHR90" s="202"/>
      <c r="FHS90" s="202"/>
      <c r="FHT90" s="203"/>
      <c r="FHU90" s="204"/>
      <c r="FHV90" s="204"/>
      <c r="FHW90" s="204"/>
      <c r="FHX90" s="205"/>
      <c r="FHY90" s="206"/>
      <c r="FHZ90" s="207"/>
      <c r="FIA90" s="207"/>
      <c r="FIB90" s="208"/>
      <c r="FIC90" s="209"/>
      <c r="FID90" s="207"/>
      <c r="FIE90" s="210"/>
      <c r="FIF90" s="209"/>
      <c r="FIG90" s="204"/>
      <c r="FIH90" s="204"/>
      <c r="FII90" s="204"/>
      <c r="FIJ90" s="199"/>
      <c r="FIK90" s="167"/>
      <c r="FIL90" s="199"/>
      <c r="FIM90" s="200"/>
      <c r="FIN90" s="201"/>
      <c r="FIO90" s="202"/>
      <c r="FIP90" s="202"/>
      <c r="FIQ90" s="202"/>
      <c r="FIR90" s="202"/>
      <c r="FIS90" s="203"/>
      <c r="FIT90" s="204"/>
      <c r="FIU90" s="204"/>
      <c r="FIV90" s="204"/>
      <c r="FIW90" s="205"/>
      <c r="FIX90" s="206"/>
      <c r="FIY90" s="207"/>
      <c r="FIZ90" s="207"/>
      <c r="FJA90" s="208"/>
      <c r="FJB90" s="209"/>
      <c r="FJC90" s="207"/>
      <c r="FJD90" s="210"/>
      <c r="FJE90" s="209"/>
      <c r="FJF90" s="204"/>
      <c r="FJG90" s="204"/>
      <c r="FJH90" s="204"/>
      <c r="FJI90" s="199"/>
      <c r="FJJ90" s="167"/>
      <c r="FJK90" s="199"/>
      <c r="FJL90" s="200"/>
      <c r="FJM90" s="201"/>
      <c r="FJN90" s="202"/>
      <c r="FJO90" s="202"/>
      <c r="FJP90" s="202"/>
      <c r="FJQ90" s="202"/>
      <c r="FJR90" s="203"/>
      <c r="FJS90" s="204"/>
      <c r="FJT90" s="204"/>
      <c r="FJU90" s="204"/>
      <c r="FJV90" s="205"/>
      <c r="FJW90" s="206"/>
      <c r="FJX90" s="207"/>
      <c r="FJY90" s="207"/>
      <c r="FJZ90" s="208"/>
      <c r="FKA90" s="209"/>
      <c r="FKB90" s="207"/>
      <c r="FKC90" s="210"/>
      <c r="FKD90" s="209"/>
      <c r="FKE90" s="204"/>
      <c r="FKF90" s="204"/>
      <c r="FKG90" s="204"/>
      <c r="FKH90" s="199"/>
      <c r="FKI90" s="167"/>
      <c r="FKJ90" s="199"/>
      <c r="FKK90" s="200"/>
      <c r="FKL90" s="201"/>
      <c r="FKM90" s="202"/>
      <c r="FKN90" s="202"/>
      <c r="FKO90" s="202"/>
      <c r="FKP90" s="202"/>
      <c r="FKQ90" s="203"/>
      <c r="FKR90" s="204"/>
      <c r="FKS90" s="204"/>
      <c r="FKT90" s="204"/>
      <c r="FKU90" s="205"/>
      <c r="FKV90" s="206"/>
      <c r="FKW90" s="207"/>
      <c r="FKX90" s="207"/>
      <c r="FKY90" s="208"/>
      <c r="FKZ90" s="209"/>
      <c r="FLA90" s="207"/>
      <c r="FLB90" s="210"/>
      <c r="FLC90" s="209"/>
      <c r="FLD90" s="204"/>
      <c r="FLE90" s="204"/>
      <c r="FLF90" s="204"/>
      <c r="FLG90" s="199"/>
      <c r="FLH90" s="167"/>
      <c r="FLI90" s="199"/>
      <c r="FLJ90" s="200"/>
      <c r="FLK90" s="201"/>
      <c r="FLL90" s="202"/>
      <c r="FLM90" s="202"/>
      <c r="FLN90" s="202"/>
      <c r="FLO90" s="202"/>
      <c r="FLP90" s="203"/>
      <c r="FLQ90" s="204"/>
      <c r="FLR90" s="204"/>
      <c r="FLS90" s="204"/>
      <c r="FLT90" s="205"/>
      <c r="FLU90" s="206"/>
      <c r="FLV90" s="207"/>
      <c r="FLW90" s="207"/>
      <c r="FLX90" s="208"/>
      <c r="FLY90" s="209"/>
      <c r="FLZ90" s="207"/>
      <c r="FMA90" s="210"/>
      <c r="FMB90" s="209"/>
      <c r="FMC90" s="204"/>
      <c r="FMD90" s="204"/>
      <c r="FME90" s="204"/>
      <c r="FMF90" s="199"/>
      <c r="FMG90" s="167"/>
      <c r="FMH90" s="199"/>
      <c r="FMI90" s="200"/>
      <c r="FMJ90" s="201"/>
      <c r="FMK90" s="202"/>
      <c r="FML90" s="202"/>
      <c r="FMM90" s="202"/>
      <c r="FMN90" s="202"/>
      <c r="FMO90" s="203"/>
      <c r="FMP90" s="204"/>
      <c r="FMQ90" s="204"/>
      <c r="FMR90" s="204"/>
      <c r="FMS90" s="205"/>
      <c r="FMT90" s="206"/>
      <c r="FMU90" s="207"/>
      <c r="FMV90" s="207"/>
      <c r="FMW90" s="208"/>
      <c r="FMX90" s="209"/>
      <c r="FMY90" s="207"/>
      <c r="FMZ90" s="210"/>
      <c r="FNA90" s="209"/>
      <c r="FNB90" s="204"/>
      <c r="FNC90" s="204"/>
      <c r="FND90" s="204"/>
      <c r="FNE90" s="199"/>
      <c r="FNF90" s="167"/>
      <c r="FNG90" s="199"/>
      <c r="FNH90" s="200"/>
      <c r="FNI90" s="201"/>
      <c r="FNJ90" s="202"/>
      <c r="FNK90" s="202"/>
      <c r="FNL90" s="202"/>
      <c r="FNM90" s="202"/>
      <c r="FNN90" s="203"/>
      <c r="FNO90" s="204"/>
      <c r="FNP90" s="204"/>
      <c r="FNQ90" s="204"/>
      <c r="FNR90" s="205"/>
      <c r="FNS90" s="206"/>
      <c r="FNT90" s="207"/>
      <c r="FNU90" s="207"/>
      <c r="FNV90" s="208"/>
      <c r="FNW90" s="209"/>
      <c r="FNX90" s="207"/>
      <c r="FNY90" s="210"/>
      <c r="FNZ90" s="209"/>
      <c r="FOA90" s="204"/>
      <c r="FOB90" s="204"/>
      <c r="FOC90" s="204"/>
      <c r="FOD90" s="199"/>
      <c r="FOE90" s="167"/>
      <c r="FOF90" s="199"/>
      <c r="FOG90" s="200"/>
      <c r="FOH90" s="201"/>
      <c r="FOI90" s="202"/>
      <c r="FOJ90" s="202"/>
      <c r="FOK90" s="202"/>
      <c r="FOL90" s="202"/>
      <c r="FOM90" s="203"/>
      <c r="FON90" s="204"/>
      <c r="FOO90" s="204"/>
      <c r="FOP90" s="204"/>
      <c r="FOQ90" s="205"/>
      <c r="FOR90" s="206"/>
      <c r="FOS90" s="207"/>
      <c r="FOT90" s="207"/>
      <c r="FOU90" s="208"/>
      <c r="FOV90" s="209"/>
      <c r="FOW90" s="207"/>
      <c r="FOX90" s="210"/>
      <c r="FOY90" s="209"/>
      <c r="FOZ90" s="204"/>
      <c r="FPA90" s="204"/>
      <c r="FPB90" s="204"/>
      <c r="FPC90" s="199"/>
      <c r="FPD90" s="167"/>
      <c r="FPE90" s="199"/>
      <c r="FPF90" s="200"/>
      <c r="FPG90" s="201"/>
      <c r="FPH90" s="202"/>
      <c r="FPI90" s="202"/>
      <c r="FPJ90" s="202"/>
      <c r="FPK90" s="202"/>
      <c r="FPL90" s="203"/>
      <c r="FPM90" s="204"/>
      <c r="FPN90" s="204"/>
      <c r="FPO90" s="204"/>
      <c r="FPP90" s="205"/>
      <c r="FPQ90" s="206"/>
      <c r="FPR90" s="207"/>
      <c r="FPS90" s="207"/>
      <c r="FPT90" s="208"/>
      <c r="FPU90" s="209"/>
      <c r="FPV90" s="207"/>
      <c r="FPW90" s="210"/>
      <c r="FPX90" s="209"/>
      <c r="FPY90" s="204"/>
      <c r="FPZ90" s="204"/>
      <c r="FQA90" s="204"/>
      <c r="FQB90" s="199"/>
      <c r="FQC90" s="167"/>
      <c r="FQD90" s="199"/>
      <c r="FQE90" s="200"/>
      <c r="FQF90" s="201"/>
      <c r="FQG90" s="202"/>
      <c r="FQH90" s="202"/>
      <c r="FQI90" s="202"/>
      <c r="FQJ90" s="202"/>
      <c r="FQK90" s="203"/>
      <c r="FQL90" s="204"/>
      <c r="FQM90" s="204"/>
      <c r="FQN90" s="204"/>
      <c r="FQO90" s="205"/>
      <c r="FQP90" s="206"/>
      <c r="FQQ90" s="207"/>
      <c r="FQR90" s="207"/>
      <c r="FQS90" s="208"/>
      <c r="FQT90" s="209"/>
      <c r="FQU90" s="207"/>
      <c r="FQV90" s="210"/>
      <c r="FQW90" s="209"/>
      <c r="FQX90" s="204"/>
      <c r="FQY90" s="204"/>
      <c r="FQZ90" s="204"/>
      <c r="FRA90" s="199"/>
      <c r="FRB90" s="167"/>
      <c r="FRC90" s="199"/>
      <c r="FRD90" s="200"/>
      <c r="FRE90" s="201"/>
      <c r="FRF90" s="202"/>
      <c r="FRG90" s="202"/>
      <c r="FRH90" s="202"/>
      <c r="FRI90" s="202"/>
      <c r="FRJ90" s="203"/>
      <c r="FRK90" s="204"/>
      <c r="FRL90" s="204"/>
      <c r="FRM90" s="204"/>
      <c r="FRN90" s="205"/>
      <c r="FRO90" s="206"/>
      <c r="FRP90" s="207"/>
      <c r="FRQ90" s="207"/>
      <c r="FRR90" s="208"/>
      <c r="FRS90" s="209"/>
      <c r="FRT90" s="207"/>
      <c r="FRU90" s="210"/>
      <c r="FRV90" s="209"/>
      <c r="FRW90" s="204"/>
      <c r="FRX90" s="204"/>
      <c r="FRY90" s="204"/>
      <c r="FRZ90" s="199"/>
      <c r="FSA90" s="167"/>
      <c r="FSB90" s="199"/>
      <c r="FSC90" s="200"/>
      <c r="FSD90" s="201"/>
      <c r="FSE90" s="202"/>
      <c r="FSF90" s="202"/>
      <c r="FSG90" s="202"/>
      <c r="FSH90" s="202"/>
      <c r="FSI90" s="203"/>
      <c r="FSJ90" s="204"/>
      <c r="FSK90" s="204"/>
      <c r="FSL90" s="204"/>
      <c r="FSM90" s="205"/>
      <c r="FSN90" s="206"/>
      <c r="FSO90" s="207"/>
      <c r="FSP90" s="207"/>
      <c r="FSQ90" s="208"/>
      <c r="FSR90" s="209"/>
      <c r="FSS90" s="207"/>
      <c r="FST90" s="210"/>
      <c r="FSU90" s="209"/>
      <c r="FSV90" s="204"/>
      <c r="FSW90" s="204"/>
      <c r="FSX90" s="204"/>
      <c r="FSY90" s="199"/>
      <c r="FSZ90" s="167"/>
      <c r="FTA90" s="199"/>
      <c r="FTB90" s="200"/>
      <c r="FTC90" s="201"/>
      <c r="FTD90" s="202"/>
      <c r="FTE90" s="202"/>
      <c r="FTF90" s="202"/>
      <c r="FTG90" s="202"/>
      <c r="FTH90" s="203"/>
      <c r="FTI90" s="204"/>
      <c r="FTJ90" s="204"/>
      <c r="FTK90" s="204"/>
      <c r="FTL90" s="205"/>
      <c r="FTM90" s="206"/>
      <c r="FTN90" s="207"/>
      <c r="FTO90" s="207"/>
      <c r="FTP90" s="208"/>
      <c r="FTQ90" s="209"/>
      <c r="FTR90" s="207"/>
      <c r="FTS90" s="210"/>
      <c r="FTT90" s="209"/>
      <c r="FTU90" s="204"/>
      <c r="FTV90" s="204"/>
      <c r="FTW90" s="204"/>
      <c r="FTX90" s="199"/>
      <c r="FTY90" s="167"/>
      <c r="FTZ90" s="199"/>
      <c r="FUA90" s="200"/>
      <c r="FUB90" s="201"/>
      <c r="FUC90" s="202"/>
      <c r="FUD90" s="202"/>
      <c r="FUE90" s="202"/>
      <c r="FUF90" s="202"/>
      <c r="FUG90" s="203"/>
      <c r="FUH90" s="204"/>
      <c r="FUI90" s="204"/>
      <c r="FUJ90" s="204"/>
      <c r="FUK90" s="205"/>
      <c r="FUL90" s="206"/>
      <c r="FUM90" s="207"/>
      <c r="FUN90" s="207"/>
      <c r="FUO90" s="208"/>
      <c r="FUP90" s="209"/>
      <c r="FUQ90" s="207"/>
      <c r="FUR90" s="210"/>
      <c r="FUS90" s="209"/>
      <c r="FUT90" s="204"/>
      <c r="FUU90" s="204"/>
      <c r="FUV90" s="204"/>
      <c r="FUW90" s="199"/>
      <c r="FUX90" s="167"/>
      <c r="FUY90" s="199"/>
      <c r="FUZ90" s="200"/>
      <c r="FVA90" s="201"/>
      <c r="FVB90" s="202"/>
      <c r="FVC90" s="202"/>
      <c r="FVD90" s="202"/>
      <c r="FVE90" s="202"/>
      <c r="FVF90" s="203"/>
      <c r="FVG90" s="204"/>
      <c r="FVH90" s="204"/>
      <c r="FVI90" s="204"/>
      <c r="FVJ90" s="205"/>
      <c r="FVK90" s="206"/>
      <c r="FVL90" s="207"/>
      <c r="FVM90" s="207"/>
      <c r="FVN90" s="208"/>
      <c r="FVO90" s="209"/>
      <c r="FVP90" s="207"/>
      <c r="FVQ90" s="210"/>
      <c r="FVR90" s="209"/>
      <c r="FVS90" s="204"/>
      <c r="FVT90" s="204"/>
      <c r="FVU90" s="204"/>
      <c r="FVV90" s="199"/>
      <c r="FVW90" s="167"/>
      <c r="FVX90" s="199"/>
      <c r="FVY90" s="200"/>
      <c r="FVZ90" s="201"/>
      <c r="FWA90" s="202"/>
      <c r="FWB90" s="202"/>
      <c r="FWC90" s="202"/>
      <c r="FWD90" s="202"/>
      <c r="FWE90" s="203"/>
      <c r="FWF90" s="204"/>
      <c r="FWG90" s="204"/>
      <c r="FWH90" s="204"/>
      <c r="FWI90" s="205"/>
      <c r="FWJ90" s="206"/>
      <c r="FWK90" s="207"/>
      <c r="FWL90" s="207"/>
      <c r="FWM90" s="208"/>
      <c r="FWN90" s="209"/>
      <c r="FWO90" s="207"/>
      <c r="FWP90" s="210"/>
      <c r="FWQ90" s="209"/>
      <c r="FWR90" s="204"/>
      <c r="FWS90" s="204"/>
      <c r="FWT90" s="204"/>
      <c r="FWU90" s="199"/>
      <c r="FWV90" s="167"/>
      <c r="FWW90" s="199"/>
      <c r="FWX90" s="200"/>
      <c r="FWY90" s="201"/>
      <c r="FWZ90" s="202"/>
      <c r="FXA90" s="202"/>
      <c r="FXB90" s="202"/>
      <c r="FXC90" s="202"/>
      <c r="FXD90" s="203"/>
      <c r="FXE90" s="204"/>
      <c r="FXF90" s="204"/>
      <c r="FXG90" s="204"/>
      <c r="FXH90" s="205"/>
      <c r="FXI90" s="206"/>
      <c r="FXJ90" s="207"/>
      <c r="FXK90" s="207"/>
      <c r="FXL90" s="208"/>
      <c r="FXM90" s="209"/>
      <c r="FXN90" s="207"/>
      <c r="FXO90" s="210"/>
      <c r="FXP90" s="209"/>
      <c r="FXQ90" s="204"/>
      <c r="FXR90" s="204"/>
      <c r="FXS90" s="204"/>
      <c r="FXT90" s="199"/>
      <c r="FXU90" s="167"/>
      <c r="FXV90" s="199"/>
      <c r="FXW90" s="200"/>
      <c r="FXX90" s="201"/>
      <c r="FXY90" s="202"/>
      <c r="FXZ90" s="202"/>
      <c r="FYA90" s="202"/>
      <c r="FYB90" s="202"/>
      <c r="FYC90" s="203"/>
      <c r="FYD90" s="204"/>
      <c r="FYE90" s="204"/>
      <c r="FYF90" s="204"/>
      <c r="FYG90" s="205"/>
      <c r="FYH90" s="206"/>
      <c r="FYI90" s="207"/>
      <c r="FYJ90" s="207"/>
      <c r="FYK90" s="208"/>
      <c r="FYL90" s="209"/>
      <c r="FYM90" s="207"/>
      <c r="FYN90" s="210"/>
      <c r="FYO90" s="209"/>
      <c r="FYP90" s="204"/>
      <c r="FYQ90" s="204"/>
      <c r="FYR90" s="204"/>
      <c r="FYS90" s="199"/>
      <c r="FYT90" s="167"/>
      <c r="FYU90" s="199"/>
      <c r="FYV90" s="200"/>
      <c r="FYW90" s="201"/>
      <c r="FYX90" s="202"/>
      <c r="FYY90" s="202"/>
      <c r="FYZ90" s="202"/>
      <c r="FZA90" s="202"/>
      <c r="FZB90" s="203"/>
      <c r="FZC90" s="204"/>
      <c r="FZD90" s="204"/>
      <c r="FZE90" s="204"/>
      <c r="FZF90" s="205"/>
      <c r="FZG90" s="206"/>
      <c r="FZH90" s="207"/>
      <c r="FZI90" s="207"/>
      <c r="FZJ90" s="208"/>
      <c r="FZK90" s="209"/>
      <c r="FZL90" s="207"/>
      <c r="FZM90" s="210"/>
      <c r="FZN90" s="209"/>
      <c r="FZO90" s="204"/>
      <c r="FZP90" s="204"/>
      <c r="FZQ90" s="204"/>
      <c r="FZR90" s="199"/>
      <c r="FZS90" s="167"/>
      <c r="FZT90" s="199"/>
      <c r="FZU90" s="200"/>
      <c r="FZV90" s="201"/>
      <c r="FZW90" s="202"/>
      <c r="FZX90" s="202"/>
      <c r="FZY90" s="202"/>
      <c r="FZZ90" s="202"/>
      <c r="GAA90" s="203"/>
      <c r="GAB90" s="204"/>
      <c r="GAC90" s="204"/>
      <c r="GAD90" s="204"/>
      <c r="GAE90" s="205"/>
      <c r="GAF90" s="206"/>
      <c r="GAG90" s="207"/>
      <c r="GAH90" s="207"/>
      <c r="GAI90" s="208"/>
      <c r="GAJ90" s="209"/>
      <c r="GAK90" s="207"/>
      <c r="GAL90" s="210"/>
      <c r="GAM90" s="209"/>
      <c r="GAN90" s="204"/>
      <c r="GAO90" s="204"/>
      <c r="GAP90" s="204"/>
      <c r="GAQ90" s="199"/>
      <c r="GAR90" s="167"/>
      <c r="GAS90" s="199"/>
      <c r="GAT90" s="200"/>
      <c r="GAU90" s="201"/>
      <c r="GAV90" s="202"/>
      <c r="GAW90" s="202"/>
      <c r="GAX90" s="202"/>
      <c r="GAY90" s="202"/>
      <c r="GAZ90" s="203"/>
      <c r="GBA90" s="204"/>
      <c r="GBB90" s="204"/>
      <c r="GBC90" s="204"/>
      <c r="GBD90" s="205"/>
      <c r="GBE90" s="206"/>
      <c r="GBF90" s="207"/>
      <c r="GBG90" s="207"/>
      <c r="GBH90" s="208"/>
      <c r="GBI90" s="209"/>
      <c r="GBJ90" s="207"/>
      <c r="GBK90" s="210"/>
      <c r="GBL90" s="209"/>
      <c r="GBM90" s="204"/>
      <c r="GBN90" s="204"/>
      <c r="GBO90" s="204"/>
      <c r="GBP90" s="199"/>
      <c r="GBQ90" s="167"/>
      <c r="GBR90" s="199"/>
      <c r="GBS90" s="200"/>
      <c r="GBT90" s="201"/>
      <c r="GBU90" s="202"/>
      <c r="GBV90" s="202"/>
      <c r="GBW90" s="202"/>
      <c r="GBX90" s="202"/>
      <c r="GBY90" s="203"/>
      <c r="GBZ90" s="204"/>
      <c r="GCA90" s="204"/>
      <c r="GCB90" s="204"/>
      <c r="GCC90" s="205"/>
      <c r="GCD90" s="206"/>
      <c r="GCE90" s="207"/>
      <c r="GCF90" s="207"/>
      <c r="GCG90" s="208"/>
      <c r="GCH90" s="209"/>
      <c r="GCI90" s="207"/>
      <c r="GCJ90" s="210"/>
      <c r="GCK90" s="209"/>
      <c r="GCL90" s="204"/>
      <c r="GCM90" s="204"/>
      <c r="GCN90" s="204"/>
      <c r="GCO90" s="199"/>
      <c r="GCP90" s="167"/>
      <c r="GCQ90" s="199"/>
      <c r="GCR90" s="200"/>
      <c r="GCS90" s="201"/>
      <c r="GCT90" s="202"/>
      <c r="GCU90" s="202"/>
      <c r="GCV90" s="202"/>
      <c r="GCW90" s="202"/>
      <c r="GCX90" s="203"/>
      <c r="GCY90" s="204"/>
      <c r="GCZ90" s="204"/>
      <c r="GDA90" s="204"/>
      <c r="GDB90" s="205"/>
      <c r="GDC90" s="206"/>
      <c r="GDD90" s="207"/>
      <c r="GDE90" s="207"/>
      <c r="GDF90" s="208"/>
      <c r="GDG90" s="209"/>
      <c r="GDH90" s="207"/>
      <c r="GDI90" s="210"/>
      <c r="GDJ90" s="209"/>
      <c r="GDK90" s="204"/>
      <c r="GDL90" s="204"/>
      <c r="GDM90" s="204"/>
      <c r="GDN90" s="199"/>
      <c r="GDO90" s="167"/>
      <c r="GDP90" s="199"/>
      <c r="GDQ90" s="200"/>
      <c r="GDR90" s="201"/>
      <c r="GDS90" s="202"/>
      <c r="GDT90" s="202"/>
      <c r="GDU90" s="202"/>
      <c r="GDV90" s="202"/>
      <c r="GDW90" s="203"/>
      <c r="GDX90" s="204"/>
      <c r="GDY90" s="204"/>
      <c r="GDZ90" s="204"/>
      <c r="GEA90" s="205"/>
      <c r="GEB90" s="206"/>
      <c r="GEC90" s="207"/>
      <c r="GED90" s="207"/>
      <c r="GEE90" s="208"/>
      <c r="GEF90" s="209"/>
      <c r="GEG90" s="207"/>
      <c r="GEH90" s="210"/>
      <c r="GEI90" s="209"/>
      <c r="GEJ90" s="204"/>
      <c r="GEK90" s="204"/>
      <c r="GEL90" s="204"/>
      <c r="GEM90" s="199"/>
      <c r="GEN90" s="167"/>
      <c r="GEO90" s="199"/>
      <c r="GEP90" s="200"/>
      <c r="GEQ90" s="201"/>
      <c r="GER90" s="202"/>
      <c r="GES90" s="202"/>
      <c r="GET90" s="202"/>
      <c r="GEU90" s="202"/>
      <c r="GEV90" s="203"/>
      <c r="GEW90" s="204"/>
      <c r="GEX90" s="204"/>
      <c r="GEY90" s="204"/>
      <c r="GEZ90" s="205"/>
      <c r="GFA90" s="206"/>
      <c r="GFB90" s="207"/>
      <c r="GFC90" s="207"/>
      <c r="GFD90" s="208"/>
      <c r="GFE90" s="209"/>
      <c r="GFF90" s="207"/>
      <c r="GFG90" s="210"/>
      <c r="GFH90" s="209"/>
      <c r="GFI90" s="204"/>
      <c r="GFJ90" s="204"/>
      <c r="GFK90" s="204"/>
      <c r="GFL90" s="199"/>
      <c r="GFM90" s="167"/>
      <c r="GFN90" s="199"/>
      <c r="GFO90" s="200"/>
      <c r="GFP90" s="201"/>
      <c r="GFQ90" s="202"/>
      <c r="GFR90" s="202"/>
      <c r="GFS90" s="202"/>
      <c r="GFT90" s="202"/>
      <c r="GFU90" s="203"/>
      <c r="GFV90" s="204"/>
      <c r="GFW90" s="204"/>
      <c r="GFX90" s="204"/>
      <c r="GFY90" s="205"/>
      <c r="GFZ90" s="206"/>
      <c r="GGA90" s="207"/>
      <c r="GGB90" s="207"/>
      <c r="GGC90" s="208"/>
      <c r="GGD90" s="209"/>
      <c r="GGE90" s="207"/>
      <c r="GGF90" s="210"/>
      <c r="GGG90" s="209"/>
      <c r="GGH90" s="204"/>
      <c r="GGI90" s="204"/>
      <c r="GGJ90" s="204"/>
      <c r="GGK90" s="199"/>
      <c r="GGL90" s="167"/>
      <c r="GGM90" s="199"/>
      <c r="GGN90" s="200"/>
      <c r="GGO90" s="201"/>
      <c r="GGP90" s="202"/>
      <c r="GGQ90" s="202"/>
      <c r="GGR90" s="202"/>
      <c r="GGS90" s="202"/>
      <c r="GGT90" s="203"/>
      <c r="GGU90" s="204"/>
      <c r="GGV90" s="204"/>
      <c r="GGW90" s="204"/>
      <c r="GGX90" s="205"/>
      <c r="GGY90" s="206"/>
      <c r="GGZ90" s="207"/>
      <c r="GHA90" s="207"/>
      <c r="GHB90" s="208"/>
      <c r="GHC90" s="209"/>
      <c r="GHD90" s="207"/>
      <c r="GHE90" s="210"/>
      <c r="GHF90" s="209"/>
      <c r="GHG90" s="204"/>
      <c r="GHH90" s="204"/>
      <c r="GHI90" s="204"/>
      <c r="GHJ90" s="199"/>
      <c r="GHK90" s="167"/>
      <c r="GHL90" s="199"/>
      <c r="GHM90" s="200"/>
      <c r="GHN90" s="201"/>
      <c r="GHO90" s="202"/>
      <c r="GHP90" s="202"/>
      <c r="GHQ90" s="202"/>
      <c r="GHR90" s="202"/>
      <c r="GHS90" s="203"/>
      <c r="GHT90" s="204"/>
      <c r="GHU90" s="204"/>
      <c r="GHV90" s="204"/>
      <c r="GHW90" s="205"/>
      <c r="GHX90" s="206"/>
      <c r="GHY90" s="207"/>
      <c r="GHZ90" s="207"/>
      <c r="GIA90" s="208"/>
      <c r="GIB90" s="209"/>
      <c r="GIC90" s="207"/>
      <c r="GID90" s="210"/>
      <c r="GIE90" s="209"/>
      <c r="GIF90" s="204"/>
      <c r="GIG90" s="204"/>
      <c r="GIH90" s="204"/>
      <c r="GII90" s="199"/>
      <c r="GIJ90" s="167"/>
      <c r="GIK90" s="199"/>
      <c r="GIL90" s="200"/>
      <c r="GIM90" s="201"/>
      <c r="GIN90" s="202"/>
      <c r="GIO90" s="202"/>
      <c r="GIP90" s="202"/>
      <c r="GIQ90" s="202"/>
      <c r="GIR90" s="203"/>
      <c r="GIS90" s="204"/>
      <c r="GIT90" s="204"/>
      <c r="GIU90" s="204"/>
      <c r="GIV90" s="205"/>
      <c r="GIW90" s="206"/>
      <c r="GIX90" s="207"/>
      <c r="GIY90" s="207"/>
      <c r="GIZ90" s="208"/>
      <c r="GJA90" s="209"/>
      <c r="GJB90" s="207"/>
      <c r="GJC90" s="210"/>
      <c r="GJD90" s="209"/>
      <c r="GJE90" s="204"/>
      <c r="GJF90" s="204"/>
      <c r="GJG90" s="204"/>
      <c r="GJH90" s="199"/>
      <c r="GJI90" s="167"/>
      <c r="GJJ90" s="199"/>
      <c r="GJK90" s="200"/>
      <c r="GJL90" s="201"/>
      <c r="GJM90" s="202"/>
      <c r="GJN90" s="202"/>
      <c r="GJO90" s="202"/>
      <c r="GJP90" s="202"/>
      <c r="GJQ90" s="203"/>
      <c r="GJR90" s="204"/>
      <c r="GJS90" s="204"/>
      <c r="GJT90" s="204"/>
      <c r="GJU90" s="205"/>
      <c r="GJV90" s="206"/>
      <c r="GJW90" s="207"/>
      <c r="GJX90" s="207"/>
      <c r="GJY90" s="208"/>
      <c r="GJZ90" s="209"/>
      <c r="GKA90" s="207"/>
      <c r="GKB90" s="210"/>
      <c r="GKC90" s="209"/>
      <c r="GKD90" s="204"/>
      <c r="GKE90" s="204"/>
      <c r="GKF90" s="204"/>
      <c r="GKG90" s="199"/>
      <c r="GKH90" s="167"/>
      <c r="GKI90" s="199"/>
      <c r="GKJ90" s="200"/>
      <c r="GKK90" s="201"/>
      <c r="GKL90" s="202"/>
      <c r="GKM90" s="202"/>
      <c r="GKN90" s="202"/>
      <c r="GKO90" s="202"/>
      <c r="GKP90" s="203"/>
      <c r="GKQ90" s="204"/>
      <c r="GKR90" s="204"/>
      <c r="GKS90" s="204"/>
      <c r="GKT90" s="205"/>
      <c r="GKU90" s="206"/>
      <c r="GKV90" s="207"/>
      <c r="GKW90" s="207"/>
      <c r="GKX90" s="208"/>
      <c r="GKY90" s="209"/>
      <c r="GKZ90" s="207"/>
      <c r="GLA90" s="210"/>
      <c r="GLB90" s="209"/>
      <c r="GLC90" s="204"/>
      <c r="GLD90" s="204"/>
      <c r="GLE90" s="204"/>
      <c r="GLF90" s="199"/>
      <c r="GLG90" s="167"/>
      <c r="GLH90" s="199"/>
      <c r="GLI90" s="200"/>
      <c r="GLJ90" s="201"/>
      <c r="GLK90" s="202"/>
      <c r="GLL90" s="202"/>
      <c r="GLM90" s="202"/>
      <c r="GLN90" s="202"/>
      <c r="GLO90" s="203"/>
      <c r="GLP90" s="204"/>
      <c r="GLQ90" s="204"/>
      <c r="GLR90" s="204"/>
      <c r="GLS90" s="205"/>
      <c r="GLT90" s="206"/>
      <c r="GLU90" s="207"/>
      <c r="GLV90" s="207"/>
      <c r="GLW90" s="208"/>
      <c r="GLX90" s="209"/>
      <c r="GLY90" s="207"/>
      <c r="GLZ90" s="210"/>
      <c r="GMA90" s="209"/>
      <c r="GMB90" s="204"/>
      <c r="GMC90" s="204"/>
      <c r="GMD90" s="204"/>
      <c r="GME90" s="199"/>
      <c r="GMF90" s="167"/>
      <c r="GMG90" s="199"/>
      <c r="GMH90" s="200"/>
      <c r="GMI90" s="201"/>
      <c r="GMJ90" s="202"/>
      <c r="GMK90" s="202"/>
      <c r="GML90" s="202"/>
      <c r="GMM90" s="202"/>
      <c r="GMN90" s="203"/>
      <c r="GMO90" s="204"/>
      <c r="GMP90" s="204"/>
      <c r="GMQ90" s="204"/>
      <c r="GMR90" s="205"/>
      <c r="GMS90" s="206"/>
      <c r="GMT90" s="207"/>
      <c r="GMU90" s="207"/>
      <c r="GMV90" s="208"/>
      <c r="GMW90" s="209"/>
      <c r="GMX90" s="207"/>
      <c r="GMY90" s="210"/>
      <c r="GMZ90" s="209"/>
      <c r="GNA90" s="204"/>
      <c r="GNB90" s="204"/>
      <c r="GNC90" s="204"/>
      <c r="GND90" s="199"/>
      <c r="GNE90" s="167"/>
      <c r="GNF90" s="199"/>
      <c r="GNG90" s="200"/>
      <c r="GNH90" s="201"/>
      <c r="GNI90" s="202"/>
      <c r="GNJ90" s="202"/>
      <c r="GNK90" s="202"/>
      <c r="GNL90" s="202"/>
      <c r="GNM90" s="203"/>
      <c r="GNN90" s="204"/>
      <c r="GNO90" s="204"/>
      <c r="GNP90" s="204"/>
      <c r="GNQ90" s="205"/>
      <c r="GNR90" s="206"/>
      <c r="GNS90" s="207"/>
      <c r="GNT90" s="207"/>
      <c r="GNU90" s="208"/>
      <c r="GNV90" s="209"/>
      <c r="GNW90" s="207"/>
      <c r="GNX90" s="210"/>
      <c r="GNY90" s="209"/>
      <c r="GNZ90" s="204"/>
      <c r="GOA90" s="204"/>
      <c r="GOB90" s="204"/>
      <c r="GOC90" s="199"/>
      <c r="GOD90" s="167"/>
      <c r="GOE90" s="199"/>
      <c r="GOF90" s="200"/>
      <c r="GOG90" s="201"/>
      <c r="GOH90" s="202"/>
      <c r="GOI90" s="202"/>
      <c r="GOJ90" s="202"/>
      <c r="GOK90" s="202"/>
      <c r="GOL90" s="203"/>
      <c r="GOM90" s="204"/>
      <c r="GON90" s="204"/>
      <c r="GOO90" s="204"/>
      <c r="GOP90" s="205"/>
      <c r="GOQ90" s="206"/>
      <c r="GOR90" s="207"/>
      <c r="GOS90" s="207"/>
      <c r="GOT90" s="208"/>
      <c r="GOU90" s="209"/>
      <c r="GOV90" s="207"/>
      <c r="GOW90" s="210"/>
      <c r="GOX90" s="209"/>
      <c r="GOY90" s="204"/>
      <c r="GOZ90" s="204"/>
      <c r="GPA90" s="204"/>
      <c r="GPB90" s="199"/>
      <c r="GPC90" s="167"/>
      <c r="GPD90" s="199"/>
      <c r="GPE90" s="200"/>
      <c r="GPF90" s="201"/>
      <c r="GPG90" s="202"/>
      <c r="GPH90" s="202"/>
      <c r="GPI90" s="202"/>
      <c r="GPJ90" s="202"/>
      <c r="GPK90" s="203"/>
      <c r="GPL90" s="204"/>
      <c r="GPM90" s="204"/>
      <c r="GPN90" s="204"/>
      <c r="GPO90" s="205"/>
      <c r="GPP90" s="206"/>
      <c r="GPQ90" s="207"/>
      <c r="GPR90" s="207"/>
      <c r="GPS90" s="208"/>
      <c r="GPT90" s="209"/>
      <c r="GPU90" s="207"/>
      <c r="GPV90" s="210"/>
      <c r="GPW90" s="209"/>
      <c r="GPX90" s="204"/>
      <c r="GPY90" s="204"/>
      <c r="GPZ90" s="204"/>
      <c r="GQA90" s="199"/>
      <c r="GQB90" s="167"/>
      <c r="GQC90" s="199"/>
      <c r="GQD90" s="200"/>
      <c r="GQE90" s="201"/>
      <c r="GQF90" s="202"/>
      <c r="GQG90" s="202"/>
      <c r="GQH90" s="202"/>
      <c r="GQI90" s="202"/>
      <c r="GQJ90" s="203"/>
      <c r="GQK90" s="204"/>
      <c r="GQL90" s="204"/>
      <c r="GQM90" s="204"/>
      <c r="GQN90" s="205"/>
      <c r="GQO90" s="206"/>
      <c r="GQP90" s="207"/>
      <c r="GQQ90" s="207"/>
      <c r="GQR90" s="208"/>
      <c r="GQS90" s="209"/>
      <c r="GQT90" s="207"/>
      <c r="GQU90" s="210"/>
      <c r="GQV90" s="209"/>
      <c r="GQW90" s="204"/>
      <c r="GQX90" s="204"/>
      <c r="GQY90" s="204"/>
      <c r="GQZ90" s="199"/>
      <c r="GRA90" s="167"/>
      <c r="GRB90" s="199"/>
      <c r="GRC90" s="200"/>
      <c r="GRD90" s="201"/>
      <c r="GRE90" s="202"/>
      <c r="GRF90" s="202"/>
      <c r="GRG90" s="202"/>
      <c r="GRH90" s="202"/>
      <c r="GRI90" s="203"/>
      <c r="GRJ90" s="204"/>
      <c r="GRK90" s="204"/>
      <c r="GRL90" s="204"/>
      <c r="GRM90" s="205"/>
      <c r="GRN90" s="206"/>
      <c r="GRO90" s="207"/>
      <c r="GRP90" s="207"/>
      <c r="GRQ90" s="208"/>
      <c r="GRR90" s="209"/>
      <c r="GRS90" s="207"/>
      <c r="GRT90" s="210"/>
      <c r="GRU90" s="209"/>
      <c r="GRV90" s="204"/>
      <c r="GRW90" s="204"/>
      <c r="GRX90" s="204"/>
      <c r="GRY90" s="199"/>
      <c r="GRZ90" s="167"/>
      <c r="GSA90" s="199"/>
      <c r="GSB90" s="200"/>
      <c r="GSC90" s="201"/>
      <c r="GSD90" s="202"/>
      <c r="GSE90" s="202"/>
      <c r="GSF90" s="202"/>
      <c r="GSG90" s="202"/>
      <c r="GSH90" s="203"/>
      <c r="GSI90" s="204"/>
      <c r="GSJ90" s="204"/>
      <c r="GSK90" s="204"/>
      <c r="GSL90" s="205"/>
      <c r="GSM90" s="206"/>
      <c r="GSN90" s="207"/>
      <c r="GSO90" s="207"/>
      <c r="GSP90" s="208"/>
      <c r="GSQ90" s="209"/>
      <c r="GSR90" s="207"/>
      <c r="GSS90" s="210"/>
      <c r="GST90" s="209"/>
      <c r="GSU90" s="204"/>
      <c r="GSV90" s="204"/>
      <c r="GSW90" s="204"/>
      <c r="GSX90" s="199"/>
      <c r="GSY90" s="167"/>
      <c r="GSZ90" s="199"/>
      <c r="GTA90" s="200"/>
      <c r="GTB90" s="201"/>
      <c r="GTC90" s="202"/>
      <c r="GTD90" s="202"/>
      <c r="GTE90" s="202"/>
      <c r="GTF90" s="202"/>
      <c r="GTG90" s="203"/>
      <c r="GTH90" s="204"/>
      <c r="GTI90" s="204"/>
      <c r="GTJ90" s="204"/>
      <c r="GTK90" s="205"/>
      <c r="GTL90" s="206"/>
      <c r="GTM90" s="207"/>
      <c r="GTN90" s="207"/>
      <c r="GTO90" s="208"/>
      <c r="GTP90" s="209"/>
      <c r="GTQ90" s="207"/>
      <c r="GTR90" s="210"/>
      <c r="GTS90" s="209"/>
      <c r="GTT90" s="204"/>
      <c r="GTU90" s="204"/>
      <c r="GTV90" s="204"/>
      <c r="GTW90" s="199"/>
      <c r="GTX90" s="167"/>
      <c r="GTY90" s="199"/>
      <c r="GTZ90" s="200"/>
      <c r="GUA90" s="201"/>
      <c r="GUB90" s="202"/>
      <c r="GUC90" s="202"/>
      <c r="GUD90" s="202"/>
      <c r="GUE90" s="202"/>
      <c r="GUF90" s="203"/>
      <c r="GUG90" s="204"/>
      <c r="GUH90" s="204"/>
      <c r="GUI90" s="204"/>
      <c r="GUJ90" s="205"/>
      <c r="GUK90" s="206"/>
      <c r="GUL90" s="207"/>
      <c r="GUM90" s="207"/>
      <c r="GUN90" s="208"/>
      <c r="GUO90" s="209"/>
      <c r="GUP90" s="207"/>
      <c r="GUQ90" s="210"/>
      <c r="GUR90" s="209"/>
      <c r="GUS90" s="204"/>
      <c r="GUT90" s="204"/>
      <c r="GUU90" s="204"/>
      <c r="GUV90" s="199"/>
      <c r="GUW90" s="167"/>
      <c r="GUX90" s="199"/>
      <c r="GUY90" s="200"/>
      <c r="GUZ90" s="201"/>
      <c r="GVA90" s="202"/>
      <c r="GVB90" s="202"/>
      <c r="GVC90" s="202"/>
      <c r="GVD90" s="202"/>
      <c r="GVE90" s="203"/>
      <c r="GVF90" s="204"/>
      <c r="GVG90" s="204"/>
      <c r="GVH90" s="204"/>
      <c r="GVI90" s="205"/>
      <c r="GVJ90" s="206"/>
      <c r="GVK90" s="207"/>
      <c r="GVL90" s="207"/>
      <c r="GVM90" s="208"/>
      <c r="GVN90" s="209"/>
      <c r="GVO90" s="207"/>
      <c r="GVP90" s="210"/>
      <c r="GVQ90" s="209"/>
      <c r="GVR90" s="204"/>
      <c r="GVS90" s="204"/>
      <c r="GVT90" s="204"/>
      <c r="GVU90" s="199"/>
      <c r="GVV90" s="167"/>
      <c r="GVW90" s="199"/>
      <c r="GVX90" s="200"/>
      <c r="GVY90" s="201"/>
      <c r="GVZ90" s="202"/>
      <c r="GWA90" s="202"/>
      <c r="GWB90" s="202"/>
      <c r="GWC90" s="202"/>
      <c r="GWD90" s="203"/>
      <c r="GWE90" s="204"/>
      <c r="GWF90" s="204"/>
      <c r="GWG90" s="204"/>
      <c r="GWH90" s="205"/>
      <c r="GWI90" s="206"/>
      <c r="GWJ90" s="207"/>
      <c r="GWK90" s="207"/>
      <c r="GWL90" s="208"/>
      <c r="GWM90" s="209"/>
      <c r="GWN90" s="207"/>
      <c r="GWO90" s="210"/>
      <c r="GWP90" s="209"/>
      <c r="GWQ90" s="204"/>
      <c r="GWR90" s="204"/>
      <c r="GWS90" s="204"/>
      <c r="GWT90" s="199"/>
      <c r="GWU90" s="167"/>
      <c r="GWV90" s="199"/>
      <c r="GWW90" s="200"/>
      <c r="GWX90" s="201"/>
      <c r="GWY90" s="202"/>
      <c r="GWZ90" s="202"/>
      <c r="GXA90" s="202"/>
      <c r="GXB90" s="202"/>
      <c r="GXC90" s="203"/>
      <c r="GXD90" s="204"/>
      <c r="GXE90" s="204"/>
      <c r="GXF90" s="204"/>
      <c r="GXG90" s="205"/>
      <c r="GXH90" s="206"/>
      <c r="GXI90" s="207"/>
      <c r="GXJ90" s="207"/>
      <c r="GXK90" s="208"/>
      <c r="GXL90" s="209"/>
      <c r="GXM90" s="207"/>
      <c r="GXN90" s="210"/>
      <c r="GXO90" s="209"/>
      <c r="GXP90" s="204"/>
      <c r="GXQ90" s="204"/>
      <c r="GXR90" s="204"/>
      <c r="GXS90" s="199"/>
      <c r="GXT90" s="167"/>
      <c r="GXU90" s="199"/>
      <c r="GXV90" s="200"/>
      <c r="GXW90" s="201"/>
      <c r="GXX90" s="202"/>
      <c r="GXY90" s="202"/>
      <c r="GXZ90" s="202"/>
      <c r="GYA90" s="202"/>
      <c r="GYB90" s="203"/>
      <c r="GYC90" s="204"/>
      <c r="GYD90" s="204"/>
      <c r="GYE90" s="204"/>
      <c r="GYF90" s="205"/>
      <c r="GYG90" s="206"/>
      <c r="GYH90" s="207"/>
      <c r="GYI90" s="207"/>
      <c r="GYJ90" s="208"/>
      <c r="GYK90" s="209"/>
      <c r="GYL90" s="207"/>
      <c r="GYM90" s="210"/>
      <c r="GYN90" s="209"/>
      <c r="GYO90" s="204"/>
      <c r="GYP90" s="204"/>
      <c r="GYQ90" s="204"/>
      <c r="GYR90" s="199"/>
      <c r="GYS90" s="167"/>
      <c r="GYT90" s="199"/>
      <c r="GYU90" s="200"/>
      <c r="GYV90" s="201"/>
      <c r="GYW90" s="202"/>
      <c r="GYX90" s="202"/>
      <c r="GYY90" s="202"/>
      <c r="GYZ90" s="202"/>
      <c r="GZA90" s="203"/>
      <c r="GZB90" s="204"/>
      <c r="GZC90" s="204"/>
      <c r="GZD90" s="204"/>
      <c r="GZE90" s="205"/>
      <c r="GZF90" s="206"/>
      <c r="GZG90" s="207"/>
      <c r="GZH90" s="207"/>
      <c r="GZI90" s="208"/>
      <c r="GZJ90" s="209"/>
      <c r="GZK90" s="207"/>
      <c r="GZL90" s="210"/>
      <c r="GZM90" s="209"/>
      <c r="GZN90" s="204"/>
      <c r="GZO90" s="204"/>
      <c r="GZP90" s="204"/>
      <c r="GZQ90" s="199"/>
      <c r="GZR90" s="167"/>
      <c r="GZS90" s="199"/>
      <c r="GZT90" s="200"/>
      <c r="GZU90" s="201"/>
      <c r="GZV90" s="202"/>
      <c r="GZW90" s="202"/>
      <c r="GZX90" s="202"/>
      <c r="GZY90" s="202"/>
      <c r="GZZ90" s="203"/>
      <c r="HAA90" s="204"/>
      <c r="HAB90" s="204"/>
      <c r="HAC90" s="204"/>
      <c r="HAD90" s="205"/>
      <c r="HAE90" s="206"/>
      <c r="HAF90" s="207"/>
      <c r="HAG90" s="207"/>
      <c r="HAH90" s="208"/>
      <c r="HAI90" s="209"/>
      <c r="HAJ90" s="207"/>
      <c r="HAK90" s="210"/>
      <c r="HAL90" s="209"/>
      <c r="HAM90" s="204"/>
      <c r="HAN90" s="204"/>
      <c r="HAO90" s="204"/>
      <c r="HAP90" s="199"/>
      <c r="HAQ90" s="167"/>
      <c r="HAR90" s="199"/>
      <c r="HAS90" s="200"/>
      <c r="HAT90" s="201"/>
      <c r="HAU90" s="202"/>
      <c r="HAV90" s="202"/>
      <c r="HAW90" s="202"/>
      <c r="HAX90" s="202"/>
      <c r="HAY90" s="203"/>
      <c r="HAZ90" s="204"/>
      <c r="HBA90" s="204"/>
      <c r="HBB90" s="204"/>
      <c r="HBC90" s="205"/>
      <c r="HBD90" s="206"/>
      <c r="HBE90" s="207"/>
      <c r="HBF90" s="207"/>
      <c r="HBG90" s="208"/>
      <c r="HBH90" s="209"/>
      <c r="HBI90" s="207"/>
      <c r="HBJ90" s="210"/>
      <c r="HBK90" s="209"/>
      <c r="HBL90" s="204"/>
      <c r="HBM90" s="204"/>
      <c r="HBN90" s="204"/>
      <c r="HBO90" s="199"/>
      <c r="HBP90" s="167"/>
      <c r="HBQ90" s="199"/>
      <c r="HBR90" s="200"/>
      <c r="HBS90" s="201"/>
      <c r="HBT90" s="202"/>
      <c r="HBU90" s="202"/>
      <c r="HBV90" s="202"/>
      <c r="HBW90" s="202"/>
      <c r="HBX90" s="203"/>
      <c r="HBY90" s="204"/>
      <c r="HBZ90" s="204"/>
      <c r="HCA90" s="204"/>
      <c r="HCB90" s="205"/>
      <c r="HCC90" s="206"/>
      <c r="HCD90" s="207"/>
      <c r="HCE90" s="207"/>
      <c r="HCF90" s="208"/>
      <c r="HCG90" s="209"/>
      <c r="HCH90" s="207"/>
      <c r="HCI90" s="210"/>
      <c r="HCJ90" s="209"/>
      <c r="HCK90" s="204"/>
      <c r="HCL90" s="204"/>
      <c r="HCM90" s="204"/>
      <c r="HCN90" s="199"/>
      <c r="HCO90" s="167"/>
      <c r="HCP90" s="199"/>
      <c r="HCQ90" s="200"/>
      <c r="HCR90" s="201"/>
      <c r="HCS90" s="202"/>
      <c r="HCT90" s="202"/>
      <c r="HCU90" s="202"/>
      <c r="HCV90" s="202"/>
      <c r="HCW90" s="203"/>
      <c r="HCX90" s="204"/>
      <c r="HCY90" s="204"/>
      <c r="HCZ90" s="204"/>
      <c r="HDA90" s="205"/>
      <c r="HDB90" s="206"/>
      <c r="HDC90" s="207"/>
      <c r="HDD90" s="207"/>
      <c r="HDE90" s="208"/>
      <c r="HDF90" s="209"/>
      <c r="HDG90" s="207"/>
      <c r="HDH90" s="210"/>
      <c r="HDI90" s="209"/>
      <c r="HDJ90" s="204"/>
      <c r="HDK90" s="204"/>
      <c r="HDL90" s="204"/>
      <c r="HDM90" s="199"/>
      <c r="HDN90" s="167"/>
      <c r="HDO90" s="199"/>
      <c r="HDP90" s="200"/>
      <c r="HDQ90" s="201"/>
      <c r="HDR90" s="202"/>
      <c r="HDS90" s="202"/>
      <c r="HDT90" s="202"/>
      <c r="HDU90" s="202"/>
      <c r="HDV90" s="203"/>
      <c r="HDW90" s="204"/>
      <c r="HDX90" s="204"/>
      <c r="HDY90" s="204"/>
      <c r="HDZ90" s="205"/>
      <c r="HEA90" s="206"/>
      <c r="HEB90" s="207"/>
      <c r="HEC90" s="207"/>
      <c r="HED90" s="208"/>
      <c r="HEE90" s="209"/>
      <c r="HEF90" s="207"/>
      <c r="HEG90" s="210"/>
      <c r="HEH90" s="209"/>
      <c r="HEI90" s="204"/>
      <c r="HEJ90" s="204"/>
      <c r="HEK90" s="204"/>
      <c r="HEL90" s="199"/>
      <c r="HEM90" s="167"/>
      <c r="HEN90" s="199"/>
      <c r="HEO90" s="200"/>
      <c r="HEP90" s="201"/>
      <c r="HEQ90" s="202"/>
      <c r="HER90" s="202"/>
      <c r="HES90" s="202"/>
      <c r="HET90" s="202"/>
      <c r="HEU90" s="203"/>
      <c r="HEV90" s="204"/>
      <c r="HEW90" s="204"/>
      <c r="HEX90" s="204"/>
      <c r="HEY90" s="205"/>
      <c r="HEZ90" s="206"/>
      <c r="HFA90" s="207"/>
      <c r="HFB90" s="207"/>
      <c r="HFC90" s="208"/>
      <c r="HFD90" s="209"/>
      <c r="HFE90" s="207"/>
      <c r="HFF90" s="210"/>
      <c r="HFG90" s="209"/>
      <c r="HFH90" s="204"/>
      <c r="HFI90" s="204"/>
      <c r="HFJ90" s="204"/>
      <c r="HFK90" s="199"/>
      <c r="HFL90" s="167"/>
      <c r="HFM90" s="199"/>
      <c r="HFN90" s="200"/>
      <c r="HFO90" s="201"/>
      <c r="HFP90" s="202"/>
      <c r="HFQ90" s="202"/>
      <c r="HFR90" s="202"/>
      <c r="HFS90" s="202"/>
      <c r="HFT90" s="203"/>
      <c r="HFU90" s="204"/>
      <c r="HFV90" s="204"/>
      <c r="HFW90" s="204"/>
      <c r="HFX90" s="205"/>
      <c r="HFY90" s="206"/>
      <c r="HFZ90" s="207"/>
      <c r="HGA90" s="207"/>
      <c r="HGB90" s="208"/>
      <c r="HGC90" s="209"/>
      <c r="HGD90" s="207"/>
      <c r="HGE90" s="210"/>
      <c r="HGF90" s="209"/>
      <c r="HGG90" s="204"/>
      <c r="HGH90" s="204"/>
      <c r="HGI90" s="204"/>
      <c r="HGJ90" s="199"/>
      <c r="HGK90" s="167"/>
      <c r="HGL90" s="199"/>
      <c r="HGM90" s="200"/>
      <c r="HGN90" s="201"/>
      <c r="HGO90" s="202"/>
      <c r="HGP90" s="202"/>
      <c r="HGQ90" s="202"/>
      <c r="HGR90" s="202"/>
      <c r="HGS90" s="203"/>
      <c r="HGT90" s="204"/>
      <c r="HGU90" s="204"/>
      <c r="HGV90" s="204"/>
      <c r="HGW90" s="205"/>
      <c r="HGX90" s="206"/>
      <c r="HGY90" s="207"/>
      <c r="HGZ90" s="207"/>
      <c r="HHA90" s="208"/>
      <c r="HHB90" s="209"/>
      <c r="HHC90" s="207"/>
      <c r="HHD90" s="210"/>
      <c r="HHE90" s="209"/>
      <c r="HHF90" s="204"/>
      <c r="HHG90" s="204"/>
      <c r="HHH90" s="204"/>
      <c r="HHI90" s="199"/>
      <c r="HHJ90" s="167"/>
      <c r="HHK90" s="199"/>
      <c r="HHL90" s="200"/>
      <c r="HHM90" s="201"/>
      <c r="HHN90" s="202"/>
      <c r="HHO90" s="202"/>
      <c r="HHP90" s="202"/>
      <c r="HHQ90" s="202"/>
      <c r="HHR90" s="203"/>
      <c r="HHS90" s="204"/>
      <c r="HHT90" s="204"/>
      <c r="HHU90" s="204"/>
      <c r="HHV90" s="205"/>
      <c r="HHW90" s="206"/>
      <c r="HHX90" s="207"/>
      <c r="HHY90" s="207"/>
      <c r="HHZ90" s="208"/>
      <c r="HIA90" s="209"/>
      <c r="HIB90" s="207"/>
      <c r="HIC90" s="210"/>
      <c r="HID90" s="209"/>
      <c r="HIE90" s="204"/>
      <c r="HIF90" s="204"/>
      <c r="HIG90" s="204"/>
      <c r="HIH90" s="199"/>
      <c r="HII90" s="167"/>
      <c r="HIJ90" s="199"/>
      <c r="HIK90" s="200"/>
      <c r="HIL90" s="201"/>
      <c r="HIM90" s="202"/>
      <c r="HIN90" s="202"/>
      <c r="HIO90" s="202"/>
      <c r="HIP90" s="202"/>
      <c r="HIQ90" s="203"/>
      <c r="HIR90" s="204"/>
      <c r="HIS90" s="204"/>
      <c r="HIT90" s="204"/>
      <c r="HIU90" s="205"/>
      <c r="HIV90" s="206"/>
      <c r="HIW90" s="207"/>
      <c r="HIX90" s="207"/>
      <c r="HIY90" s="208"/>
      <c r="HIZ90" s="209"/>
      <c r="HJA90" s="207"/>
      <c r="HJB90" s="210"/>
      <c r="HJC90" s="209"/>
      <c r="HJD90" s="204"/>
      <c r="HJE90" s="204"/>
      <c r="HJF90" s="204"/>
      <c r="HJG90" s="199"/>
      <c r="HJH90" s="167"/>
      <c r="HJI90" s="199"/>
      <c r="HJJ90" s="200"/>
      <c r="HJK90" s="201"/>
      <c r="HJL90" s="202"/>
      <c r="HJM90" s="202"/>
      <c r="HJN90" s="202"/>
      <c r="HJO90" s="202"/>
      <c r="HJP90" s="203"/>
      <c r="HJQ90" s="204"/>
      <c r="HJR90" s="204"/>
      <c r="HJS90" s="204"/>
      <c r="HJT90" s="205"/>
      <c r="HJU90" s="206"/>
      <c r="HJV90" s="207"/>
      <c r="HJW90" s="207"/>
      <c r="HJX90" s="208"/>
      <c r="HJY90" s="209"/>
      <c r="HJZ90" s="207"/>
      <c r="HKA90" s="210"/>
      <c r="HKB90" s="209"/>
      <c r="HKC90" s="204"/>
      <c r="HKD90" s="204"/>
      <c r="HKE90" s="204"/>
      <c r="HKF90" s="199"/>
      <c r="HKG90" s="167"/>
      <c r="HKH90" s="199"/>
      <c r="HKI90" s="200"/>
      <c r="HKJ90" s="201"/>
      <c r="HKK90" s="202"/>
      <c r="HKL90" s="202"/>
      <c r="HKM90" s="202"/>
      <c r="HKN90" s="202"/>
      <c r="HKO90" s="203"/>
      <c r="HKP90" s="204"/>
      <c r="HKQ90" s="204"/>
      <c r="HKR90" s="204"/>
      <c r="HKS90" s="205"/>
      <c r="HKT90" s="206"/>
      <c r="HKU90" s="207"/>
      <c r="HKV90" s="207"/>
      <c r="HKW90" s="208"/>
      <c r="HKX90" s="209"/>
      <c r="HKY90" s="207"/>
      <c r="HKZ90" s="210"/>
      <c r="HLA90" s="209"/>
      <c r="HLB90" s="204"/>
      <c r="HLC90" s="204"/>
      <c r="HLD90" s="204"/>
      <c r="HLE90" s="199"/>
      <c r="HLF90" s="167"/>
      <c r="HLG90" s="199"/>
      <c r="HLH90" s="200"/>
      <c r="HLI90" s="201"/>
      <c r="HLJ90" s="202"/>
      <c r="HLK90" s="202"/>
      <c r="HLL90" s="202"/>
      <c r="HLM90" s="202"/>
      <c r="HLN90" s="203"/>
      <c r="HLO90" s="204"/>
      <c r="HLP90" s="204"/>
      <c r="HLQ90" s="204"/>
      <c r="HLR90" s="205"/>
      <c r="HLS90" s="206"/>
      <c r="HLT90" s="207"/>
      <c r="HLU90" s="207"/>
      <c r="HLV90" s="208"/>
      <c r="HLW90" s="209"/>
      <c r="HLX90" s="207"/>
      <c r="HLY90" s="210"/>
      <c r="HLZ90" s="209"/>
      <c r="HMA90" s="204"/>
      <c r="HMB90" s="204"/>
      <c r="HMC90" s="204"/>
      <c r="HMD90" s="199"/>
      <c r="HME90" s="167"/>
      <c r="HMF90" s="199"/>
      <c r="HMG90" s="200"/>
      <c r="HMH90" s="201"/>
      <c r="HMI90" s="202"/>
      <c r="HMJ90" s="202"/>
      <c r="HMK90" s="202"/>
      <c r="HML90" s="202"/>
      <c r="HMM90" s="203"/>
      <c r="HMN90" s="204"/>
      <c r="HMO90" s="204"/>
      <c r="HMP90" s="204"/>
      <c r="HMQ90" s="205"/>
      <c r="HMR90" s="206"/>
      <c r="HMS90" s="207"/>
      <c r="HMT90" s="207"/>
      <c r="HMU90" s="208"/>
      <c r="HMV90" s="209"/>
      <c r="HMW90" s="207"/>
      <c r="HMX90" s="210"/>
      <c r="HMY90" s="209"/>
      <c r="HMZ90" s="204"/>
      <c r="HNA90" s="204"/>
      <c r="HNB90" s="204"/>
      <c r="HNC90" s="199"/>
      <c r="HND90" s="167"/>
      <c r="HNE90" s="199"/>
      <c r="HNF90" s="200"/>
      <c r="HNG90" s="201"/>
      <c r="HNH90" s="202"/>
      <c r="HNI90" s="202"/>
      <c r="HNJ90" s="202"/>
      <c r="HNK90" s="202"/>
      <c r="HNL90" s="203"/>
      <c r="HNM90" s="204"/>
      <c r="HNN90" s="204"/>
      <c r="HNO90" s="204"/>
      <c r="HNP90" s="205"/>
      <c r="HNQ90" s="206"/>
      <c r="HNR90" s="207"/>
      <c r="HNS90" s="207"/>
      <c r="HNT90" s="208"/>
      <c r="HNU90" s="209"/>
      <c r="HNV90" s="207"/>
      <c r="HNW90" s="210"/>
      <c r="HNX90" s="209"/>
      <c r="HNY90" s="204"/>
      <c r="HNZ90" s="204"/>
      <c r="HOA90" s="204"/>
      <c r="HOB90" s="199"/>
      <c r="HOC90" s="167"/>
      <c r="HOD90" s="199"/>
      <c r="HOE90" s="200"/>
      <c r="HOF90" s="201"/>
      <c r="HOG90" s="202"/>
      <c r="HOH90" s="202"/>
      <c r="HOI90" s="202"/>
      <c r="HOJ90" s="202"/>
      <c r="HOK90" s="203"/>
      <c r="HOL90" s="204"/>
      <c r="HOM90" s="204"/>
      <c r="HON90" s="204"/>
      <c r="HOO90" s="205"/>
      <c r="HOP90" s="206"/>
      <c r="HOQ90" s="207"/>
      <c r="HOR90" s="207"/>
      <c r="HOS90" s="208"/>
      <c r="HOT90" s="209"/>
      <c r="HOU90" s="207"/>
      <c r="HOV90" s="210"/>
      <c r="HOW90" s="209"/>
      <c r="HOX90" s="204"/>
      <c r="HOY90" s="204"/>
      <c r="HOZ90" s="204"/>
      <c r="HPA90" s="199"/>
      <c r="HPB90" s="167"/>
      <c r="HPC90" s="199"/>
      <c r="HPD90" s="200"/>
      <c r="HPE90" s="201"/>
      <c r="HPF90" s="202"/>
      <c r="HPG90" s="202"/>
      <c r="HPH90" s="202"/>
      <c r="HPI90" s="202"/>
      <c r="HPJ90" s="203"/>
      <c r="HPK90" s="204"/>
      <c r="HPL90" s="204"/>
      <c r="HPM90" s="204"/>
      <c r="HPN90" s="205"/>
      <c r="HPO90" s="206"/>
      <c r="HPP90" s="207"/>
      <c r="HPQ90" s="207"/>
      <c r="HPR90" s="208"/>
      <c r="HPS90" s="209"/>
      <c r="HPT90" s="207"/>
      <c r="HPU90" s="210"/>
      <c r="HPV90" s="209"/>
      <c r="HPW90" s="204"/>
      <c r="HPX90" s="204"/>
      <c r="HPY90" s="204"/>
      <c r="HPZ90" s="199"/>
      <c r="HQA90" s="167"/>
      <c r="HQB90" s="199"/>
      <c r="HQC90" s="200"/>
      <c r="HQD90" s="201"/>
      <c r="HQE90" s="202"/>
      <c r="HQF90" s="202"/>
      <c r="HQG90" s="202"/>
      <c r="HQH90" s="202"/>
      <c r="HQI90" s="203"/>
      <c r="HQJ90" s="204"/>
      <c r="HQK90" s="204"/>
      <c r="HQL90" s="204"/>
      <c r="HQM90" s="205"/>
      <c r="HQN90" s="206"/>
      <c r="HQO90" s="207"/>
      <c r="HQP90" s="207"/>
      <c r="HQQ90" s="208"/>
      <c r="HQR90" s="209"/>
      <c r="HQS90" s="207"/>
      <c r="HQT90" s="210"/>
      <c r="HQU90" s="209"/>
      <c r="HQV90" s="204"/>
      <c r="HQW90" s="204"/>
      <c r="HQX90" s="204"/>
      <c r="HQY90" s="199"/>
      <c r="HQZ90" s="167"/>
      <c r="HRA90" s="199"/>
      <c r="HRB90" s="200"/>
      <c r="HRC90" s="201"/>
      <c r="HRD90" s="202"/>
      <c r="HRE90" s="202"/>
      <c r="HRF90" s="202"/>
      <c r="HRG90" s="202"/>
      <c r="HRH90" s="203"/>
      <c r="HRI90" s="204"/>
      <c r="HRJ90" s="204"/>
      <c r="HRK90" s="204"/>
      <c r="HRL90" s="205"/>
      <c r="HRM90" s="206"/>
      <c r="HRN90" s="207"/>
      <c r="HRO90" s="207"/>
      <c r="HRP90" s="208"/>
      <c r="HRQ90" s="209"/>
      <c r="HRR90" s="207"/>
      <c r="HRS90" s="210"/>
      <c r="HRT90" s="209"/>
      <c r="HRU90" s="204"/>
      <c r="HRV90" s="204"/>
      <c r="HRW90" s="204"/>
      <c r="HRX90" s="199"/>
      <c r="HRY90" s="167"/>
      <c r="HRZ90" s="199"/>
      <c r="HSA90" s="200"/>
      <c r="HSB90" s="201"/>
      <c r="HSC90" s="202"/>
      <c r="HSD90" s="202"/>
      <c r="HSE90" s="202"/>
      <c r="HSF90" s="202"/>
      <c r="HSG90" s="203"/>
      <c r="HSH90" s="204"/>
      <c r="HSI90" s="204"/>
      <c r="HSJ90" s="204"/>
      <c r="HSK90" s="205"/>
      <c r="HSL90" s="206"/>
      <c r="HSM90" s="207"/>
      <c r="HSN90" s="207"/>
      <c r="HSO90" s="208"/>
      <c r="HSP90" s="209"/>
      <c r="HSQ90" s="207"/>
      <c r="HSR90" s="210"/>
      <c r="HSS90" s="209"/>
      <c r="HST90" s="204"/>
      <c r="HSU90" s="204"/>
      <c r="HSV90" s="204"/>
      <c r="HSW90" s="199"/>
      <c r="HSX90" s="167"/>
      <c r="HSY90" s="199"/>
      <c r="HSZ90" s="200"/>
      <c r="HTA90" s="201"/>
      <c r="HTB90" s="202"/>
      <c r="HTC90" s="202"/>
      <c r="HTD90" s="202"/>
      <c r="HTE90" s="202"/>
      <c r="HTF90" s="203"/>
      <c r="HTG90" s="204"/>
      <c r="HTH90" s="204"/>
      <c r="HTI90" s="204"/>
      <c r="HTJ90" s="205"/>
      <c r="HTK90" s="206"/>
      <c r="HTL90" s="207"/>
      <c r="HTM90" s="207"/>
      <c r="HTN90" s="208"/>
      <c r="HTO90" s="209"/>
      <c r="HTP90" s="207"/>
      <c r="HTQ90" s="210"/>
      <c r="HTR90" s="209"/>
      <c r="HTS90" s="204"/>
      <c r="HTT90" s="204"/>
      <c r="HTU90" s="204"/>
      <c r="HTV90" s="199"/>
      <c r="HTW90" s="167"/>
      <c r="HTX90" s="199"/>
      <c r="HTY90" s="200"/>
      <c r="HTZ90" s="201"/>
      <c r="HUA90" s="202"/>
      <c r="HUB90" s="202"/>
      <c r="HUC90" s="202"/>
      <c r="HUD90" s="202"/>
      <c r="HUE90" s="203"/>
      <c r="HUF90" s="204"/>
      <c r="HUG90" s="204"/>
      <c r="HUH90" s="204"/>
      <c r="HUI90" s="205"/>
      <c r="HUJ90" s="206"/>
      <c r="HUK90" s="207"/>
      <c r="HUL90" s="207"/>
      <c r="HUM90" s="208"/>
      <c r="HUN90" s="209"/>
      <c r="HUO90" s="207"/>
      <c r="HUP90" s="210"/>
      <c r="HUQ90" s="209"/>
      <c r="HUR90" s="204"/>
      <c r="HUS90" s="204"/>
      <c r="HUT90" s="204"/>
      <c r="HUU90" s="199"/>
      <c r="HUV90" s="167"/>
      <c r="HUW90" s="199"/>
      <c r="HUX90" s="200"/>
      <c r="HUY90" s="201"/>
      <c r="HUZ90" s="202"/>
      <c r="HVA90" s="202"/>
      <c r="HVB90" s="202"/>
      <c r="HVC90" s="202"/>
      <c r="HVD90" s="203"/>
      <c r="HVE90" s="204"/>
      <c r="HVF90" s="204"/>
      <c r="HVG90" s="204"/>
      <c r="HVH90" s="205"/>
      <c r="HVI90" s="206"/>
      <c r="HVJ90" s="207"/>
      <c r="HVK90" s="207"/>
      <c r="HVL90" s="208"/>
      <c r="HVM90" s="209"/>
      <c r="HVN90" s="207"/>
      <c r="HVO90" s="210"/>
      <c r="HVP90" s="209"/>
      <c r="HVQ90" s="204"/>
      <c r="HVR90" s="204"/>
      <c r="HVS90" s="204"/>
      <c r="HVT90" s="199"/>
      <c r="HVU90" s="167"/>
      <c r="HVV90" s="199"/>
      <c r="HVW90" s="200"/>
      <c r="HVX90" s="201"/>
      <c r="HVY90" s="202"/>
      <c r="HVZ90" s="202"/>
      <c r="HWA90" s="202"/>
      <c r="HWB90" s="202"/>
      <c r="HWC90" s="203"/>
      <c r="HWD90" s="204"/>
      <c r="HWE90" s="204"/>
      <c r="HWF90" s="204"/>
      <c r="HWG90" s="205"/>
      <c r="HWH90" s="206"/>
      <c r="HWI90" s="207"/>
      <c r="HWJ90" s="207"/>
      <c r="HWK90" s="208"/>
      <c r="HWL90" s="209"/>
      <c r="HWM90" s="207"/>
      <c r="HWN90" s="210"/>
      <c r="HWO90" s="209"/>
      <c r="HWP90" s="204"/>
      <c r="HWQ90" s="204"/>
      <c r="HWR90" s="204"/>
      <c r="HWS90" s="199"/>
      <c r="HWT90" s="167"/>
      <c r="HWU90" s="199"/>
      <c r="HWV90" s="200"/>
      <c r="HWW90" s="201"/>
      <c r="HWX90" s="202"/>
      <c r="HWY90" s="202"/>
      <c r="HWZ90" s="202"/>
      <c r="HXA90" s="202"/>
      <c r="HXB90" s="203"/>
      <c r="HXC90" s="204"/>
      <c r="HXD90" s="204"/>
      <c r="HXE90" s="204"/>
      <c r="HXF90" s="205"/>
      <c r="HXG90" s="206"/>
      <c r="HXH90" s="207"/>
      <c r="HXI90" s="207"/>
      <c r="HXJ90" s="208"/>
      <c r="HXK90" s="209"/>
      <c r="HXL90" s="207"/>
      <c r="HXM90" s="210"/>
      <c r="HXN90" s="209"/>
      <c r="HXO90" s="204"/>
      <c r="HXP90" s="204"/>
      <c r="HXQ90" s="204"/>
      <c r="HXR90" s="199"/>
      <c r="HXS90" s="167"/>
      <c r="HXT90" s="199"/>
      <c r="HXU90" s="200"/>
      <c r="HXV90" s="201"/>
      <c r="HXW90" s="202"/>
      <c r="HXX90" s="202"/>
      <c r="HXY90" s="202"/>
      <c r="HXZ90" s="202"/>
      <c r="HYA90" s="203"/>
      <c r="HYB90" s="204"/>
      <c r="HYC90" s="204"/>
      <c r="HYD90" s="204"/>
      <c r="HYE90" s="205"/>
      <c r="HYF90" s="206"/>
      <c r="HYG90" s="207"/>
      <c r="HYH90" s="207"/>
      <c r="HYI90" s="208"/>
      <c r="HYJ90" s="209"/>
      <c r="HYK90" s="207"/>
      <c r="HYL90" s="210"/>
      <c r="HYM90" s="209"/>
      <c r="HYN90" s="204"/>
      <c r="HYO90" s="204"/>
      <c r="HYP90" s="204"/>
      <c r="HYQ90" s="199"/>
      <c r="HYR90" s="167"/>
      <c r="HYS90" s="199"/>
      <c r="HYT90" s="200"/>
      <c r="HYU90" s="201"/>
      <c r="HYV90" s="202"/>
      <c r="HYW90" s="202"/>
      <c r="HYX90" s="202"/>
      <c r="HYY90" s="202"/>
      <c r="HYZ90" s="203"/>
      <c r="HZA90" s="204"/>
      <c r="HZB90" s="204"/>
      <c r="HZC90" s="204"/>
      <c r="HZD90" s="205"/>
      <c r="HZE90" s="206"/>
      <c r="HZF90" s="207"/>
      <c r="HZG90" s="207"/>
      <c r="HZH90" s="208"/>
      <c r="HZI90" s="209"/>
      <c r="HZJ90" s="207"/>
      <c r="HZK90" s="210"/>
      <c r="HZL90" s="209"/>
      <c r="HZM90" s="204"/>
      <c r="HZN90" s="204"/>
      <c r="HZO90" s="204"/>
      <c r="HZP90" s="199"/>
      <c r="HZQ90" s="167"/>
      <c r="HZR90" s="199"/>
      <c r="HZS90" s="200"/>
      <c r="HZT90" s="201"/>
      <c r="HZU90" s="202"/>
      <c r="HZV90" s="202"/>
      <c r="HZW90" s="202"/>
      <c r="HZX90" s="202"/>
      <c r="HZY90" s="203"/>
      <c r="HZZ90" s="204"/>
      <c r="IAA90" s="204"/>
      <c r="IAB90" s="204"/>
      <c r="IAC90" s="205"/>
      <c r="IAD90" s="206"/>
      <c r="IAE90" s="207"/>
      <c r="IAF90" s="207"/>
      <c r="IAG90" s="208"/>
      <c r="IAH90" s="209"/>
      <c r="IAI90" s="207"/>
      <c r="IAJ90" s="210"/>
      <c r="IAK90" s="209"/>
      <c r="IAL90" s="204"/>
      <c r="IAM90" s="204"/>
      <c r="IAN90" s="204"/>
      <c r="IAO90" s="199"/>
      <c r="IAP90" s="167"/>
      <c r="IAQ90" s="199"/>
      <c r="IAR90" s="200"/>
      <c r="IAS90" s="201"/>
      <c r="IAT90" s="202"/>
      <c r="IAU90" s="202"/>
      <c r="IAV90" s="202"/>
      <c r="IAW90" s="202"/>
      <c r="IAX90" s="203"/>
      <c r="IAY90" s="204"/>
      <c r="IAZ90" s="204"/>
      <c r="IBA90" s="204"/>
      <c r="IBB90" s="205"/>
      <c r="IBC90" s="206"/>
      <c r="IBD90" s="207"/>
      <c r="IBE90" s="207"/>
      <c r="IBF90" s="208"/>
      <c r="IBG90" s="209"/>
      <c r="IBH90" s="207"/>
      <c r="IBI90" s="210"/>
      <c r="IBJ90" s="209"/>
      <c r="IBK90" s="204"/>
      <c r="IBL90" s="204"/>
      <c r="IBM90" s="204"/>
      <c r="IBN90" s="199"/>
      <c r="IBO90" s="167"/>
      <c r="IBP90" s="199"/>
      <c r="IBQ90" s="200"/>
      <c r="IBR90" s="201"/>
      <c r="IBS90" s="202"/>
      <c r="IBT90" s="202"/>
      <c r="IBU90" s="202"/>
      <c r="IBV90" s="202"/>
      <c r="IBW90" s="203"/>
      <c r="IBX90" s="204"/>
      <c r="IBY90" s="204"/>
      <c r="IBZ90" s="204"/>
      <c r="ICA90" s="205"/>
      <c r="ICB90" s="206"/>
      <c r="ICC90" s="207"/>
      <c r="ICD90" s="207"/>
      <c r="ICE90" s="208"/>
      <c r="ICF90" s="209"/>
      <c r="ICG90" s="207"/>
      <c r="ICH90" s="210"/>
      <c r="ICI90" s="209"/>
      <c r="ICJ90" s="204"/>
      <c r="ICK90" s="204"/>
      <c r="ICL90" s="204"/>
      <c r="ICM90" s="199"/>
      <c r="ICN90" s="167"/>
      <c r="ICO90" s="199"/>
      <c r="ICP90" s="200"/>
      <c r="ICQ90" s="201"/>
      <c r="ICR90" s="202"/>
      <c r="ICS90" s="202"/>
      <c r="ICT90" s="202"/>
      <c r="ICU90" s="202"/>
      <c r="ICV90" s="203"/>
      <c r="ICW90" s="204"/>
      <c r="ICX90" s="204"/>
      <c r="ICY90" s="204"/>
      <c r="ICZ90" s="205"/>
      <c r="IDA90" s="206"/>
      <c r="IDB90" s="207"/>
      <c r="IDC90" s="207"/>
      <c r="IDD90" s="208"/>
      <c r="IDE90" s="209"/>
      <c r="IDF90" s="207"/>
      <c r="IDG90" s="210"/>
      <c r="IDH90" s="209"/>
      <c r="IDI90" s="204"/>
      <c r="IDJ90" s="204"/>
      <c r="IDK90" s="204"/>
      <c r="IDL90" s="199"/>
      <c r="IDM90" s="167"/>
      <c r="IDN90" s="199"/>
      <c r="IDO90" s="200"/>
      <c r="IDP90" s="201"/>
      <c r="IDQ90" s="202"/>
      <c r="IDR90" s="202"/>
      <c r="IDS90" s="202"/>
      <c r="IDT90" s="202"/>
      <c r="IDU90" s="203"/>
      <c r="IDV90" s="204"/>
      <c r="IDW90" s="204"/>
      <c r="IDX90" s="204"/>
      <c r="IDY90" s="205"/>
      <c r="IDZ90" s="206"/>
      <c r="IEA90" s="207"/>
      <c r="IEB90" s="207"/>
      <c r="IEC90" s="208"/>
      <c r="IED90" s="209"/>
      <c r="IEE90" s="207"/>
      <c r="IEF90" s="210"/>
      <c r="IEG90" s="209"/>
      <c r="IEH90" s="204"/>
      <c r="IEI90" s="204"/>
      <c r="IEJ90" s="204"/>
      <c r="IEK90" s="199"/>
      <c r="IEL90" s="167"/>
      <c r="IEM90" s="199"/>
      <c r="IEN90" s="200"/>
      <c r="IEO90" s="201"/>
      <c r="IEP90" s="202"/>
      <c r="IEQ90" s="202"/>
      <c r="IER90" s="202"/>
      <c r="IES90" s="202"/>
      <c r="IET90" s="203"/>
      <c r="IEU90" s="204"/>
      <c r="IEV90" s="204"/>
      <c r="IEW90" s="204"/>
      <c r="IEX90" s="205"/>
      <c r="IEY90" s="206"/>
      <c r="IEZ90" s="207"/>
      <c r="IFA90" s="207"/>
      <c r="IFB90" s="208"/>
      <c r="IFC90" s="209"/>
      <c r="IFD90" s="207"/>
      <c r="IFE90" s="210"/>
      <c r="IFF90" s="209"/>
      <c r="IFG90" s="204"/>
      <c r="IFH90" s="204"/>
      <c r="IFI90" s="204"/>
      <c r="IFJ90" s="199"/>
      <c r="IFK90" s="167"/>
      <c r="IFL90" s="199"/>
      <c r="IFM90" s="200"/>
      <c r="IFN90" s="201"/>
      <c r="IFO90" s="202"/>
      <c r="IFP90" s="202"/>
      <c r="IFQ90" s="202"/>
      <c r="IFR90" s="202"/>
      <c r="IFS90" s="203"/>
      <c r="IFT90" s="204"/>
      <c r="IFU90" s="204"/>
      <c r="IFV90" s="204"/>
      <c r="IFW90" s="205"/>
      <c r="IFX90" s="206"/>
      <c r="IFY90" s="207"/>
      <c r="IFZ90" s="207"/>
      <c r="IGA90" s="208"/>
      <c r="IGB90" s="209"/>
      <c r="IGC90" s="207"/>
      <c r="IGD90" s="210"/>
      <c r="IGE90" s="209"/>
      <c r="IGF90" s="204"/>
      <c r="IGG90" s="204"/>
      <c r="IGH90" s="204"/>
      <c r="IGI90" s="199"/>
      <c r="IGJ90" s="167"/>
      <c r="IGK90" s="199"/>
      <c r="IGL90" s="200"/>
      <c r="IGM90" s="201"/>
      <c r="IGN90" s="202"/>
      <c r="IGO90" s="202"/>
      <c r="IGP90" s="202"/>
      <c r="IGQ90" s="202"/>
      <c r="IGR90" s="203"/>
      <c r="IGS90" s="204"/>
      <c r="IGT90" s="204"/>
      <c r="IGU90" s="204"/>
      <c r="IGV90" s="205"/>
      <c r="IGW90" s="206"/>
      <c r="IGX90" s="207"/>
      <c r="IGY90" s="207"/>
      <c r="IGZ90" s="208"/>
      <c r="IHA90" s="209"/>
      <c r="IHB90" s="207"/>
      <c r="IHC90" s="210"/>
      <c r="IHD90" s="209"/>
      <c r="IHE90" s="204"/>
      <c r="IHF90" s="204"/>
      <c r="IHG90" s="204"/>
      <c r="IHH90" s="199"/>
      <c r="IHI90" s="167"/>
      <c r="IHJ90" s="199"/>
      <c r="IHK90" s="200"/>
      <c r="IHL90" s="201"/>
      <c r="IHM90" s="202"/>
      <c r="IHN90" s="202"/>
      <c r="IHO90" s="202"/>
      <c r="IHP90" s="202"/>
      <c r="IHQ90" s="203"/>
      <c r="IHR90" s="204"/>
      <c r="IHS90" s="204"/>
      <c r="IHT90" s="204"/>
      <c r="IHU90" s="205"/>
      <c r="IHV90" s="206"/>
      <c r="IHW90" s="207"/>
      <c r="IHX90" s="207"/>
      <c r="IHY90" s="208"/>
      <c r="IHZ90" s="209"/>
      <c r="IIA90" s="207"/>
      <c r="IIB90" s="210"/>
      <c r="IIC90" s="209"/>
      <c r="IID90" s="204"/>
      <c r="IIE90" s="204"/>
      <c r="IIF90" s="204"/>
      <c r="IIG90" s="199"/>
      <c r="IIH90" s="167"/>
      <c r="III90" s="199"/>
      <c r="IIJ90" s="200"/>
      <c r="IIK90" s="201"/>
      <c r="IIL90" s="202"/>
      <c r="IIM90" s="202"/>
      <c r="IIN90" s="202"/>
      <c r="IIO90" s="202"/>
      <c r="IIP90" s="203"/>
      <c r="IIQ90" s="204"/>
      <c r="IIR90" s="204"/>
      <c r="IIS90" s="204"/>
      <c r="IIT90" s="205"/>
      <c r="IIU90" s="206"/>
      <c r="IIV90" s="207"/>
      <c r="IIW90" s="207"/>
      <c r="IIX90" s="208"/>
      <c r="IIY90" s="209"/>
      <c r="IIZ90" s="207"/>
      <c r="IJA90" s="210"/>
      <c r="IJB90" s="209"/>
      <c r="IJC90" s="204"/>
      <c r="IJD90" s="204"/>
      <c r="IJE90" s="204"/>
      <c r="IJF90" s="199"/>
      <c r="IJG90" s="167"/>
      <c r="IJH90" s="199"/>
      <c r="IJI90" s="200"/>
      <c r="IJJ90" s="201"/>
      <c r="IJK90" s="202"/>
      <c r="IJL90" s="202"/>
      <c r="IJM90" s="202"/>
      <c r="IJN90" s="202"/>
      <c r="IJO90" s="203"/>
      <c r="IJP90" s="204"/>
      <c r="IJQ90" s="204"/>
      <c r="IJR90" s="204"/>
      <c r="IJS90" s="205"/>
      <c r="IJT90" s="206"/>
      <c r="IJU90" s="207"/>
      <c r="IJV90" s="207"/>
      <c r="IJW90" s="208"/>
      <c r="IJX90" s="209"/>
      <c r="IJY90" s="207"/>
      <c r="IJZ90" s="210"/>
      <c r="IKA90" s="209"/>
      <c r="IKB90" s="204"/>
      <c r="IKC90" s="204"/>
      <c r="IKD90" s="204"/>
      <c r="IKE90" s="199"/>
      <c r="IKF90" s="167"/>
      <c r="IKG90" s="199"/>
      <c r="IKH90" s="200"/>
      <c r="IKI90" s="201"/>
      <c r="IKJ90" s="202"/>
      <c r="IKK90" s="202"/>
      <c r="IKL90" s="202"/>
      <c r="IKM90" s="202"/>
      <c r="IKN90" s="203"/>
      <c r="IKO90" s="204"/>
      <c r="IKP90" s="204"/>
      <c r="IKQ90" s="204"/>
      <c r="IKR90" s="205"/>
      <c r="IKS90" s="206"/>
      <c r="IKT90" s="207"/>
      <c r="IKU90" s="207"/>
      <c r="IKV90" s="208"/>
      <c r="IKW90" s="209"/>
      <c r="IKX90" s="207"/>
      <c r="IKY90" s="210"/>
      <c r="IKZ90" s="209"/>
      <c r="ILA90" s="204"/>
      <c r="ILB90" s="204"/>
      <c r="ILC90" s="204"/>
      <c r="ILD90" s="199"/>
      <c r="ILE90" s="167"/>
      <c r="ILF90" s="199"/>
      <c r="ILG90" s="200"/>
      <c r="ILH90" s="201"/>
      <c r="ILI90" s="202"/>
      <c r="ILJ90" s="202"/>
      <c r="ILK90" s="202"/>
      <c r="ILL90" s="202"/>
      <c r="ILM90" s="203"/>
      <c r="ILN90" s="204"/>
      <c r="ILO90" s="204"/>
      <c r="ILP90" s="204"/>
      <c r="ILQ90" s="205"/>
      <c r="ILR90" s="206"/>
      <c r="ILS90" s="207"/>
      <c r="ILT90" s="207"/>
      <c r="ILU90" s="208"/>
      <c r="ILV90" s="209"/>
      <c r="ILW90" s="207"/>
      <c r="ILX90" s="210"/>
      <c r="ILY90" s="209"/>
      <c r="ILZ90" s="204"/>
      <c r="IMA90" s="204"/>
      <c r="IMB90" s="204"/>
      <c r="IMC90" s="199"/>
      <c r="IMD90" s="167"/>
      <c r="IME90" s="199"/>
      <c r="IMF90" s="200"/>
      <c r="IMG90" s="201"/>
      <c r="IMH90" s="202"/>
      <c r="IMI90" s="202"/>
      <c r="IMJ90" s="202"/>
      <c r="IMK90" s="202"/>
      <c r="IML90" s="203"/>
      <c r="IMM90" s="204"/>
      <c r="IMN90" s="204"/>
      <c r="IMO90" s="204"/>
      <c r="IMP90" s="205"/>
      <c r="IMQ90" s="206"/>
      <c r="IMR90" s="207"/>
      <c r="IMS90" s="207"/>
      <c r="IMT90" s="208"/>
      <c r="IMU90" s="209"/>
      <c r="IMV90" s="207"/>
      <c r="IMW90" s="210"/>
      <c r="IMX90" s="209"/>
      <c r="IMY90" s="204"/>
      <c r="IMZ90" s="204"/>
      <c r="INA90" s="204"/>
      <c r="INB90" s="199"/>
      <c r="INC90" s="167"/>
      <c r="IND90" s="199"/>
      <c r="INE90" s="200"/>
      <c r="INF90" s="201"/>
      <c r="ING90" s="202"/>
      <c r="INH90" s="202"/>
      <c r="INI90" s="202"/>
      <c r="INJ90" s="202"/>
      <c r="INK90" s="203"/>
      <c r="INL90" s="204"/>
      <c r="INM90" s="204"/>
      <c r="INN90" s="204"/>
      <c r="INO90" s="205"/>
      <c r="INP90" s="206"/>
      <c r="INQ90" s="207"/>
      <c r="INR90" s="207"/>
      <c r="INS90" s="208"/>
      <c r="INT90" s="209"/>
      <c r="INU90" s="207"/>
      <c r="INV90" s="210"/>
      <c r="INW90" s="209"/>
      <c r="INX90" s="204"/>
      <c r="INY90" s="204"/>
      <c r="INZ90" s="204"/>
      <c r="IOA90" s="199"/>
      <c r="IOB90" s="167"/>
      <c r="IOC90" s="199"/>
      <c r="IOD90" s="200"/>
      <c r="IOE90" s="201"/>
      <c r="IOF90" s="202"/>
      <c r="IOG90" s="202"/>
      <c r="IOH90" s="202"/>
      <c r="IOI90" s="202"/>
      <c r="IOJ90" s="203"/>
      <c r="IOK90" s="204"/>
      <c r="IOL90" s="204"/>
      <c r="IOM90" s="204"/>
      <c r="ION90" s="205"/>
      <c r="IOO90" s="206"/>
      <c r="IOP90" s="207"/>
      <c r="IOQ90" s="207"/>
      <c r="IOR90" s="208"/>
      <c r="IOS90" s="209"/>
      <c r="IOT90" s="207"/>
      <c r="IOU90" s="210"/>
      <c r="IOV90" s="209"/>
      <c r="IOW90" s="204"/>
      <c r="IOX90" s="204"/>
      <c r="IOY90" s="204"/>
      <c r="IOZ90" s="199"/>
      <c r="IPA90" s="167"/>
      <c r="IPB90" s="199"/>
      <c r="IPC90" s="200"/>
      <c r="IPD90" s="201"/>
      <c r="IPE90" s="202"/>
      <c r="IPF90" s="202"/>
      <c r="IPG90" s="202"/>
      <c r="IPH90" s="202"/>
      <c r="IPI90" s="203"/>
      <c r="IPJ90" s="204"/>
      <c r="IPK90" s="204"/>
      <c r="IPL90" s="204"/>
      <c r="IPM90" s="205"/>
      <c r="IPN90" s="206"/>
      <c r="IPO90" s="207"/>
      <c r="IPP90" s="207"/>
      <c r="IPQ90" s="208"/>
      <c r="IPR90" s="209"/>
      <c r="IPS90" s="207"/>
      <c r="IPT90" s="210"/>
      <c r="IPU90" s="209"/>
      <c r="IPV90" s="204"/>
      <c r="IPW90" s="204"/>
      <c r="IPX90" s="204"/>
      <c r="IPY90" s="199"/>
      <c r="IPZ90" s="167"/>
      <c r="IQA90" s="199"/>
      <c r="IQB90" s="200"/>
      <c r="IQC90" s="201"/>
      <c r="IQD90" s="202"/>
      <c r="IQE90" s="202"/>
      <c r="IQF90" s="202"/>
      <c r="IQG90" s="202"/>
      <c r="IQH90" s="203"/>
      <c r="IQI90" s="204"/>
      <c r="IQJ90" s="204"/>
      <c r="IQK90" s="204"/>
      <c r="IQL90" s="205"/>
      <c r="IQM90" s="206"/>
      <c r="IQN90" s="207"/>
      <c r="IQO90" s="207"/>
      <c r="IQP90" s="208"/>
      <c r="IQQ90" s="209"/>
      <c r="IQR90" s="207"/>
      <c r="IQS90" s="210"/>
      <c r="IQT90" s="209"/>
      <c r="IQU90" s="204"/>
      <c r="IQV90" s="204"/>
      <c r="IQW90" s="204"/>
      <c r="IQX90" s="199"/>
      <c r="IQY90" s="167"/>
      <c r="IQZ90" s="199"/>
      <c r="IRA90" s="200"/>
      <c r="IRB90" s="201"/>
      <c r="IRC90" s="202"/>
      <c r="IRD90" s="202"/>
      <c r="IRE90" s="202"/>
      <c r="IRF90" s="202"/>
      <c r="IRG90" s="203"/>
      <c r="IRH90" s="204"/>
      <c r="IRI90" s="204"/>
      <c r="IRJ90" s="204"/>
      <c r="IRK90" s="205"/>
      <c r="IRL90" s="206"/>
      <c r="IRM90" s="207"/>
      <c r="IRN90" s="207"/>
      <c r="IRO90" s="208"/>
      <c r="IRP90" s="209"/>
      <c r="IRQ90" s="207"/>
      <c r="IRR90" s="210"/>
      <c r="IRS90" s="209"/>
      <c r="IRT90" s="204"/>
      <c r="IRU90" s="204"/>
      <c r="IRV90" s="204"/>
      <c r="IRW90" s="199"/>
      <c r="IRX90" s="167"/>
      <c r="IRY90" s="199"/>
      <c r="IRZ90" s="200"/>
      <c r="ISA90" s="201"/>
      <c r="ISB90" s="202"/>
      <c r="ISC90" s="202"/>
      <c r="ISD90" s="202"/>
      <c r="ISE90" s="202"/>
      <c r="ISF90" s="203"/>
      <c r="ISG90" s="204"/>
      <c r="ISH90" s="204"/>
      <c r="ISI90" s="204"/>
      <c r="ISJ90" s="205"/>
      <c r="ISK90" s="206"/>
      <c r="ISL90" s="207"/>
      <c r="ISM90" s="207"/>
      <c r="ISN90" s="208"/>
      <c r="ISO90" s="209"/>
      <c r="ISP90" s="207"/>
      <c r="ISQ90" s="210"/>
      <c r="ISR90" s="209"/>
      <c r="ISS90" s="204"/>
      <c r="IST90" s="204"/>
      <c r="ISU90" s="204"/>
      <c r="ISV90" s="199"/>
      <c r="ISW90" s="167"/>
      <c r="ISX90" s="199"/>
      <c r="ISY90" s="200"/>
      <c r="ISZ90" s="201"/>
      <c r="ITA90" s="202"/>
      <c r="ITB90" s="202"/>
      <c r="ITC90" s="202"/>
      <c r="ITD90" s="202"/>
      <c r="ITE90" s="203"/>
      <c r="ITF90" s="204"/>
      <c r="ITG90" s="204"/>
      <c r="ITH90" s="204"/>
      <c r="ITI90" s="205"/>
      <c r="ITJ90" s="206"/>
      <c r="ITK90" s="207"/>
      <c r="ITL90" s="207"/>
      <c r="ITM90" s="208"/>
      <c r="ITN90" s="209"/>
      <c r="ITO90" s="207"/>
      <c r="ITP90" s="210"/>
      <c r="ITQ90" s="209"/>
      <c r="ITR90" s="204"/>
      <c r="ITS90" s="204"/>
      <c r="ITT90" s="204"/>
      <c r="ITU90" s="199"/>
      <c r="ITV90" s="167"/>
      <c r="ITW90" s="199"/>
      <c r="ITX90" s="200"/>
      <c r="ITY90" s="201"/>
      <c r="ITZ90" s="202"/>
      <c r="IUA90" s="202"/>
      <c r="IUB90" s="202"/>
      <c r="IUC90" s="202"/>
      <c r="IUD90" s="203"/>
      <c r="IUE90" s="204"/>
      <c r="IUF90" s="204"/>
      <c r="IUG90" s="204"/>
      <c r="IUH90" s="205"/>
      <c r="IUI90" s="206"/>
      <c r="IUJ90" s="207"/>
      <c r="IUK90" s="207"/>
      <c r="IUL90" s="208"/>
      <c r="IUM90" s="209"/>
      <c r="IUN90" s="207"/>
      <c r="IUO90" s="210"/>
      <c r="IUP90" s="209"/>
      <c r="IUQ90" s="204"/>
      <c r="IUR90" s="204"/>
      <c r="IUS90" s="204"/>
      <c r="IUT90" s="199"/>
      <c r="IUU90" s="167"/>
      <c r="IUV90" s="199"/>
      <c r="IUW90" s="200"/>
      <c r="IUX90" s="201"/>
      <c r="IUY90" s="202"/>
      <c r="IUZ90" s="202"/>
      <c r="IVA90" s="202"/>
      <c r="IVB90" s="202"/>
      <c r="IVC90" s="203"/>
      <c r="IVD90" s="204"/>
      <c r="IVE90" s="204"/>
      <c r="IVF90" s="204"/>
      <c r="IVG90" s="205"/>
      <c r="IVH90" s="206"/>
      <c r="IVI90" s="207"/>
      <c r="IVJ90" s="207"/>
      <c r="IVK90" s="208"/>
      <c r="IVL90" s="209"/>
      <c r="IVM90" s="207"/>
      <c r="IVN90" s="210"/>
      <c r="IVO90" s="209"/>
      <c r="IVP90" s="204"/>
      <c r="IVQ90" s="204"/>
      <c r="IVR90" s="204"/>
      <c r="IVS90" s="199"/>
      <c r="IVT90" s="167"/>
      <c r="IVU90" s="199"/>
      <c r="IVV90" s="200"/>
      <c r="IVW90" s="201"/>
      <c r="IVX90" s="202"/>
      <c r="IVY90" s="202"/>
      <c r="IVZ90" s="202"/>
      <c r="IWA90" s="202"/>
      <c r="IWB90" s="203"/>
      <c r="IWC90" s="204"/>
      <c r="IWD90" s="204"/>
      <c r="IWE90" s="204"/>
      <c r="IWF90" s="205"/>
      <c r="IWG90" s="206"/>
      <c r="IWH90" s="207"/>
      <c r="IWI90" s="207"/>
      <c r="IWJ90" s="208"/>
      <c r="IWK90" s="209"/>
      <c r="IWL90" s="207"/>
      <c r="IWM90" s="210"/>
      <c r="IWN90" s="209"/>
      <c r="IWO90" s="204"/>
      <c r="IWP90" s="204"/>
      <c r="IWQ90" s="204"/>
      <c r="IWR90" s="199"/>
      <c r="IWS90" s="167"/>
      <c r="IWT90" s="199"/>
      <c r="IWU90" s="200"/>
      <c r="IWV90" s="201"/>
      <c r="IWW90" s="202"/>
      <c r="IWX90" s="202"/>
      <c r="IWY90" s="202"/>
      <c r="IWZ90" s="202"/>
      <c r="IXA90" s="203"/>
      <c r="IXB90" s="204"/>
      <c r="IXC90" s="204"/>
      <c r="IXD90" s="204"/>
      <c r="IXE90" s="205"/>
      <c r="IXF90" s="206"/>
      <c r="IXG90" s="207"/>
      <c r="IXH90" s="207"/>
      <c r="IXI90" s="208"/>
      <c r="IXJ90" s="209"/>
      <c r="IXK90" s="207"/>
      <c r="IXL90" s="210"/>
      <c r="IXM90" s="209"/>
      <c r="IXN90" s="204"/>
      <c r="IXO90" s="204"/>
      <c r="IXP90" s="204"/>
      <c r="IXQ90" s="199"/>
      <c r="IXR90" s="167"/>
      <c r="IXS90" s="199"/>
      <c r="IXT90" s="200"/>
      <c r="IXU90" s="201"/>
      <c r="IXV90" s="202"/>
      <c r="IXW90" s="202"/>
      <c r="IXX90" s="202"/>
      <c r="IXY90" s="202"/>
      <c r="IXZ90" s="203"/>
      <c r="IYA90" s="204"/>
      <c r="IYB90" s="204"/>
      <c r="IYC90" s="204"/>
      <c r="IYD90" s="205"/>
      <c r="IYE90" s="206"/>
      <c r="IYF90" s="207"/>
      <c r="IYG90" s="207"/>
      <c r="IYH90" s="208"/>
      <c r="IYI90" s="209"/>
      <c r="IYJ90" s="207"/>
      <c r="IYK90" s="210"/>
      <c r="IYL90" s="209"/>
      <c r="IYM90" s="204"/>
      <c r="IYN90" s="204"/>
      <c r="IYO90" s="204"/>
      <c r="IYP90" s="199"/>
      <c r="IYQ90" s="167"/>
      <c r="IYR90" s="199"/>
      <c r="IYS90" s="200"/>
      <c r="IYT90" s="201"/>
      <c r="IYU90" s="202"/>
      <c r="IYV90" s="202"/>
      <c r="IYW90" s="202"/>
      <c r="IYX90" s="202"/>
      <c r="IYY90" s="203"/>
      <c r="IYZ90" s="204"/>
      <c r="IZA90" s="204"/>
      <c r="IZB90" s="204"/>
      <c r="IZC90" s="205"/>
      <c r="IZD90" s="206"/>
      <c r="IZE90" s="207"/>
      <c r="IZF90" s="207"/>
      <c r="IZG90" s="208"/>
      <c r="IZH90" s="209"/>
      <c r="IZI90" s="207"/>
      <c r="IZJ90" s="210"/>
      <c r="IZK90" s="209"/>
      <c r="IZL90" s="204"/>
      <c r="IZM90" s="204"/>
      <c r="IZN90" s="204"/>
      <c r="IZO90" s="199"/>
      <c r="IZP90" s="167"/>
      <c r="IZQ90" s="199"/>
      <c r="IZR90" s="200"/>
      <c r="IZS90" s="201"/>
      <c r="IZT90" s="202"/>
      <c r="IZU90" s="202"/>
      <c r="IZV90" s="202"/>
      <c r="IZW90" s="202"/>
      <c r="IZX90" s="203"/>
      <c r="IZY90" s="204"/>
      <c r="IZZ90" s="204"/>
      <c r="JAA90" s="204"/>
      <c r="JAB90" s="205"/>
      <c r="JAC90" s="206"/>
      <c r="JAD90" s="207"/>
      <c r="JAE90" s="207"/>
      <c r="JAF90" s="208"/>
      <c r="JAG90" s="209"/>
      <c r="JAH90" s="207"/>
      <c r="JAI90" s="210"/>
      <c r="JAJ90" s="209"/>
      <c r="JAK90" s="204"/>
      <c r="JAL90" s="204"/>
      <c r="JAM90" s="204"/>
      <c r="JAN90" s="199"/>
      <c r="JAO90" s="167"/>
      <c r="JAP90" s="199"/>
      <c r="JAQ90" s="200"/>
      <c r="JAR90" s="201"/>
      <c r="JAS90" s="202"/>
      <c r="JAT90" s="202"/>
      <c r="JAU90" s="202"/>
      <c r="JAV90" s="202"/>
      <c r="JAW90" s="203"/>
      <c r="JAX90" s="204"/>
      <c r="JAY90" s="204"/>
      <c r="JAZ90" s="204"/>
      <c r="JBA90" s="205"/>
      <c r="JBB90" s="206"/>
      <c r="JBC90" s="207"/>
      <c r="JBD90" s="207"/>
      <c r="JBE90" s="208"/>
      <c r="JBF90" s="209"/>
      <c r="JBG90" s="207"/>
      <c r="JBH90" s="210"/>
      <c r="JBI90" s="209"/>
      <c r="JBJ90" s="204"/>
      <c r="JBK90" s="204"/>
      <c r="JBL90" s="204"/>
      <c r="JBM90" s="199"/>
      <c r="JBN90" s="167"/>
      <c r="JBO90" s="199"/>
      <c r="JBP90" s="200"/>
      <c r="JBQ90" s="201"/>
      <c r="JBR90" s="202"/>
      <c r="JBS90" s="202"/>
      <c r="JBT90" s="202"/>
      <c r="JBU90" s="202"/>
      <c r="JBV90" s="203"/>
      <c r="JBW90" s="204"/>
      <c r="JBX90" s="204"/>
      <c r="JBY90" s="204"/>
      <c r="JBZ90" s="205"/>
      <c r="JCA90" s="206"/>
      <c r="JCB90" s="207"/>
      <c r="JCC90" s="207"/>
      <c r="JCD90" s="208"/>
      <c r="JCE90" s="209"/>
      <c r="JCF90" s="207"/>
      <c r="JCG90" s="210"/>
      <c r="JCH90" s="209"/>
      <c r="JCI90" s="204"/>
      <c r="JCJ90" s="204"/>
      <c r="JCK90" s="204"/>
      <c r="JCL90" s="199"/>
      <c r="JCM90" s="167"/>
      <c r="JCN90" s="199"/>
      <c r="JCO90" s="200"/>
      <c r="JCP90" s="201"/>
      <c r="JCQ90" s="202"/>
      <c r="JCR90" s="202"/>
      <c r="JCS90" s="202"/>
      <c r="JCT90" s="202"/>
      <c r="JCU90" s="203"/>
      <c r="JCV90" s="204"/>
      <c r="JCW90" s="204"/>
      <c r="JCX90" s="204"/>
      <c r="JCY90" s="205"/>
      <c r="JCZ90" s="206"/>
      <c r="JDA90" s="207"/>
      <c r="JDB90" s="207"/>
      <c r="JDC90" s="208"/>
      <c r="JDD90" s="209"/>
      <c r="JDE90" s="207"/>
      <c r="JDF90" s="210"/>
      <c r="JDG90" s="209"/>
      <c r="JDH90" s="204"/>
      <c r="JDI90" s="204"/>
      <c r="JDJ90" s="204"/>
      <c r="JDK90" s="199"/>
      <c r="JDL90" s="167"/>
      <c r="JDM90" s="199"/>
      <c r="JDN90" s="200"/>
      <c r="JDO90" s="201"/>
      <c r="JDP90" s="202"/>
      <c r="JDQ90" s="202"/>
      <c r="JDR90" s="202"/>
      <c r="JDS90" s="202"/>
      <c r="JDT90" s="203"/>
      <c r="JDU90" s="204"/>
      <c r="JDV90" s="204"/>
      <c r="JDW90" s="204"/>
      <c r="JDX90" s="205"/>
      <c r="JDY90" s="206"/>
      <c r="JDZ90" s="207"/>
      <c r="JEA90" s="207"/>
      <c r="JEB90" s="208"/>
      <c r="JEC90" s="209"/>
      <c r="JED90" s="207"/>
      <c r="JEE90" s="210"/>
      <c r="JEF90" s="209"/>
      <c r="JEG90" s="204"/>
      <c r="JEH90" s="204"/>
      <c r="JEI90" s="204"/>
      <c r="JEJ90" s="199"/>
      <c r="JEK90" s="167"/>
      <c r="JEL90" s="199"/>
      <c r="JEM90" s="200"/>
      <c r="JEN90" s="201"/>
      <c r="JEO90" s="202"/>
      <c r="JEP90" s="202"/>
      <c r="JEQ90" s="202"/>
      <c r="JER90" s="202"/>
      <c r="JES90" s="203"/>
      <c r="JET90" s="204"/>
      <c r="JEU90" s="204"/>
      <c r="JEV90" s="204"/>
      <c r="JEW90" s="205"/>
      <c r="JEX90" s="206"/>
      <c r="JEY90" s="207"/>
      <c r="JEZ90" s="207"/>
      <c r="JFA90" s="208"/>
      <c r="JFB90" s="209"/>
      <c r="JFC90" s="207"/>
      <c r="JFD90" s="210"/>
      <c r="JFE90" s="209"/>
      <c r="JFF90" s="204"/>
      <c r="JFG90" s="204"/>
      <c r="JFH90" s="204"/>
      <c r="JFI90" s="199"/>
      <c r="JFJ90" s="167"/>
      <c r="JFK90" s="199"/>
      <c r="JFL90" s="200"/>
      <c r="JFM90" s="201"/>
      <c r="JFN90" s="202"/>
      <c r="JFO90" s="202"/>
      <c r="JFP90" s="202"/>
      <c r="JFQ90" s="202"/>
      <c r="JFR90" s="203"/>
      <c r="JFS90" s="204"/>
      <c r="JFT90" s="204"/>
      <c r="JFU90" s="204"/>
      <c r="JFV90" s="205"/>
      <c r="JFW90" s="206"/>
      <c r="JFX90" s="207"/>
      <c r="JFY90" s="207"/>
      <c r="JFZ90" s="208"/>
      <c r="JGA90" s="209"/>
      <c r="JGB90" s="207"/>
      <c r="JGC90" s="210"/>
      <c r="JGD90" s="209"/>
      <c r="JGE90" s="204"/>
      <c r="JGF90" s="204"/>
      <c r="JGG90" s="204"/>
      <c r="JGH90" s="199"/>
      <c r="JGI90" s="167"/>
      <c r="JGJ90" s="199"/>
      <c r="JGK90" s="200"/>
      <c r="JGL90" s="201"/>
      <c r="JGM90" s="202"/>
      <c r="JGN90" s="202"/>
      <c r="JGO90" s="202"/>
      <c r="JGP90" s="202"/>
      <c r="JGQ90" s="203"/>
      <c r="JGR90" s="204"/>
      <c r="JGS90" s="204"/>
      <c r="JGT90" s="204"/>
      <c r="JGU90" s="205"/>
      <c r="JGV90" s="206"/>
      <c r="JGW90" s="207"/>
      <c r="JGX90" s="207"/>
      <c r="JGY90" s="208"/>
      <c r="JGZ90" s="209"/>
      <c r="JHA90" s="207"/>
      <c r="JHB90" s="210"/>
      <c r="JHC90" s="209"/>
      <c r="JHD90" s="204"/>
      <c r="JHE90" s="204"/>
      <c r="JHF90" s="204"/>
      <c r="JHG90" s="199"/>
      <c r="JHH90" s="167"/>
      <c r="JHI90" s="199"/>
      <c r="JHJ90" s="200"/>
      <c r="JHK90" s="201"/>
      <c r="JHL90" s="202"/>
      <c r="JHM90" s="202"/>
      <c r="JHN90" s="202"/>
      <c r="JHO90" s="202"/>
      <c r="JHP90" s="203"/>
      <c r="JHQ90" s="204"/>
      <c r="JHR90" s="204"/>
      <c r="JHS90" s="204"/>
      <c r="JHT90" s="205"/>
      <c r="JHU90" s="206"/>
      <c r="JHV90" s="207"/>
      <c r="JHW90" s="207"/>
      <c r="JHX90" s="208"/>
      <c r="JHY90" s="209"/>
      <c r="JHZ90" s="207"/>
      <c r="JIA90" s="210"/>
      <c r="JIB90" s="209"/>
      <c r="JIC90" s="204"/>
      <c r="JID90" s="204"/>
      <c r="JIE90" s="204"/>
      <c r="JIF90" s="199"/>
      <c r="JIG90" s="167"/>
      <c r="JIH90" s="199"/>
      <c r="JII90" s="200"/>
      <c r="JIJ90" s="201"/>
      <c r="JIK90" s="202"/>
      <c r="JIL90" s="202"/>
      <c r="JIM90" s="202"/>
      <c r="JIN90" s="202"/>
      <c r="JIO90" s="203"/>
      <c r="JIP90" s="204"/>
      <c r="JIQ90" s="204"/>
      <c r="JIR90" s="204"/>
      <c r="JIS90" s="205"/>
      <c r="JIT90" s="206"/>
      <c r="JIU90" s="207"/>
      <c r="JIV90" s="207"/>
      <c r="JIW90" s="208"/>
      <c r="JIX90" s="209"/>
      <c r="JIY90" s="207"/>
      <c r="JIZ90" s="210"/>
      <c r="JJA90" s="209"/>
      <c r="JJB90" s="204"/>
      <c r="JJC90" s="204"/>
      <c r="JJD90" s="204"/>
      <c r="JJE90" s="199"/>
      <c r="JJF90" s="167"/>
      <c r="JJG90" s="199"/>
      <c r="JJH90" s="200"/>
      <c r="JJI90" s="201"/>
      <c r="JJJ90" s="202"/>
      <c r="JJK90" s="202"/>
      <c r="JJL90" s="202"/>
      <c r="JJM90" s="202"/>
      <c r="JJN90" s="203"/>
      <c r="JJO90" s="204"/>
      <c r="JJP90" s="204"/>
      <c r="JJQ90" s="204"/>
      <c r="JJR90" s="205"/>
      <c r="JJS90" s="206"/>
      <c r="JJT90" s="207"/>
      <c r="JJU90" s="207"/>
      <c r="JJV90" s="208"/>
      <c r="JJW90" s="209"/>
      <c r="JJX90" s="207"/>
      <c r="JJY90" s="210"/>
      <c r="JJZ90" s="209"/>
      <c r="JKA90" s="204"/>
      <c r="JKB90" s="204"/>
      <c r="JKC90" s="204"/>
      <c r="JKD90" s="199"/>
      <c r="JKE90" s="167"/>
      <c r="JKF90" s="199"/>
      <c r="JKG90" s="200"/>
      <c r="JKH90" s="201"/>
      <c r="JKI90" s="202"/>
      <c r="JKJ90" s="202"/>
      <c r="JKK90" s="202"/>
      <c r="JKL90" s="202"/>
      <c r="JKM90" s="203"/>
      <c r="JKN90" s="204"/>
      <c r="JKO90" s="204"/>
      <c r="JKP90" s="204"/>
      <c r="JKQ90" s="205"/>
      <c r="JKR90" s="206"/>
      <c r="JKS90" s="207"/>
      <c r="JKT90" s="207"/>
      <c r="JKU90" s="208"/>
      <c r="JKV90" s="209"/>
      <c r="JKW90" s="207"/>
      <c r="JKX90" s="210"/>
      <c r="JKY90" s="209"/>
      <c r="JKZ90" s="204"/>
      <c r="JLA90" s="204"/>
      <c r="JLB90" s="204"/>
      <c r="JLC90" s="199"/>
      <c r="JLD90" s="167"/>
      <c r="JLE90" s="199"/>
      <c r="JLF90" s="200"/>
      <c r="JLG90" s="201"/>
      <c r="JLH90" s="202"/>
      <c r="JLI90" s="202"/>
      <c r="JLJ90" s="202"/>
      <c r="JLK90" s="202"/>
      <c r="JLL90" s="203"/>
      <c r="JLM90" s="204"/>
      <c r="JLN90" s="204"/>
      <c r="JLO90" s="204"/>
      <c r="JLP90" s="205"/>
      <c r="JLQ90" s="206"/>
      <c r="JLR90" s="207"/>
      <c r="JLS90" s="207"/>
      <c r="JLT90" s="208"/>
      <c r="JLU90" s="209"/>
      <c r="JLV90" s="207"/>
      <c r="JLW90" s="210"/>
      <c r="JLX90" s="209"/>
      <c r="JLY90" s="204"/>
      <c r="JLZ90" s="204"/>
      <c r="JMA90" s="204"/>
      <c r="JMB90" s="199"/>
      <c r="JMC90" s="167"/>
      <c r="JMD90" s="199"/>
      <c r="JME90" s="200"/>
      <c r="JMF90" s="201"/>
      <c r="JMG90" s="202"/>
      <c r="JMH90" s="202"/>
      <c r="JMI90" s="202"/>
      <c r="JMJ90" s="202"/>
      <c r="JMK90" s="203"/>
      <c r="JML90" s="204"/>
      <c r="JMM90" s="204"/>
      <c r="JMN90" s="204"/>
      <c r="JMO90" s="205"/>
      <c r="JMP90" s="206"/>
      <c r="JMQ90" s="207"/>
      <c r="JMR90" s="207"/>
      <c r="JMS90" s="208"/>
      <c r="JMT90" s="209"/>
      <c r="JMU90" s="207"/>
      <c r="JMV90" s="210"/>
      <c r="JMW90" s="209"/>
      <c r="JMX90" s="204"/>
      <c r="JMY90" s="204"/>
      <c r="JMZ90" s="204"/>
      <c r="JNA90" s="199"/>
      <c r="JNB90" s="167"/>
      <c r="JNC90" s="199"/>
      <c r="JND90" s="200"/>
      <c r="JNE90" s="201"/>
      <c r="JNF90" s="202"/>
      <c r="JNG90" s="202"/>
      <c r="JNH90" s="202"/>
      <c r="JNI90" s="202"/>
      <c r="JNJ90" s="203"/>
      <c r="JNK90" s="204"/>
      <c r="JNL90" s="204"/>
      <c r="JNM90" s="204"/>
      <c r="JNN90" s="205"/>
      <c r="JNO90" s="206"/>
      <c r="JNP90" s="207"/>
      <c r="JNQ90" s="207"/>
      <c r="JNR90" s="208"/>
      <c r="JNS90" s="209"/>
      <c r="JNT90" s="207"/>
      <c r="JNU90" s="210"/>
      <c r="JNV90" s="209"/>
      <c r="JNW90" s="204"/>
      <c r="JNX90" s="204"/>
      <c r="JNY90" s="204"/>
      <c r="JNZ90" s="199"/>
      <c r="JOA90" s="167"/>
      <c r="JOB90" s="199"/>
      <c r="JOC90" s="200"/>
      <c r="JOD90" s="201"/>
      <c r="JOE90" s="202"/>
      <c r="JOF90" s="202"/>
      <c r="JOG90" s="202"/>
      <c r="JOH90" s="202"/>
      <c r="JOI90" s="203"/>
      <c r="JOJ90" s="204"/>
      <c r="JOK90" s="204"/>
      <c r="JOL90" s="204"/>
      <c r="JOM90" s="205"/>
      <c r="JON90" s="206"/>
      <c r="JOO90" s="207"/>
      <c r="JOP90" s="207"/>
      <c r="JOQ90" s="208"/>
      <c r="JOR90" s="209"/>
      <c r="JOS90" s="207"/>
      <c r="JOT90" s="210"/>
      <c r="JOU90" s="209"/>
      <c r="JOV90" s="204"/>
      <c r="JOW90" s="204"/>
      <c r="JOX90" s="204"/>
      <c r="JOY90" s="199"/>
      <c r="JOZ90" s="167"/>
      <c r="JPA90" s="199"/>
      <c r="JPB90" s="200"/>
      <c r="JPC90" s="201"/>
      <c r="JPD90" s="202"/>
      <c r="JPE90" s="202"/>
      <c r="JPF90" s="202"/>
      <c r="JPG90" s="202"/>
      <c r="JPH90" s="203"/>
      <c r="JPI90" s="204"/>
      <c r="JPJ90" s="204"/>
      <c r="JPK90" s="204"/>
      <c r="JPL90" s="205"/>
      <c r="JPM90" s="206"/>
      <c r="JPN90" s="207"/>
      <c r="JPO90" s="207"/>
      <c r="JPP90" s="208"/>
      <c r="JPQ90" s="209"/>
      <c r="JPR90" s="207"/>
      <c r="JPS90" s="210"/>
      <c r="JPT90" s="209"/>
      <c r="JPU90" s="204"/>
      <c r="JPV90" s="204"/>
      <c r="JPW90" s="204"/>
      <c r="JPX90" s="199"/>
      <c r="JPY90" s="167"/>
      <c r="JPZ90" s="199"/>
      <c r="JQA90" s="200"/>
      <c r="JQB90" s="201"/>
      <c r="JQC90" s="202"/>
      <c r="JQD90" s="202"/>
      <c r="JQE90" s="202"/>
      <c r="JQF90" s="202"/>
      <c r="JQG90" s="203"/>
      <c r="JQH90" s="204"/>
      <c r="JQI90" s="204"/>
      <c r="JQJ90" s="204"/>
      <c r="JQK90" s="205"/>
      <c r="JQL90" s="206"/>
      <c r="JQM90" s="207"/>
      <c r="JQN90" s="207"/>
      <c r="JQO90" s="208"/>
      <c r="JQP90" s="209"/>
      <c r="JQQ90" s="207"/>
      <c r="JQR90" s="210"/>
      <c r="JQS90" s="209"/>
      <c r="JQT90" s="204"/>
      <c r="JQU90" s="204"/>
      <c r="JQV90" s="204"/>
      <c r="JQW90" s="199"/>
      <c r="JQX90" s="167"/>
      <c r="JQY90" s="199"/>
      <c r="JQZ90" s="200"/>
      <c r="JRA90" s="201"/>
      <c r="JRB90" s="202"/>
      <c r="JRC90" s="202"/>
      <c r="JRD90" s="202"/>
      <c r="JRE90" s="202"/>
      <c r="JRF90" s="203"/>
      <c r="JRG90" s="204"/>
      <c r="JRH90" s="204"/>
      <c r="JRI90" s="204"/>
      <c r="JRJ90" s="205"/>
      <c r="JRK90" s="206"/>
      <c r="JRL90" s="207"/>
      <c r="JRM90" s="207"/>
      <c r="JRN90" s="208"/>
      <c r="JRO90" s="209"/>
      <c r="JRP90" s="207"/>
      <c r="JRQ90" s="210"/>
      <c r="JRR90" s="209"/>
      <c r="JRS90" s="204"/>
      <c r="JRT90" s="204"/>
      <c r="JRU90" s="204"/>
      <c r="JRV90" s="199"/>
      <c r="JRW90" s="167"/>
      <c r="JRX90" s="199"/>
      <c r="JRY90" s="200"/>
      <c r="JRZ90" s="201"/>
      <c r="JSA90" s="202"/>
      <c r="JSB90" s="202"/>
      <c r="JSC90" s="202"/>
      <c r="JSD90" s="202"/>
      <c r="JSE90" s="203"/>
      <c r="JSF90" s="204"/>
      <c r="JSG90" s="204"/>
      <c r="JSH90" s="204"/>
      <c r="JSI90" s="205"/>
      <c r="JSJ90" s="206"/>
      <c r="JSK90" s="207"/>
      <c r="JSL90" s="207"/>
      <c r="JSM90" s="208"/>
      <c r="JSN90" s="209"/>
      <c r="JSO90" s="207"/>
      <c r="JSP90" s="210"/>
      <c r="JSQ90" s="209"/>
      <c r="JSR90" s="204"/>
      <c r="JSS90" s="204"/>
      <c r="JST90" s="204"/>
      <c r="JSU90" s="199"/>
      <c r="JSV90" s="167"/>
      <c r="JSW90" s="199"/>
      <c r="JSX90" s="200"/>
      <c r="JSY90" s="201"/>
      <c r="JSZ90" s="202"/>
      <c r="JTA90" s="202"/>
      <c r="JTB90" s="202"/>
      <c r="JTC90" s="202"/>
      <c r="JTD90" s="203"/>
      <c r="JTE90" s="204"/>
      <c r="JTF90" s="204"/>
      <c r="JTG90" s="204"/>
      <c r="JTH90" s="205"/>
      <c r="JTI90" s="206"/>
      <c r="JTJ90" s="207"/>
      <c r="JTK90" s="207"/>
      <c r="JTL90" s="208"/>
      <c r="JTM90" s="209"/>
      <c r="JTN90" s="207"/>
      <c r="JTO90" s="210"/>
      <c r="JTP90" s="209"/>
      <c r="JTQ90" s="204"/>
      <c r="JTR90" s="204"/>
      <c r="JTS90" s="204"/>
      <c r="JTT90" s="199"/>
      <c r="JTU90" s="167"/>
      <c r="JTV90" s="199"/>
      <c r="JTW90" s="200"/>
      <c r="JTX90" s="201"/>
      <c r="JTY90" s="202"/>
      <c r="JTZ90" s="202"/>
      <c r="JUA90" s="202"/>
      <c r="JUB90" s="202"/>
      <c r="JUC90" s="203"/>
      <c r="JUD90" s="204"/>
      <c r="JUE90" s="204"/>
      <c r="JUF90" s="204"/>
      <c r="JUG90" s="205"/>
      <c r="JUH90" s="206"/>
      <c r="JUI90" s="207"/>
      <c r="JUJ90" s="207"/>
      <c r="JUK90" s="208"/>
      <c r="JUL90" s="209"/>
      <c r="JUM90" s="207"/>
      <c r="JUN90" s="210"/>
      <c r="JUO90" s="209"/>
      <c r="JUP90" s="204"/>
      <c r="JUQ90" s="204"/>
      <c r="JUR90" s="204"/>
      <c r="JUS90" s="199"/>
      <c r="JUT90" s="167"/>
      <c r="JUU90" s="199"/>
      <c r="JUV90" s="200"/>
      <c r="JUW90" s="201"/>
      <c r="JUX90" s="202"/>
      <c r="JUY90" s="202"/>
      <c r="JUZ90" s="202"/>
      <c r="JVA90" s="202"/>
      <c r="JVB90" s="203"/>
      <c r="JVC90" s="204"/>
      <c r="JVD90" s="204"/>
      <c r="JVE90" s="204"/>
      <c r="JVF90" s="205"/>
      <c r="JVG90" s="206"/>
      <c r="JVH90" s="207"/>
      <c r="JVI90" s="207"/>
      <c r="JVJ90" s="208"/>
      <c r="JVK90" s="209"/>
      <c r="JVL90" s="207"/>
      <c r="JVM90" s="210"/>
      <c r="JVN90" s="209"/>
      <c r="JVO90" s="204"/>
      <c r="JVP90" s="204"/>
      <c r="JVQ90" s="204"/>
      <c r="JVR90" s="199"/>
      <c r="JVS90" s="167"/>
      <c r="JVT90" s="199"/>
      <c r="JVU90" s="200"/>
      <c r="JVV90" s="201"/>
      <c r="JVW90" s="202"/>
      <c r="JVX90" s="202"/>
      <c r="JVY90" s="202"/>
      <c r="JVZ90" s="202"/>
      <c r="JWA90" s="203"/>
      <c r="JWB90" s="204"/>
      <c r="JWC90" s="204"/>
      <c r="JWD90" s="204"/>
      <c r="JWE90" s="205"/>
      <c r="JWF90" s="206"/>
      <c r="JWG90" s="207"/>
      <c r="JWH90" s="207"/>
      <c r="JWI90" s="208"/>
      <c r="JWJ90" s="209"/>
      <c r="JWK90" s="207"/>
      <c r="JWL90" s="210"/>
      <c r="JWM90" s="209"/>
      <c r="JWN90" s="204"/>
      <c r="JWO90" s="204"/>
      <c r="JWP90" s="204"/>
      <c r="JWQ90" s="199"/>
      <c r="JWR90" s="167"/>
      <c r="JWS90" s="199"/>
      <c r="JWT90" s="200"/>
      <c r="JWU90" s="201"/>
      <c r="JWV90" s="202"/>
      <c r="JWW90" s="202"/>
      <c r="JWX90" s="202"/>
      <c r="JWY90" s="202"/>
      <c r="JWZ90" s="203"/>
      <c r="JXA90" s="204"/>
      <c r="JXB90" s="204"/>
      <c r="JXC90" s="204"/>
      <c r="JXD90" s="205"/>
      <c r="JXE90" s="206"/>
      <c r="JXF90" s="207"/>
      <c r="JXG90" s="207"/>
      <c r="JXH90" s="208"/>
      <c r="JXI90" s="209"/>
      <c r="JXJ90" s="207"/>
      <c r="JXK90" s="210"/>
      <c r="JXL90" s="209"/>
      <c r="JXM90" s="204"/>
      <c r="JXN90" s="204"/>
      <c r="JXO90" s="204"/>
      <c r="JXP90" s="199"/>
      <c r="JXQ90" s="167"/>
      <c r="JXR90" s="199"/>
      <c r="JXS90" s="200"/>
      <c r="JXT90" s="201"/>
      <c r="JXU90" s="202"/>
      <c r="JXV90" s="202"/>
      <c r="JXW90" s="202"/>
      <c r="JXX90" s="202"/>
      <c r="JXY90" s="203"/>
      <c r="JXZ90" s="204"/>
      <c r="JYA90" s="204"/>
      <c r="JYB90" s="204"/>
      <c r="JYC90" s="205"/>
      <c r="JYD90" s="206"/>
      <c r="JYE90" s="207"/>
      <c r="JYF90" s="207"/>
      <c r="JYG90" s="208"/>
      <c r="JYH90" s="209"/>
      <c r="JYI90" s="207"/>
      <c r="JYJ90" s="210"/>
      <c r="JYK90" s="209"/>
      <c r="JYL90" s="204"/>
      <c r="JYM90" s="204"/>
      <c r="JYN90" s="204"/>
      <c r="JYO90" s="199"/>
      <c r="JYP90" s="167"/>
      <c r="JYQ90" s="199"/>
      <c r="JYR90" s="200"/>
      <c r="JYS90" s="201"/>
      <c r="JYT90" s="202"/>
      <c r="JYU90" s="202"/>
      <c r="JYV90" s="202"/>
      <c r="JYW90" s="202"/>
      <c r="JYX90" s="203"/>
      <c r="JYY90" s="204"/>
      <c r="JYZ90" s="204"/>
      <c r="JZA90" s="204"/>
      <c r="JZB90" s="205"/>
      <c r="JZC90" s="206"/>
      <c r="JZD90" s="207"/>
      <c r="JZE90" s="207"/>
      <c r="JZF90" s="208"/>
      <c r="JZG90" s="209"/>
      <c r="JZH90" s="207"/>
      <c r="JZI90" s="210"/>
      <c r="JZJ90" s="209"/>
      <c r="JZK90" s="204"/>
      <c r="JZL90" s="204"/>
      <c r="JZM90" s="204"/>
      <c r="JZN90" s="199"/>
      <c r="JZO90" s="167"/>
      <c r="JZP90" s="199"/>
      <c r="JZQ90" s="200"/>
      <c r="JZR90" s="201"/>
      <c r="JZS90" s="202"/>
      <c r="JZT90" s="202"/>
      <c r="JZU90" s="202"/>
      <c r="JZV90" s="202"/>
      <c r="JZW90" s="203"/>
      <c r="JZX90" s="204"/>
      <c r="JZY90" s="204"/>
      <c r="JZZ90" s="204"/>
      <c r="KAA90" s="205"/>
      <c r="KAB90" s="206"/>
      <c r="KAC90" s="207"/>
      <c r="KAD90" s="207"/>
      <c r="KAE90" s="208"/>
      <c r="KAF90" s="209"/>
      <c r="KAG90" s="207"/>
      <c r="KAH90" s="210"/>
      <c r="KAI90" s="209"/>
      <c r="KAJ90" s="204"/>
      <c r="KAK90" s="204"/>
      <c r="KAL90" s="204"/>
      <c r="KAM90" s="199"/>
      <c r="KAN90" s="167"/>
      <c r="KAO90" s="199"/>
      <c r="KAP90" s="200"/>
      <c r="KAQ90" s="201"/>
      <c r="KAR90" s="202"/>
      <c r="KAS90" s="202"/>
      <c r="KAT90" s="202"/>
      <c r="KAU90" s="202"/>
      <c r="KAV90" s="203"/>
      <c r="KAW90" s="204"/>
      <c r="KAX90" s="204"/>
      <c r="KAY90" s="204"/>
      <c r="KAZ90" s="205"/>
      <c r="KBA90" s="206"/>
      <c r="KBB90" s="207"/>
      <c r="KBC90" s="207"/>
      <c r="KBD90" s="208"/>
      <c r="KBE90" s="209"/>
      <c r="KBF90" s="207"/>
      <c r="KBG90" s="210"/>
      <c r="KBH90" s="209"/>
      <c r="KBI90" s="204"/>
      <c r="KBJ90" s="204"/>
      <c r="KBK90" s="204"/>
      <c r="KBL90" s="199"/>
      <c r="KBM90" s="167"/>
      <c r="KBN90" s="199"/>
      <c r="KBO90" s="200"/>
      <c r="KBP90" s="201"/>
      <c r="KBQ90" s="202"/>
      <c r="KBR90" s="202"/>
      <c r="KBS90" s="202"/>
      <c r="KBT90" s="202"/>
      <c r="KBU90" s="203"/>
      <c r="KBV90" s="204"/>
      <c r="KBW90" s="204"/>
      <c r="KBX90" s="204"/>
      <c r="KBY90" s="205"/>
      <c r="KBZ90" s="206"/>
      <c r="KCA90" s="207"/>
      <c r="KCB90" s="207"/>
      <c r="KCC90" s="208"/>
      <c r="KCD90" s="209"/>
      <c r="KCE90" s="207"/>
      <c r="KCF90" s="210"/>
      <c r="KCG90" s="209"/>
      <c r="KCH90" s="204"/>
      <c r="KCI90" s="204"/>
      <c r="KCJ90" s="204"/>
      <c r="KCK90" s="199"/>
      <c r="KCL90" s="167"/>
      <c r="KCM90" s="199"/>
      <c r="KCN90" s="200"/>
      <c r="KCO90" s="201"/>
      <c r="KCP90" s="202"/>
      <c r="KCQ90" s="202"/>
      <c r="KCR90" s="202"/>
      <c r="KCS90" s="202"/>
      <c r="KCT90" s="203"/>
      <c r="KCU90" s="204"/>
      <c r="KCV90" s="204"/>
      <c r="KCW90" s="204"/>
      <c r="KCX90" s="205"/>
      <c r="KCY90" s="206"/>
      <c r="KCZ90" s="207"/>
      <c r="KDA90" s="207"/>
      <c r="KDB90" s="208"/>
      <c r="KDC90" s="209"/>
      <c r="KDD90" s="207"/>
      <c r="KDE90" s="210"/>
      <c r="KDF90" s="209"/>
      <c r="KDG90" s="204"/>
      <c r="KDH90" s="204"/>
      <c r="KDI90" s="204"/>
      <c r="KDJ90" s="199"/>
      <c r="KDK90" s="167"/>
      <c r="KDL90" s="199"/>
      <c r="KDM90" s="200"/>
      <c r="KDN90" s="201"/>
      <c r="KDO90" s="202"/>
      <c r="KDP90" s="202"/>
      <c r="KDQ90" s="202"/>
      <c r="KDR90" s="202"/>
      <c r="KDS90" s="203"/>
      <c r="KDT90" s="204"/>
      <c r="KDU90" s="204"/>
      <c r="KDV90" s="204"/>
      <c r="KDW90" s="205"/>
      <c r="KDX90" s="206"/>
      <c r="KDY90" s="207"/>
      <c r="KDZ90" s="207"/>
      <c r="KEA90" s="208"/>
      <c r="KEB90" s="209"/>
      <c r="KEC90" s="207"/>
      <c r="KED90" s="210"/>
      <c r="KEE90" s="209"/>
      <c r="KEF90" s="204"/>
      <c r="KEG90" s="204"/>
      <c r="KEH90" s="204"/>
      <c r="KEI90" s="199"/>
      <c r="KEJ90" s="167"/>
      <c r="KEK90" s="199"/>
      <c r="KEL90" s="200"/>
      <c r="KEM90" s="201"/>
      <c r="KEN90" s="202"/>
      <c r="KEO90" s="202"/>
      <c r="KEP90" s="202"/>
      <c r="KEQ90" s="202"/>
      <c r="KER90" s="203"/>
      <c r="KES90" s="204"/>
      <c r="KET90" s="204"/>
      <c r="KEU90" s="204"/>
      <c r="KEV90" s="205"/>
      <c r="KEW90" s="206"/>
      <c r="KEX90" s="207"/>
      <c r="KEY90" s="207"/>
      <c r="KEZ90" s="208"/>
      <c r="KFA90" s="209"/>
      <c r="KFB90" s="207"/>
      <c r="KFC90" s="210"/>
      <c r="KFD90" s="209"/>
      <c r="KFE90" s="204"/>
      <c r="KFF90" s="204"/>
      <c r="KFG90" s="204"/>
      <c r="KFH90" s="199"/>
      <c r="KFI90" s="167"/>
      <c r="KFJ90" s="199"/>
      <c r="KFK90" s="200"/>
      <c r="KFL90" s="201"/>
      <c r="KFM90" s="202"/>
      <c r="KFN90" s="202"/>
      <c r="KFO90" s="202"/>
      <c r="KFP90" s="202"/>
      <c r="KFQ90" s="203"/>
      <c r="KFR90" s="204"/>
      <c r="KFS90" s="204"/>
      <c r="KFT90" s="204"/>
      <c r="KFU90" s="205"/>
      <c r="KFV90" s="206"/>
      <c r="KFW90" s="207"/>
      <c r="KFX90" s="207"/>
      <c r="KFY90" s="208"/>
      <c r="KFZ90" s="209"/>
      <c r="KGA90" s="207"/>
      <c r="KGB90" s="210"/>
      <c r="KGC90" s="209"/>
      <c r="KGD90" s="204"/>
      <c r="KGE90" s="204"/>
      <c r="KGF90" s="204"/>
      <c r="KGG90" s="199"/>
      <c r="KGH90" s="167"/>
      <c r="KGI90" s="199"/>
      <c r="KGJ90" s="200"/>
      <c r="KGK90" s="201"/>
      <c r="KGL90" s="202"/>
      <c r="KGM90" s="202"/>
      <c r="KGN90" s="202"/>
      <c r="KGO90" s="202"/>
      <c r="KGP90" s="203"/>
      <c r="KGQ90" s="204"/>
      <c r="KGR90" s="204"/>
      <c r="KGS90" s="204"/>
      <c r="KGT90" s="205"/>
      <c r="KGU90" s="206"/>
      <c r="KGV90" s="207"/>
      <c r="KGW90" s="207"/>
      <c r="KGX90" s="208"/>
      <c r="KGY90" s="209"/>
      <c r="KGZ90" s="207"/>
      <c r="KHA90" s="210"/>
      <c r="KHB90" s="209"/>
      <c r="KHC90" s="204"/>
      <c r="KHD90" s="204"/>
      <c r="KHE90" s="204"/>
      <c r="KHF90" s="199"/>
      <c r="KHG90" s="167"/>
      <c r="KHH90" s="199"/>
      <c r="KHI90" s="200"/>
      <c r="KHJ90" s="201"/>
      <c r="KHK90" s="202"/>
      <c r="KHL90" s="202"/>
      <c r="KHM90" s="202"/>
      <c r="KHN90" s="202"/>
      <c r="KHO90" s="203"/>
      <c r="KHP90" s="204"/>
      <c r="KHQ90" s="204"/>
      <c r="KHR90" s="204"/>
      <c r="KHS90" s="205"/>
      <c r="KHT90" s="206"/>
      <c r="KHU90" s="207"/>
      <c r="KHV90" s="207"/>
      <c r="KHW90" s="208"/>
      <c r="KHX90" s="209"/>
      <c r="KHY90" s="207"/>
      <c r="KHZ90" s="210"/>
      <c r="KIA90" s="209"/>
      <c r="KIB90" s="204"/>
      <c r="KIC90" s="204"/>
      <c r="KID90" s="204"/>
      <c r="KIE90" s="199"/>
      <c r="KIF90" s="167"/>
      <c r="KIG90" s="199"/>
      <c r="KIH90" s="200"/>
      <c r="KII90" s="201"/>
      <c r="KIJ90" s="202"/>
      <c r="KIK90" s="202"/>
      <c r="KIL90" s="202"/>
      <c r="KIM90" s="202"/>
      <c r="KIN90" s="203"/>
      <c r="KIO90" s="204"/>
      <c r="KIP90" s="204"/>
      <c r="KIQ90" s="204"/>
      <c r="KIR90" s="205"/>
      <c r="KIS90" s="206"/>
      <c r="KIT90" s="207"/>
      <c r="KIU90" s="207"/>
      <c r="KIV90" s="208"/>
      <c r="KIW90" s="209"/>
      <c r="KIX90" s="207"/>
      <c r="KIY90" s="210"/>
      <c r="KIZ90" s="209"/>
      <c r="KJA90" s="204"/>
      <c r="KJB90" s="204"/>
      <c r="KJC90" s="204"/>
      <c r="KJD90" s="199"/>
      <c r="KJE90" s="167"/>
      <c r="KJF90" s="199"/>
      <c r="KJG90" s="200"/>
      <c r="KJH90" s="201"/>
      <c r="KJI90" s="202"/>
      <c r="KJJ90" s="202"/>
      <c r="KJK90" s="202"/>
      <c r="KJL90" s="202"/>
      <c r="KJM90" s="203"/>
      <c r="KJN90" s="204"/>
      <c r="KJO90" s="204"/>
      <c r="KJP90" s="204"/>
      <c r="KJQ90" s="205"/>
      <c r="KJR90" s="206"/>
      <c r="KJS90" s="207"/>
      <c r="KJT90" s="207"/>
      <c r="KJU90" s="208"/>
      <c r="KJV90" s="209"/>
      <c r="KJW90" s="207"/>
      <c r="KJX90" s="210"/>
      <c r="KJY90" s="209"/>
      <c r="KJZ90" s="204"/>
      <c r="KKA90" s="204"/>
      <c r="KKB90" s="204"/>
      <c r="KKC90" s="199"/>
      <c r="KKD90" s="167"/>
      <c r="KKE90" s="199"/>
      <c r="KKF90" s="200"/>
      <c r="KKG90" s="201"/>
      <c r="KKH90" s="202"/>
      <c r="KKI90" s="202"/>
      <c r="KKJ90" s="202"/>
      <c r="KKK90" s="202"/>
      <c r="KKL90" s="203"/>
      <c r="KKM90" s="204"/>
      <c r="KKN90" s="204"/>
      <c r="KKO90" s="204"/>
      <c r="KKP90" s="205"/>
      <c r="KKQ90" s="206"/>
      <c r="KKR90" s="207"/>
      <c r="KKS90" s="207"/>
      <c r="KKT90" s="208"/>
      <c r="KKU90" s="209"/>
      <c r="KKV90" s="207"/>
      <c r="KKW90" s="210"/>
      <c r="KKX90" s="209"/>
      <c r="KKY90" s="204"/>
      <c r="KKZ90" s="204"/>
      <c r="KLA90" s="204"/>
      <c r="KLB90" s="199"/>
      <c r="KLC90" s="167"/>
      <c r="KLD90" s="199"/>
      <c r="KLE90" s="200"/>
      <c r="KLF90" s="201"/>
      <c r="KLG90" s="202"/>
      <c r="KLH90" s="202"/>
      <c r="KLI90" s="202"/>
      <c r="KLJ90" s="202"/>
      <c r="KLK90" s="203"/>
      <c r="KLL90" s="204"/>
      <c r="KLM90" s="204"/>
      <c r="KLN90" s="204"/>
      <c r="KLO90" s="205"/>
      <c r="KLP90" s="206"/>
      <c r="KLQ90" s="207"/>
      <c r="KLR90" s="207"/>
      <c r="KLS90" s="208"/>
      <c r="KLT90" s="209"/>
      <c r="KLU90" s="207"/>
      <c r="KLV90" s="210"/>
      <c r="KLW90" s="209"/>
      <c r="KLX90" s="204"/>
      <c r="KLY90" s="204"/>
      <c r="KLZ90" s="204"/>
      <c r="KMA90" s="199"/>
      <c r="KMB90" s="167"/>
      <c r="KMC90" s="199"/>
      <c r="KMD90" s="200"/>
      <c r="KME90" s="201"/>
      <c r="KMF90" s="202"/>
      <c r="KMG90" s="202"/>
      <c r="KMH90" s="202"/>
      <c r="KMI90" s="202"/>
      <c r="KMJ90" s="203"/>
      <c r="KMK90" s="204"/>
      <c r="KML90" s="204"/>
      <c r="KMM90" s="204"/>
      <c r="KMN90" s="205"/>
      <c r="KMO90" s="206"/>
      <c r="KMP90" s="207"/>
      <c r="KMQ90" s="207"/>
      <c r="KMR90" s="208"/>
      <c r="KMS90" s="209"/>
      <c r="KMT90" s="207"/>
      <c r="KMU90" s="210"/>
      <c r="KMV90" s="209"/>
      <c r="KMW90" s="204"/>
      <c r="KMX90" s="204"/>
      <c r="KMY90" s="204"/>
      <c r="KMZ90" s="199"/>
      <c r="KNA90" s="167"/>
      <c r="KNB90" s="199"/>
      <c r="KNC90" s="200"/>
      <c r="KND90" s="201"/>
      <c r="KNE90" s="202"/>
      <c r="KNF90" s="202"/>
      <c r="KNG90" s="202"/>
      <c r="KNH90" s="202"/>
      <c r="KNI90" s="203"/>
      <c r="KNJ90" s="204"/>
      <c r="KNK90" s="204"/>
      <c r="KNL90" s="204"/>
      <c r="KNM90" s="205"/>
      <c r="KNN90" s="206"/>
      <c r="KNO90" s="207"/>
      <c r="KNP90" s="207"/>
      <c r="KNQ90" s="208"/>
      <c r="KNR90" s="209"/>
      <c r="KNS90" s="207"/>
      <c r="KNT90" s="210"/>
      <c r="KNU90" s="209"/>
      <c r="KNV90" s="204"/>
      <c r="KNW90" s="204"/>
      <c r="KNX90" s="204"/>
      <c r="KNY90" s="199"/>
      <c r="KNZ90" s="167"/>
      <c r="KOA90" s="199"/>
      <c r="KOB90" s="200"/>
      <c r="KOC90" s="201"/>
      <c r="KOD90" s="202"/>
      <c r="KOE90" s="202"/>
      <c r="KOF90" s="202"/>
      <c r="KOG90" s="202"/>
      <c r="KOH90" s="203"/>
      <c r="KOI90" s="204"/>
      <c r="KOJ90" s="204"/>
      <c r="KOK90" s="204"/>
      <c r="KOL90" s="205"/>
      <c r="KOM90" s="206"/>
      <c r="KON90" s="207"/>
      <c r="KOO90" s="207"/>
      <c r="KOP90" s="208"/>
      <c r="KOQ90" s="209"/>
      <c r="KOR90" s="207"/>
      <c r="KOS90" s="210"/>
      <c r="KOT90" s="209"/>
      <c r="KOU90" s="204"/>
      <c r="KOV90" s="204"/>
      <c r="KOW90" s="204"/>
      <c r="KOX90" s="199"/>
      <c r="KOY90" s="167"/>
      <c r="KOZ90" s="199"/>
      <c r="KPA90" s="200"/>
      <c r="KPB90" s="201"/>
      <c r="KPC90" s="202"/>
      <c r="KPD90" s="202"/>
      <c r="KPE90" s="202"/>
      <c r="KPF90" s="202"/>
      <c r="KPG90" s="203"/>
      <c r="KPH90" s="204"/>
      <c r="KPI90" s="204"/>
      <c r="KPJ90" s="204"/>
      <c r="KPK90" s="205"/>
      <c r="KPL90" s="206"/>
      <c r="KPM90" s="207"/>
      <c r="KPN90" s="207"/>
      <c r="KPO90" s="208"/>
      <c r="KPP90" s="209"/>
      <c r="KPQ90" s="207"/>
      <c r="KPR90" s="210"/>
      <c r="KPS90" s="209"/>
      <c r="KPT90" s="204"/>
      <c r="KPU90" s="204"/>
      <c r="KPV90" s="204"/>
      <c r="KPW90" s="199"/>
      <c r="KPX90" s="167"/>
      <c r="KPY90" s="199"/>
      <c r="KPZ90" s="200"/>
      <c r="KQA90" s="201"/>
      <c r="KQB90" s="202"/>
      <c r="KQC90" s="202"/>
      <c r="KQD90" s="202"/>
      <c r="KQE90" s="202"/>
      <c r="KQF90" s="203"/>
      <c r="KQG90" s="204"/>
      <c r="KQH90" s="204"/>
      <c r="KQI90" s="204"/>
      <c r="KQJ90" s="205"/>
      <c r="KQK90" s="206"/>
      <c r="KQL90" s="207"/>
      <c r="KQM90" s="207"/>
      <c r="KQN90" s="208"/>
      <c r="KQO90" s="209"/>
      <c r="KQP90" s="207"/>
      <c r="KQQ90" s="210"/>
      <c r="KQR90" s="209"/>
      <c r="KQS90" s="204"/>
      <c r="KQT90" s="204"/>
      <c r="KQU90" s="204"/>
      <c r="KQV90" s="199"/>
      <c r="KQW90" s="167"/>
      <c r="KQX90" s="199"/>
      <c r="KQY90" s="200"/>
      <c r="KQZ90" s="201"/>
      <c r="KRA90" s="202"/>
      <c r="KRB90" s="202"/>
      <c r="KRC90" s="202"/>
      <c r="KRD90" s="202"/>
      <c r="KRE90" s="203"/>
      <c r="KRF90" s="204"/>
      <c r="KRG90" s="204"/>
      <c r="KRH90" s="204"/>
      <c r="KRI90" s="205"/>
      <c r="KRJ90" s="206"/>
      <c r="KRK90" s="207"/>
      <c r="KRL90" s="207"/>
      <c r="KRM90" s="208"/>
      <c r="KRN90" s="209"/>
      <c r="KRO90" s="207"/>
      <c r="KRP90" s="210"/>
      <c r="KRQ90" s="209"/>
      <c r="KRR90" s="204"/>
      <c r="KRS90" s="204"/>
      <c r="KRT90" s="204"/>
      <c r="KRU90" s="199"/>
      <c r="KRV90" s="167"/>
      <c r="KRW90" s="199"/>
      <c r="KRX90" s="200"/>
      <c r="KRY90" s="201"/>
      <c r="KRZ90" s="202"/>
      <c r="KSA90" s="202"/>
      <c r="KSB90" s="202"/>
      <c r="KSC90" s="202"/>
      <c r="KSD90" s="203"/>
      <c r="KSE90" s="204"/>
      <c r="KSF90" s="204"/>
      <c r="KSG90" s="204"/>
      <c r="KSH90" s="205"/>
      <c r="KSI90" s="206"/>
      <c r="KSJ90" s="207"/>
      <c r="KSK90" s="207"/>
      <c r="KSL90" s="208"/>
      <c r="KSM90" s="209"/>
      <c r="KSN90" s="207"/>
      <c r="KSO90" s="210"/>
      <c r="KSP90" s="209"/>
      <c r="KSQ90" s="204"/>
      <c r="KSR90" s="204"/>
      <c r="KSS90" s="204"/>
      <c r="KST90" s="199"/>
      <c r="KSU90" s="167"/>
      <c r="KSV90" s="199"/>
      <c r="KSW90" s="200"/>
      <c r="KSX90" s="201"/>
      <c r="KSY90" s="202"/>
      <c r="KSZ90" s="202"/>
      <c r="KTA90" s="202"/>
      <c r="KTB90" s="202"/>
      <c r="KTC90" s="203"/>
      <c r="KTD90" s="204"/>
      <c r="KTE90" s="204"/>
      <c r="KTF90" s="204"/>
      <c r="KTG90" s="205"/>
      <c r="KTH90" s="206"/>
      <c r="KTI90" s="207"/>
      <c r="KTJ90" s="207"/>
      <c r="KTK90" s="208"/>
      <c r="KTL90" s="209"/>
      <c r="KTM90" s="207"/>
      <c r="KTN90" s="210"/>
      <c r="KTO90" s="209"/>
      <c r="KTP90" s="204"/>
      <c r="KTQ90" s="204"/>
      <c r="KTR90" s="204"/>
      <c r="KTS90" s="199"/>
      <c r="KTT90" s="167"/>
      <c r="KTU90" s="199"/>
      <c r="KTV90" s="200"/>
      <c r="KTW90" s="201"/>
      <c r="KTX90" s="202"/>
      <c r="KTY90" s="202"/>
      <c r="KTZ90" s="202"/>
      <c r="KUA90" s="202"/>
      <c r="KUB90" s="203"/>
      <c r="KUC90" s="204"/>
      <c r="KUD90" s="204"/>
      <c r="KUE90" s="204"/>
      <c r="KUF90" s="205"/>
      <c r="KUG90" s="206"/>
      <c r="KUH90" s="207"/>
      <c r="KUI90" s="207"/>
      <c r="KUJ90" s="208"/>
      <c r="KUK90" s="209"/>
      <c r="KUL90" s="207"/>
      <c r="KUM90" s="210"/>
      <c r="KUN90" s="209"/>
      <c r="KUO90" s="204"/>
      <c r="KUP90" s="204"/>
      <c r="KUQ90" s="204"/>
      <c r="KUR90" s="199"/>
      <c r="KUS90" s="167"/>
      <c r="KUT90" s="199"/>
      <c r="KUU90" s="200"/>
      <c r="KUV90" s="201"/>
      <c r="KUW90" s="202"/>
      <c r="KUX90" s="202"/>
      <c r="KUY90" s="202"/>
      <c r="KUZ90" s="202"/>
      <c r="KVA90" s="203"/>
      <c r="KVB90" s="204"/>
      <c r="KVC90" s="204"/>
      <c r="KVD90" s="204"/>
      <c r="KVE90" s="205"/>
      <c r="KVF90" s="206"/>
      <c r="KVG90" s="207"/>
      <c r="KVH90" s="207"/>
      <c r="KVI90" s="208"/>
      <c r="KVJ90" s="209"/>
      <c r="KVK90" s="207"/>
      <c r="KVL90" s="210"/>
      <c r="KVM90" s="209"/>
      <c r="KVN90" s="204"/>
      <c r="KVO90" s="204"/>
      <c r="KVP90" s="204"/>
      <c r="KVQ90" s="199"/>
      <c r="KVR90" s="167"/>
      <c r="KVS90" s="199"/>
      <c r="KVT90" s="200"/>
      <c r="KVU90" s="201"/>
      <c r="KVV90" s="202"/>
      <c r="KVW90" s="202"/>
      <c r="KVX90" s="202"/>
      <c r="KVY90" s="202"/>
      <c r="KVZ90" s="203"/>
      <c r="KWA90" s="204"/>
      <c r="KWB90" s="204"/>
      <c r="KWC90" s="204"/>
      <c r="KWD90" s="205"/>
      <c r="KWE90" s="206"/>
      <c r="KWF90" s="207"/>
      <c r="KWG90" s="207"/>
      <c r="KWH90" s="208"/>
      <c r="KWI90" s="209"/>
      <c r="KWJ90" s="207"/>
      <c r="KWK90" s="210"/>
      <c r="KWL90" s="209"/>
      <c r="KWM90" s="204"/>
      <c r="KWN90" s="204"/>
      <c r="KWO90" s="204"/>
      <c r="KWP90" s="199"/>
      <c r="KWQ90" s="167"/>
      <c r="KWR90" s="199"/>
      <c r="KWS90" s="200"/>
      <c r="KWT90" s="201"/>
      <c r="KWU90" s="202"/>
      <c r="KWV90" s="202"/>
      <c r="KWW90" s="202"/>
      <c r="KWX90" s="202"/>
      <c r="KWY90" s="203"/>
      <c r="KWZ90" s="204"/>
      <c r="KXA90" s="204"/>
      <c r="KXB90" s="204"/>
      <c r="KXC90" s="205"/>
      <c r="KXD90" s="206"/>
      <c r="KXE90" s="207"/>
      <c r="KXF90" s="207"/>
      <c r="KXG90" s="208"/>
      <c r="KXH90" s="209"/>
      <c r="KXI90" s="207"/>
      <c r="KXJ90" s="210"/>
      <c r="KXK90" s="209"/>
      <c r="KXL90" s="204"/>
      <c r="KXM90" s="204"/>
      <c r="KXN90" s="204"/>
      <c r="KXO90" s="199"/>
      <c r="KXP90" s="167"/>
      <c r="KXQ90" s="199"/>
      <c r="KXR90" s="200"/>
      <c r="KXS90" s="201"/>
      <c r="KXT90" s="202"/>
      <c r="KXU90" s="202"/>
      <c r="KXV90" s="202"/>
      <c r="KXW90" s="202"/>
      <c r="KXX90" s="203"/>
      <c r="KXY90" s="204"/>
      <c r="KXZ90" s="204"/>
      <c r="KYA90" s="204"/>
      <c r="KYB90" s="205"/>
      <c r="KYC90" s="206"/>
      <c r="KYD90" s="207"/>
      <c r="KYE90" s="207"/>
      <c r="KYF90" s="208"/>
      <c r="KYG90" s="209"/>
      <c r="KYH90" s="207"/>
      <c r="KYI90" s="210"/>
      <c r="KYJ90" s="209"/>
      <c r="KYK90" s="204"/>
      <c r="KYL90" s="204"/>
      <c r="KYM90" s="204"/>
      <c r="KYN90" s="199"/>
      <c r="KYO90" s="167"/>
      <c r="KYP90" s="199"/>
      <c r="KYQ90" s="200"/>
      <c r="KYR90" s="201"/>
      <c r="KYS90" s="202"/>
      <c r="KYT90" s="202"/>
      <c r="KYU90" s="202"/>
      <c r="KYV90" s="202"/>
      <c r="KYW90" s="203"/>
      <c r="KYX90" s="204"/>
      <c r="KYY90" s="204"/>
      <c r="KYZ90" s="204"/>
      <c r="KZA90" s="205"/>
      <c r="KZB90" s="206"/>
      <c r="KZC90" s="207"/>
      <c r="KZD90" s="207"/>
      <c r="KZE90" s="208"/>
      <c r="KZF90" s="209"/>
      <c r="KZG90" s="207"/>
      <c r="KZH90" s="210"/>
      <c r="KZI90" s="209"/>
      <c r="KZJ90" s="204"/>
      <c r="KZK90" s="204"/>
      <c r="KZL90" s="204"/>
      <c r="KZM90" s="199"/>
      <c r="KZN90" s="167"/>
      <c r="KZO90" s="199"/>
      <c r="KZP90" s="200"/>
      <c r="KZQ90" s="201"/>
      <c r="KZR90" s="202"/>
      <c r="KZS90" s="202"/>
      <c r="KZT90" s="202"/>
      <c r="KZU90" s="202"/>
      <c r="KZV90" s="203"/>
      <c r="KZW90" s="204"/>
      <c r="KZX90" s="204"/>
      <c r="KZY90" s="204"/>
      <c r="KZZ90" s="205"/>
      <c r="LAA90" s="206"/>
      <c r="LAB90" s="207"/>
      <c r="LAC90" s="207"/>
      <c r="LAD90" s="208"/>
      <c r="LAE90" s="209"/>
      <c r="LAF90" s="207"/>
      <c r="LAG90" s="210"/>
      <c r="LAH90" s="209"/>
      <c r="LAI90" s="204"/>
      <c r="LAJ90" s="204"/>
      <c r="LAK90" s="204"/>
      <c r="LAL90" s="199"/>
      <c r="LAM90" s="167"/>
      <c r="LAN90" s="199"/>
      <c r="LAO90" s="200"/>
      <c r="LAP90" s="201"/>
      <c r="LAQ90" s="202"/>
      <c r="LAR90" s="202"/>
      <c r="LAS90" s="202"/>
      <c r="LAT90" s="202"/>
      <c r="LAU90" s="203"/>
      <c r="LAV90" s="204"/>
      <c r="LAW90" s="204"/>
      <c r="LAX90" s="204"/>
      <c r="LAY90" s="205"/>
      <c r="LAZ90" s="206"/>
      <c r="LBA90" s="207"/>
      <c r="LBB90" s="207"/>
      <c r="LBC90" s="208"/>
      <c r="LBD90" s="209"/>
      <c r="LBE90" s="207"/>
      <c r="LBF90" s="210"/>
      <c r="LBG90" s="209"/>
      <c r="LBH90" s="204"/>
      <c r="LBI90" s="204"/>
      <c r="LBJ90" s="204"/>
      <c r="LBK90" s="199"/>
      <c r="LBL90" s="167"/>
      <c r="LBM90" s="199"/>
      <c r="LBN90" s="200"/>
      <c r="LBO90" s="201"/>
      <c r="LBP90" s="202"/>
      <c r="LBQ90" s="202"/>
      <c r="LBR90" s="202"/>
      <c r="LBS90" s="202"/>
      <c r="LBT90" s="203"/>
      <c r="LBU90" s="204"/>
      <c r="LBV90" s="204"/>
      <c r="LBW90" s="204"/>
      <c r="LBX90" s="205"/>
      <c r="LBY90" s="206"/>
      <c r="LBZ90" s="207"/>
      <c r="LCA90" s="207"/>
      <c r="LCB90" s="208"/>
      <c r="LCC90" s="209"/>
      <c r="LCD90" s="207"/>
      <c r="LCE90" s="210"/>
      <c r="LCF90" s="209"/>
      <c r="LCG90" s="204"/>
      <c r="LCH90" s="204"/>
      <c r="LCI90" s="204"/>
      <c r="LCJ90" s="199"/>
      <c r="LCK90" s="167"/>
      <c r="LCL90" s="199"/>
      <c r="LCM90" s="200"/>
      <c r="LCN90" s="201"/>
      <c r="LCO90" s="202"/>
      <c r="LCP90" s="202"/>
      <c r="LCQ90" s="202"/>
      <c r="LCR90" s="202"/>
      <c r="LCS90" s="203"/>
      <c r="LCT90" s="204"/>
      <c r="LCU90" s="204"/>
      <c r="LCV90" s="204"/>
      <c r="LCW90" s="205"/>
      <c r="LCX90" s="206"/>
      <c r="LCY90" s="207"/>
      <c r="LCZ90" s="207"/>
      <c r="LDA90" s="208"/>
      <c r="LDB90" s="209"/>
      <c r="LDC90" s="207"/>
      <c r="LDD90" s="210"/>
      <c r="LDE90" s="209"/>
      <c r="LDF90" s="204"/>
      <c r="LDG90" s="204"/>
      <c r="LDH90" s="204"/>
      <c r="LDI90" s="199"/>
      <c r="LDJ90" s="167"/>
      <c r="LDK90" s="199"/>
      <c r="LDL90" s="200"/>
      <c r="LDM90" s="201"/>
      <c r="LDN90" s="202"/>
      <c r="LDO90" s="202"/>
      <c r="LDP90" s="202"/>
      <c r="LDQ90" s="202"/>
      <c r="LDR90" s="203"/>
      <c r="LDS90" s="204"/>
      <c r="LDT90" s="204"/>
      <c r="LDU90" s="204"/>
      <c r="LDV90" s="205"/>
      <c r="LDW90" s="206"/>
      <c r="LDX90" s="207"/>
      <c r="LDY90" s="207"/>
      <c r="LDZ90" s="208"/>
      <c r="LEA90" s="209"/>
      <c r="LEB90" s="207"/>
      <c r="LEC90" s="210"/>
      <c r="LED90" s="209"/>
      <c r="LEE90" s="204"/>
      <c r="LEF90" s="204"/>
      <c r="LEG90" s="204"/>
      <c r="LEH90" s="199"/>
      <c r="LEI90" s="167"/>
      <c r="LEJ90" s="199"/>
      <c r="LEK90" s="200"/>
      <c r="LEL90" s="201"/>
      <c r="LEM90" s="202"/>
      <c r="LEN90" s="202"/>
      <c r="LEO90" s="202"/>
      <c r="LEP90" s="202"/>
      <c r="LEQ90" s="203"/>
      <c r="LER90" s="204"/>
      <c r="LES90" s="204"/>
      <c r="LET90" s="204"/>
      <c r="LEU90" s="205"/>
      <c r="LEV90" s="206"/>
      <c r="LEW90" s="207"/>
      <c r="LEX90" s="207"/>
      <c r="LEY90" s="208"/>
      <c r="LEZ90" s="209"/>
      <c r="LFA90" s="207"/>
      <c r="LFB90" s="210"/>
      <c r="LFC90" s="209"/>
      <c r="LFD90" s="204"/>
      <c r="LFE90" s="204"/>
      <c r="LFF90" s="204"/>
      <c r="LFG90" s="199"/>
      <c r="LFH90" s="167"/>
      <c r="LFI90" s="199"/>
      <c r="LFJ90" s="200"/>
      <c r="LFK90" s="201"/>
      <c r="LFL90" s="202"/>
      <c r="LFM90" s="202"/>
      <c r="LFN90" s="202"/>
      <c r="LFO90" s="202"/>
      <c r="LFP90" s="203"/>
      <c r="LFQ90" s="204"/>
      <c r="LFR90" s="204"/>
      <c r="LFS90" s="204"/>
      <c r="LFT90" s="205"/>
      <c r="LFU90" s="206"/>
      <c r="LFV90" s="207"/>
      <c r="LFW90" s="207"/>
      <c r="LFX90" s="208"/>
      <c r="LFY90" s="209"/>
      <c r="LFZ90" s="207"/>
      <c r="LGA90" s="210"/>
      <c r="LGB90" s="209"/>
      <c r="LGC90" s="204"/>
      <c r="LGD90" s="204"/>
      <c r="LGE90" s="204"/>
      <c r="LGF90" s="199"/>
      <c r="LGG90" s="167"/>
      <c r="LGH90" s="199"/>
      <c r="LGI90" s="200"/>
      <c r="LGJ90" s="201"/>
      <c r="LGK90" s="202"/>
      <c r="LGL90" s="202"/>
      <c r="LGM90" s="202"/>
      <c r="LGN90" s="202"/>
      <c r="LGO90" s="203"/>
      <c r="LGP90" s="204"/>
      <c r="LGQ90" s="204"/>
      <c r="LGR90" s="204"/>
      <c r="LGS90" s="205"/>
      <c r="LGT90" s="206"/>
      <c r="LGU90" s="207"/>
      <c r="LGV90" s="207"/>
      <c r="LGW90" s="208"/>
      <c r="LGX90" s="209"/>
      <c r="LGY90" s="207"/>
      <c r="LGZ90" s="210"/>
      <c r="LHA90" s="209"/>
      <c r="LHB90" s="204"/>
      <c r="LHC90" s="204"/>
      <c r="LHD90" s="204"/>
      <c r="LHE90" s="199"/>
      <c r="LHF90" s="167"/>
      <c r="LHG90" s="199"/>
      <c r="LHH90" s="200"/>
      <c r="LHI90" s="201"/>
      <c r="LHJ90" s="202"/>
      <c r="LHK90" s="202"/>
      <c r="LHL90" s="202"/>
      <c r="LHM90" s="202"/>
      <c r="LHN90" s="203"/>
      <c r="LHO90" s="204"/>
      <c r="LHP90" s="204"/>
      <c r="LHQ90" s="204"/>
      <c r="LHR90" s="205"/>
      <c r="LHS90" s="206"/>
      <c r="LHT90" s="207"/>
      <c r="LHU90" s="207"/>
      <c r="LHV90" s="208"/>
      <c r="LHW90" s="209"/>
      <c r="LHX90" s="207"/>
      <c r="LHY90" s="210"/>
      <c r="LHZ90" s="209"/>
      <c r="LIA90" s="204"/>
      <c r="LIB90" s="204"/>
      <c r="LIC90" s="204"/>
      <c r="LID90" s="199"/>
      <c r="LIE90" s="167"/>
      <c r="LIF90" s="199"/>
      <c r="LIG90" s="200"/>
      <c r="LIH90" s="201"/>
      <c r="LII90" s="202"/>
      <c r="LIJ90" s="202"/>
      <c r="LIK90" s="202"/>
      <c r="LIL90" s="202"/>
      <c r="LIM90" s="203"/>
      <c r="LIN90" s="204"/>
      <c r="LIO90" s="204"/>
      <c r="LIP90" s="204"/>
      <c r="LIQ90" s="205"/>
      <c r="LIR90" s="206"/>
      <c r="LIS90" s="207"/>
      <c r="LIT90" s="207"/>
      <c r="LIU90" s="208"/>
      <c r="LIV90" s="209"/>
      <c r="LIW90" s="207"/>
      <c r="LIX90" s="210"/>
      <c r="LIY90" s="209"/>
      <c r="LIZ90" s="204"/>
      <c r="LJA90" s="204"/>
      <c r="LJB90" s="204"/>
      <c r="LJC90" s="199"/>
      <c r="LJD90" s="167"/>
      <c r="LJE90" s="199"/>
      <c r="LJF90" s="200"/>
      <c r="LJG90" s="201"/>
      <c r="LJH90" s="202"/>
      <c r="LJI90" s="202"/>
      <c r="LJJ90" s="202"/>
      <c r="LJK90" s="202"/>
      <c r="LJL90" s="203"/>
      <c r="LJM90" s="204"/>
      <c r="LJN90" s="204"/>
      <c r="LJO90" s="204"/>
      <c r="LJP90" s="205"/>
      <c r="LJQ90" s="206"/>
      <c r="LJR90" s="207"/>
      <c r="LJS90" s="207"/>
      <c r="LJT90" s="208"/>
      <c r="LJU90" s="209"/>
      <c r="LJV90" s="207"/>
      <c r="LJW90" s="210"/>
      <c r="LJX90" s="209"/>
      <c r="LJY90" s="204"/>
      <c r="LJZ90" s="204"/>
      <c r="LKA90" s="204"/>
      <c r="LKB90" s="199"/>
      <c r="LKC90" s="167"/>
      <c r="LKD90" s="199"/>
      <c r="LKE90" s="200"/>
      <c r="LKF90" s="201"/>
      <c r="LKG90" s="202"/>
      <c r="LKH90" s="202"/>
      <c r="LKI90" s="202"/>
      <c r="LKJ90" s="202"/>
      <c r="LKK90" s="203"/>
      <c r="LKL90" s="204"/>
      <c r="LKM90" s="204"/>
      <c r="LKN90" s="204"/>
      <c r="LKO90" s="205"/>
      <c r="LKP90" s="206"/>
      <c r="LKQ90" s="207"/>
      <c r="LKR90" s="207"/>
      <c r="LKS90" s="208"/>
      <c r="LKT90" s="209"/>
      <c r="LKU90" s="207"/>
      <c r="LKV90" s="210"/>
      <c r="LKW90" s="209"/>
      <c r="LKX90" s="204"/>
      <c r="LKY90" s="204"/>
      <c r="LKZ90" s="204"/>
      <c r="LLA90" s="199"/>
      <c r="LLB90" s="167"/>
      <c r="LLC90" s="199"/>
      <c r="LLD90" s="200"/>
      <c r="LLE90" s="201"/>
      <c r="LLF90" s="202"/>
      <c r="LLG90" s="202"/>
      <c r="LLH90" s="202"/>
      <c r="LLI90" s="202"/>
      <c r="LLJ90" s="203"/>
      <c r="LLK90" s="204"/>
      <c r="LLL90" s="204"/>
      <c r="LLM90" s="204"/>
      <c r="LLN90" s="205"/>
      <c r="LLO90" s="206"/>
      <c r="LLP90" s="207"/>
      <c r="LLQ90" s="207"/>
      <c r="LLR90" s="208"/>
      <c r="LLS90" s="209"/>
      <c r="LLT90" s="207"/>
      <c r="LLU90" s="210"/>
      <c r="LLV90" s="209"/>
      <c r="LLW90" s="204"/>
      <c r="LLX90" s="204"/>
      <c r="LLY90" s="204"/>
      <c r="LLZ90" s="199"/>
      <c r="LMA90" s="167"/>
      <c r="LMB90" s="199"/>
      <c r="LMC90" s="200"/>
      <c r="LMD90" s="201"/>
      <c r="LME90" s="202"/>
      <c r="LMF90" s="202"/>
      <c r="LMG90" s="202"/>
      <c r="LMH90" s="202"/>
      <c r="LMI90" s="203"/>
      <c r="LMJ90" s="204"/>
      <c r="LMK90" s="204"/>
      <c r="LML90" s="204"/>
      <c r="LMM90" s="205"/>
      <c r="LMN90" s="206"/>
      <c r="LMO90" s="207"/>
      <c r="LMP90" s="207"/>
      <c r="LMQ90" s="208"/>
      <c r="LMR90" s="209"/>
      <c r="LMS90" s="207"/>
      <c r="LMT90" s="210"/>
      <c r="LMU90" s="209"/>
      <c r="LMV90" s="204"/>
      <c r="LMW90" s="204"/>
      <c r="LMX90" s="204"/>
      <c r="LMY90" s="199"/>
      <c r="LMZ90" s="167"/>
      <c r="LNA90" s="199"/>
      <c r="LNB90" s="200"/>
      <c r="LNC90" s="201"/>
      <c r="LND90" s="202"/>
      <c r="LNE90" s="202"/>
      <c r="LNF90" s="202"/>
      <c r="LNG90" s="202"/>
      <c r="LNH90" s="203"/>
      <c r="LNI90" s="204"/>
      <c r="LNJ90" s="204"/>
      <c r="LNK90" s="204"/>
      <c r="LNL90" s="205"/>
      <c r="LNM90" s="206"/>
      <c r="LNN90" s="207"/>
      <c r="LNO90" s="207"/>
      <c r="LNP90" s="208"/>
      <c r="LNQ90" s="209"/>
      <c r="LNR90" s="207"/>
      <c r="LNS90" s="210"/>
      <c r="LNT90" s="209"/>
      <c r="LNU90" s="204"/>
      <c r="LNV90" s="204"/>
      <c r="LNW90" s="204"/>
      <c r="LNX90" s="199"/>
      <c r="LNY90" s="167"/>
      <c r="LNZ90" s="199"/>
      <c r="LOA90" s="200"/>
      <c r="LOB90" s="201"/>
      <c r="LOC90" s="202"/>
      <c r="LOD90" s="202"/>
      <c r="LOE90" s="202"/>
      <c r="LOF90" s="202"/>
      <c r="LOG90" s="203"/>
      <c r="LOH90" s="204"/>
      <c r="LOI90" s="204"/>
      <c r="LOJ90" s="204"/>
      <c r="LOK90" s="205"/>
      <c r="LOL90" s="206"/>
      <c r="LOM90" s="207"/>
      <c r="LON90" s="207"/>
      <c r="LOO90" s="208"/>
      <c r="LOP90" s="209"/>
      <c r="LOQ90" s="207"/>
      <c r="LOR90" s="210"/>
      <c r="LOS90" s="209"/>
      <c r="LOT90" s="204"/>
      <c r="LOU90" s="204"/>
      <c r="LOV90" s="204"/>
      <c r="LOW90" s="199"/>
      <c r="LOX90" s="167"/>
      <c r="LOY90" s="199"/>
      <c r="LOZ90" s="200"/>
      <c r="LPA90" s="201"/>
      <c r="LPB90" s="202"/>
      <c r="LPC90" s="202"/>
      <c r="LPD90" s="202"/>
      <c r="LPE90" s="202"/>
      <c r="LPF90" s="203"/>
      <c r="LPG90" s="204"/>
      <c r="LPH90" s="204"/>
      <c r="LPI90" s="204"/>
      <c r="LPJ90" s="205"/>
      <c r="LPK90" s="206"/>
      <c r="LPL90" s="207"/>
      <c r="LPM90" s="207"/>
      <c r="LPN90" s="208"/>
      <c r="LPO90" s="209"/>
      <c r="LPP90" s="207"/>
      <c r="LPQ90" s="210"/>
      <c r="LPR90" s="209"/>
      <c r="LPS90" s="204"/>
      <c r="LPT90" s="204"/>
      <c r="LPU90" s="204"/>
      <c r="LPV90" s="199"/>
      <c r="LPW90" s="167"/>
      <c r="LPX90" s="199"/>
      <c r="LPY90" s="200"/>
      <c r="LPZ90" s="201"/>
      <c r="LQA90" s="202"/>
      <c r="LQB90" s="202"/>
      <c r="LQC90" s="202"/>
      <c r="LQD90" s="202"/>
      <c r="LQE90" s="203"/>
      <c r="LQF90" s="204"/>
      <c r="LQG90" s="204"/>
      <c r="LQH90" s="204"/>
      <c r="LQI90" s="205"/>
      <c r="LQJ90" s="206"/>
      <c r="LQK90" s="207"/>
      <c r="LQL90" s="207"/>
      <c r="LQM90" s="208"/>
      <c r="LQN90" s="209"/>
      <c r="LQO90" s="207"/>
      <c r="LQP90" s="210"/>
      <c r="LQQ90" s="209"/>
      <c r="LQR90" s="204"/>
      <c r="LQS90" s="204"/>
      <c r="LQT90" s="204"/>
      <c r="LQU90" s="199"/>
      <c r="LQV90" s="167"/>
      <c r="LQW90" s="199"/>
      <c r="LQX90" s="200"/>
      <c r="LQY90" s="201"/>
      <c r="LQZ90" s="202"/>
      <c r="LRA90" s="202"/>
      <c r="LRB90" s="202"/>
      <c r="LRC90" s="202"/>
      <c r="LRD90" s="203"/>
      <c r="LRE90" s="204"/>
      <c r="LRF90" s="204"/>
      <c r="LRG90" s="204"/>
      <c r="LRH90" s="205"/>
      <c r="LRI90" s="206"/>
      <c r="LRJ90" s="207"/>
      <c r="LRK90" s="207"/>
      <c r="LRL90" s="208"/>
      <c r="LRM90" s="209"/>
      <c r="LRN90" s="207"/>
      <c r="LRO90" s="210"/>
      <c r="LRP90" s="209"/>
      <c r="LRQ90" s="204"/>
      <c r="LRR90" s="204"/>
      <c r="LRS90" s="204"/>
      <c r="LRT90" s="199"/>
      <c r="LRU90" s="167"/>
      <c r="LRV90" s="199"/>
      <c r="LRW90" s="200"/>
      <c r="LRX90" s="201"/>
      <c r="LRY90" s="202"/>
      <c r="LRZ90" s="202"/>
      <c r="LSA90" s="202"/>
      <c r="LSB90" s="202"/>
      <c r="LSC90" s="203"/>
      <c r="LSD90" s="204"/>
      <c r="LSE90" s="204"/>
      <c r="LSF90" s="204"/>
      <c r="LSG90" s="205"/>
      <c r="LSH90" s="206"/>
      <c r="LSI90" s="207"/>
      <c r="LSJ90" s="207"/>
      <c r="LSK90" s="208"/>
      <c r="LSL90" s="209"/>
      <c r="LSM90" s="207"/>
      <c r="LSN90" s="210"/>
      <c r="LSO90" s="209"/>
      <c r="LSP90" s="204"/>
      <c r="LSQ90" s="204"/>
      <c r="LSR90" s="204"/>
      <c r="LSS90" s="199"/>
      <c r="LST90" s="167"/>
      <c r="LSU90" s="199"/>
      <c r="LSV90" s="200"/>
      <c r="LSW90" s="201"/>
      <c r="LSX90" s="202"/>
      <c r="LSY90" s="202"/>
      <c r="LSZ90" s="202"/>
      <c r="LTA90" s="202"/>
      <c r="LTB90" s="203"/>
      <c r="LTC90" s="204"/>
      <c r="LTD90" s="204"/>
      <c r="LTE90" s="204"/>
      <c r="LTF90" s="205"/>
      <c r="LTG90" s="206"/>
      <c r="LTH90" s="207"/>
      <c r="LTI90" s="207"/>
      <c r="LTJ90" s="208"/>
      <c r="LTK90" s="209"/>
      <c r="LTL90" s="207"/>
      <c r="LTM90" s="210"/>
      <c r="LTN90" s="209"/>
      <c r="LTO90" s="204"/>
      <c r="LTP90" s="204"/>
      <c r="LTQ90" s="204"/>
      <c r="LTR90" s="199"/>
      <c r="LTS90" s="167"/>
      <c r="LTT90" s="199"/>
      <c r="LTU90" s="200"/>
      <c r="LTV90" s="201"/>
      <c r="LTW90" s="202"/>
      <c r="LTX90" s="202"/>
      <c r="LTY90" s="202"/>
      <c r="LTZ90" s="202"/>
      <c r="LUA90" s="203"/>
      <c r="LUB90" s="204"/>
      <c r="LUC90" s="204"/>
      <c r="LUD90" s="204"/>
      <c r="LUE90" s="205"/>
      <c r="LUF90" s="206"/>
      <c r="LUG90" s="207"/>
      <c r="LUH90" s="207"/>
      <c r="LUI90" s="208"/>
      <c r="LUJ90" s="209"/>
      <c r="LUK90" s="207"/>
      <c r="LUL90" s="210"/>
      <c r="LUM90" s="209"/>
      <c r="LUN90" s="204"/>
      <c r="LUO90" s="204"/>
      <c r="LUP90" s="204"/>
      <c r="LUQ90" s="199"/>
      <c r="LUR90" s="167"/>
      <c r="LUS90" s="199"/>
      <c r="LUT90" s="200"/>
      <c r="LUU90" s="201"/>
      <c r="LUV90" s="202"/>
      <c r="LUW90" s="202"/>
      <c r="LUX90" s="202"/>
      <c r="LUY90" s="202"/>
      <c r="LUZ90" s="203"/>
      <c r="LVA90" s="204"/>
      <c r="LVB90" s="204"/>
      <c r="LVC90" s="204"/>
      <c r="LVD90" s="205"/>
      <c r="LVE90" s="206"/>
      <c r="LVF90" s="207"/>
      <c r="LVG90" s="207"/>
      <c r="LVH90" s="208"/>
      <c r="LVI90" s="209"/>
      <c r="LVJ90" s="207"/>
      <c r="LVK90" s="210"/>
      <c r="LVL90" s="209"/>
      <c r="LVM90" s="204"/>
      <c r="LVN90" s="204"/>
      <c r="LVO90" s="204"/>
      <c r="LVP90" s="199"/>
      <c r="LVQ90" s="167"/>
      <c r="LVR90" s="199"/>
      <c r="LVS90" s="200"/>
      <c r="LVT90" s="201"/>
      <c r="LVU90" s="202"/>
      <c r="LVV90" s="202"/>
      <c r="LVW90" s="202"/>
      <c r="LVX90" s="202"/>
      <c r="LVY90" s="203"/>
      <c r="LVZ90" s="204"/>
      <c r="LWA90" s="204"/>
      <c r="LWB90" s="204"/>
      <c r="LWC90" s="205"/>
      <c r="LWD90" s="206"/>
      <c r="LWE90" s="207"/>
      <c r="LWF90" s="207"/>
      <c r="LWG90" s="208"/>
      <c r="LWH90" s="209"/>
      <c r="LWI90" s="207"/>
      <c r="LWJ90" s="210"/>
      <c r="LWK90" s="209"/>
      <c r="LWL90" s="204"/>
      <c r="LWM90" s="204"/>
      <c r="LWN90" s="204"/>
      <c r="LWO90" s="199"/>
      <c r="LWP90" s="167"/>
      <c r="LWQ90" s="199"/>
      <c r="LWR90" s="200"/>
      <c r="LWS90" s="201"/>
      <c r="LWT90" s="202"/>
      <c r="LWU90" s="202"/>
      <c r="LWV90" s="202"/>
      <c r="LWW90" s="202"/>
      <c r="LWX90" s="203"/>
      <c r="LWY90" s="204"/>
      <c r="LWZ90" s="204"/>
      <c r="LXA90" s="204"/>
      <c r="LXB90" s="205"/>
      <c r="LXC90" s="206"/>
      <c r="LXD90" s="207"/>
      <c r="LXE90" s="207"/>
      <c r="LXF90" s="208"/>
      <c r="LXG90" s="209"/>
      <c r="LXH90" s="207"/>
      <c r="LXI90" s="210"/>
      <c r="LXJ90" s="209"/>
      <c r="LXK90" s="204"/>
      <c r="LXL90" s="204"/>
      <c r="LXM90" s="204"/>
      <c r="LXN90" s="199"/>
      <c r="LXO90" s="167"/>
      <c r="LXP90" s="199"/>
      <c r="LXQ90" s="200"/>
      <c r="LXR90" s="201"/>
      <c r="LXS90" s="202"/>
      <c r="LXT90" s="202"/>
      <c r="LXU90" s="202"/>
      <c r="LXV90" s="202"/>
      <c r="LXW90" s="203"/>
      <c r="LXX90" s="204"/>
      <c r="LXY90" s="204"/>
      <c r="LXZ90" s="204"/>
      <c r="LYA90" s="205"/>
      <c r="LYB90" s="206"/>
      <c r="LYC90" s="207"/>
      <c r="LYD90" s="207"/>
      <c r="LYE90" s="208"/>
      <c r="LYF90" s="209"/>
      <c r="LYG90" s="207"/>
      <c r="LYH90" s="210"/>
      <c r="LYI90" s="209"/>
      <c r="LYJ90" s="204"/>
      <c r="LYK90" s="204"/>
      <c r="LYL90" s="204"/>
      <c r="LYM90" s="199"/>
      <c r="LYN90" s="167"/>
      <c r="LYO90" s="199"/>
      <c r="LYP90" s="200"/>
      <c r="LYQ90" s="201"/>
      <c r="LYR90" s="202"/>
      <c r="LYS90" s="202"/>
      <c r="LYT90" s="202"/>
      <c r="LYU90" s="202"/>
      <c r="LYV90" s="203"/>
      <c r="LYW90" s="204"/>
      <c r="LYX90" s="204"/>
      <c r="LYY90" s="204"/>
      <c r="LYZ90" s="205"/>
      <c r="LZA90" s="206"/>
      <c r="LZB90" s="207"/>
      <c r="LZC90" s="207"/>
      <c r="LZD90" s="208"/>
      <c r="LZE90" s="209"/>
      <c r="LZF90" s="207"/>
      <c r="LZG90" s="210"/>
      <c r="LZH90" s="209"/>
      <c r="LZI90" s="204"/>
      <c r="LZJ90" s="204"/>
      <c r="LZK90" s="204"/>
      <c r="LZL90" s="199"/>
      <c r="LZM90" s="167"/>
      <c r="LZN90" s="199"/>
      <c r="LZO90" s="200"/>
      <c r="LZP90" s="201"/>
      <c r="LZQ90" s="202"/>
      <c r="LZR90" s="202"/>
      <c r="LZS90" s="202"/>
      <c r="LZT90" s="202"/>
      <c r="LZU90" s="203"/>
      <c r="LZV90" s="204"/>
      <c r="LZW90" s="204"/>
      <c r="LZX90" s="204"/>
      <c r="LZY90" s="205"/>
      <c r="LZZ90" s="206"/>
      <c r="MAA90" s="207"/>
      <c r="MAB90" s="207"/>
      <c r="MAC90" s="208"/>
      <c r="MAD90" s="209"/>
      <c r="MAE90" s="207"/>
      <c r="MAF90" s="210"/>
      <c r="MAG90" s="209"/>
      <c r="MAH90" s="204"/>
      <c r="MAI90" s="204"/>
      <c r="MAJ90" s="204"/>
      <c r="MAK90" s="199"/>
      <c r="MAL90" s="167"/>
      <c r="MAM90" s="199"/>
      <c r="MAN90" s="200"/>
      <c r="MAO90" s="201"/>
      <c r="MAP90" s="202"/>
      <c r="MAQ90" s="202"/>
      <c r="MAR90" s="202"/>
      <c r="MAS90" s="202"/>
      <c r="MAT90" s="203"/>
      <c r="MAU90" s="204"/>
      <c r="MAV90" s="204"/>
      <c r="MAW90" s="204"/>
      <c r="MAX90" s="205"/>
      <c r="MAY90" s="206"/>
      <c r="MAZ90" s="207"/>
      <c r="MBA90" s="207"/>
      <c r="MBB90" s="208"/>
      <c r="MBC90" s="209"/>
      <c r="MBD90" s="207"/>
      <c r="MBE90" s="210"/>
      <c r="MBF90" s="209"/>
      <c r="MBG90" s="204"/>
      <c r="MBH90" s="204"/>
      <c r="MBI90" s="204"/>
      <c r="MBJ90" s="199"/>
      <c r="MBK90" s="167"/>
      <c r="MBL90" s="199"/>
      <c r="MBM90" s="200"/>
      <c r="MBN90" s="201"/>
      <c r="MBO90" s="202"/>
      <c r="MBP90" s="202"/>
      <c r="MBQ90" s="202"/>
      <c r="MBR90" s="202"/>
      <c r="MBS90" s="203"/>
      <c r="MBT90" s="204"/>
      <c r="MBU90" s="204"/>
      <c r="MBV90" s="204"/>
      <c r="MBW90" s="205"/>
      <c r="MBX90" s="206"/>
      <c r="MBY90" s="207"/>
      <c r="MBZ90" s="207"/>
      <c r="MCA90" s="208"/>
      <c r="MCB90" s="209"/>
      <c r="MCC90" s="207"/>
      <c r="MCD90" s="210"/>
      <c r="MCE90" s="209"/>
      <c r="MCF90" s="204"/>
      <c r="MCG90" s="204"/>
      <c r="MCH90" s="204"/>
      <c r="MCI90" s="199"/>
      <c r="MCJ90" s="167"/>
      <c r="MCK90" s="199"/>
      <c r="MCL90" s="200"/>
      <c r="MCM90" s="201"/>
      <c r="MCN90" s="202"/>
      <c r="MCO90" s="202"/>
      <c r="MCP90" s="202"/>
      <c r="MCQ90" s="202"/>
      <c r="MCR90" s="203"/>
      <c r="MCS90" s="204"/>
      <c r="MCT90" s="204"/>
      <c r="MCU90" s="204"/>
      <c r="MCV90" s="205"/>
      <c r="MCW90" s="206"/>
      <c r="MCX90" s="207"/>
      <c r="MCY90" s="207"/>
      <c r="MCZ90" s="208"/>
      <c r="MDA90" s="209"/>
      <c r="MDB90" s="207"/>
      <c r="MDC90" s="210"/>
      <c r="MDD90" s="209"/>
      <c r="MDE90" s="204"/>
      <c r="MDF90" s="204"/>
      <c r="MDG90" s="204"/>
      <c r="MDH90" s="199"/>
      <c r="MDI90" s="167"/>
      <c r="MDJ90" s="199"/>
      <c r="MDK90" s="200"/>
      <c r="MDL90" s="201"/>
      <c r="MDM90" s="202"/>
      <c r="MDN90" s="202"/>
      <c r="MDO90" s="202"/>
      <c r="MDP90" s="202"/>
      <c r="MDQ90" s="203"/>
      <c r="MDR90" s="204"/>
      <c r="MDS90" s="204"/>
      <c r="MDT90" s="204"/>
      <c r="MDU90" s="205"/>
      <c r="MDV90" s="206"/>
      <c r="MDW90" s="207"/>
      <c r="MDX90" s="207"/>
      <c r="MDY90" s="208"/>
      <c r="MDZ90" s="209"/>
      <c r="MEA90" s="207"/>
      <c r="MEB90" s="210"/>
      <c r="MEC90" s="209"/>
      <c r="MED90" s="204"/>
      <c r="MEE90" s="204"/>
      <c r="MEF90" s="204"/>
      <c r="MEG90" s="199"/>
      <c r="MEH90" s="167"/>
      <c r="MEI90" s="199"/>
      <c r="MEJ90" s="200"/>
      <c r="MEK90" s="201"/>
      <c r="MEL90" s="202"/>
      <c r="MEM90" s="202"/>
      <c r="MEN90" s="202"/>
      <c r="MEO90" s="202"/>
      <c r="MEP90" s="203"/>
      <c r="MEQ90" s="204"/>
      <c r="MER90" s="204"/>
      <c r="MES90" s="204"/>
      <c r="MET90" s="205"/>
      <c r="MEU90" s="206"/>
      <c r="MEV90" s="207"/>
      <c r="MEW90" s="207"/>
      <c r="MEX90" s="208"/>
      <c r="MEY90" s="209"/>
      <c r="MEZ90" s="207"/>
      <c r="MFA90" s="210"/>
      <c r="MFB90" s="209"/>
      <c r="MFC90" s="204"/>
      <c r="MFD90" s="204"/>
      <c r="MFE90" s="204"/>
      <c r="MFF90" s="199"/>
      <c r="MFG90" s="167"/>
      <c r="MFH90" s="199"/>
      <c r="MFI90" s="200"/>
      <c r="MFJ90" s="201"/>
      <c r="MFK90" s="202"/>
      <c r="MFL90" s="202"/>
      <c r="MFM90" s="202"/>
      <c r="MFN90" s="202"/>
      <c r="MFO90" s="203"/>
      <c r="MFP90" s="204"/>
      <c r="MFQ90" s="204"/>
      <c r="MFR90" s="204"/>
      <c r="MFS90" s="205"/>
      <c r="MFT90" s="206"/>
      <c r="MFU90" s="207"/>
      <c r="MFV90" s="207"/>
      <c r="MFW90" s="208"/>
      <c r="MFX90" s="209"/>
      <c r="MFY90" s="207"/>
      <c r="MFZ90" s="210"/>
      <c r="MGA90" s="209"/>
      <c r="MGB90" s="204"/>
      <c r="MGC90" s="204"/>
      <c r="MGD90" s="204"/>
      <c r="MGE90" s="199"/>
      <c r="MGF90" s="167"/>
      <c r="MGG90" s="199"/>
      <c r="MGH90" s="200"/>
      <c r="MGI90" s="201"/>
      <c r="MGJ90" s="202"/>
      <c r="MGK90" s="202"/>
      <c r="MGL90" s="202"/>
      <c r="MGM90" s="202"/>
      <c r="MGN90" s="203"/>
      <c r="MGO90" s="204"/>
      <c r="MGP90" s="204"/>
      <c r="MGQ90" s="204"/>
      <c r="MGR90" s="205"/>
      <c r="MGS90" s="206"/>
      <c r="MGT90" s="207"/>
      <c r="MGU90" s="207"/>
      <c r="MGV90" s="208"/>
      <c r="MGW90" s="209"/>
      <c r="MGX90" s="207"/>
      <c r="MGY90" s="210"/>
      <c r="MGZ90" s="209"/>
      <c r="MHA90" s="204"/>
      <c r="MHB90" s="204"/>
      <c r="MHC90" s="204"/>
      <c r="MHD90" s="199"/>
      <c r="MHE90" s="167"/>
      <c r="MHF90" s="199"/>
      <c r="MHG90" s="200"/>
      <c r="MHH90" s="201"/>
      <c r="MHI90" s="202"/>
      <c r="MHJ90" s="202"/>
      <c r="MHK90" s="202"/>
      <c r="MHL90" s="202"/>
      <c r="MHM90" s="203"/>
      <c r="MHN90" s="204"/>
      <c r="MHO90" s="204"/>
      <c r="MHP90" s="204"/>
      <c r="MHQ90" s="205"/>
      <c r="MHR90" s="206"/>
      <c r="MHS90" s="207"/>
      <c r="MHT90" s="207"/>
      <c r="MHU90" s="208"/>
      <c r="MHV90" s="209"/>
      <c r="MHW90" s="207"/>
      <c r="MHX90" s="210"/>
      <c r="MHY90" s="209"/>
      <c r="MHZ90" s="204"/>
      <c r="MIA90" s="204"/>
      <c r="MIB90" s="204"/>
      <c r="MIC90" s="199"/>
      <c r="MID90" s="167"/>
      <c r="MIE90" s="199"/>
      <c r="MIF90" s="200"/>
      <c r="MIG90" s="201"/>
      <c r="MIH90" s="202"/>
      <c r="MII90" s="202"/>
      <c r="MIJ90" s="202"/>
      <c r="MIK90" s="202"/>
      <c r="MIL90" s="203"/>
      <c r="MIM90" s="204"/>
      <c r="MIN90" s="204"/>
      <c r="MIO90" s="204"/>
      <c r="MIP90" s="205"/>
      <c r="MIQ90" s="206"/>
      <c r="MIR90" s="207"/>
      <c r="MIS90" s="207"/>
      <c r="MIT90" s="208"/>
      <c r="MIU90" s="209"/>
      <c r="MIV90" s="207"/>
      <c r="MIW90" s="210"/>
      <c r="MIX90" s="209"/>
      <c r="MIY90" s="204"/>
      <c r="MIZ90" s="204"/>
      <c r="MJA90" s="204"/>
      <c r="MJB90" s="199"/>
      <c r="MJC90" s="167"/>
      <c r="MJD90" s="199"/>
      <c r="MJE90" s="200"/>
      <c r="MJF90" s="201"/>
      <c r="MJG90" s="202"/>
      <c r="MJH90" s="202"/>
      <c r="MJI90" s="202"/>
      <c r="MJJ90" s="202"/>
      <c r="MJK90" s="203"/>
      <c r="MJL90" s="204"/>
      <c r="MJM90" s="204"/>
      <c r="MJN90" s="204"/>
      <c r="MJO90" s="205"/>
      <c r="MJP90" s="206"/>
      <c r="MJQ90" s="207"/>
      <c r="MJR90" s="207"/>
      <c r="MJS90" s="208"/>
      <c r="MJT90" s="209"/>
      <c r="MJU90" s="207"/>
      <c r="MJV90" s="210"/>
      <c r="MJW90" s="209"/>
      <c r="MJX90" s="204"/>
      <c r="MJY90" s="204"/>
      <c r="MJZ90" s="204"/>
      <c r="MKA90" s="199"/>
      <c r="MKB90" s="167"/>
      <c r="MKC90" s="199"/>
      <c r="MKD90" s="200"/>
      <c r="MKE90" s="201"/>
      <c r="MKF90" s="202"/>
      <c r="MKG90" s="202"/>
      <c r="MKH90" s="202"/>
      <c r="MKI90" s="202"/>
      <c r="MKJ90" s="203"/>
      <c r="MKK90" s="204"/>
      <c r="MKL90" s="204"/>
      <c r="MKM90" s="204"/>
      <c r="MKN90" s="205"/>
      <c r="MKO90" s="206"/>
      <c r="MKP90" s="207"/>
      <c r="MKQ90" s="207"/>
      <c r="MKR90" s="208"/>
      <c r="MKS90" s="209"/>
      <c r="MKT90" s="207"/>
      <c r="MKU90" s="210"/>
      <c r="MKV90" s="209"/>
      <c r="MKW90" s="204"/>
      <c r="MKX90" s="204"/>
      <c r="MKY90" s="204"/>
      <c r="MKZ90" s="199"/>
      <c r="MLA90" s="167"/>
      <c r="MLB90" s="199"/>
      <c r="MLC90" s="200"/>
      <c r="MLD90" s="201"/>
      <c r="MLE90" s="202"/>
      <c r="MLF90" s="202"/>
      <c r="MLG90" s="202"/>
      <c r="MLH90" s="202"/>
      <c r="MLI90" s="203"/>
      <c r="MLJ90" s="204"/>
      <c r="MLK90" s="204"/>
      <c r="MLL90" s="204"/>
      <c r="MLM90" s="205"/>
      <c r="MLN90" s="206"/>
      <c r="MLO90" s="207"/>
      <c r="MLP90" s="207"/>
      <c r="MLQ90" s="208"/>
      <c r="MLR90" s="209"/>
      <c r="MLS90" s="207"/>
      <c r="MLT90" s="210"/>
      <c r="MLU90" s="209"/>
      <c r="MLV90" s="204"/>
      <c r="MLW90" s="204"/>
      <c r="MLX90" s="204"/>
      <c r="MLY90" s="199"/>
      <c r="MLZ90" s="167"/>
      <c r="MMA90" s="199"/>
      <c r="MMB90" s="200"/>
      <c r="MMC90" s="201"/>
      <c r="MMD90" s="202"/>
      <c r="MME90" s="202"/>
      <c r="MMF90" s="202"/>
      <c r="MMG90" s="202"/>
      <c r="MMH90" s="203"/>
      <c r="MMI90" s="204"/>
      <c r="MMJ90" s="204"/>
      <c r="MMK90" s="204"/>
      <c r="MML90" s="205"/>
      <c r="MMM90" s="206"/>
      <c r="MMN90" s="207"/>
      <c r="MMO90" s="207"/>
      <c r="MMP90" s="208"/>
      <c r="MMQ90" s="209"/>
      <c r="MMR90" s="207"/>
      <c r="MMS90" s="210"/>
      <c r="MMT90" s="209"/>
      <c r="MMU90" s="204"/>
      <c r="MMV90" s="204"/>
      <c r="MMW90" s="204"/>
      <c r="MMX90" s="199"/>
      <c r="MMY90" s="167"/>
      <c r="MMZ90" s="199"/>
      <c r="MNA90" s="200"/>
      <c r="MNB90" s="201"/>
      <c r="MNC90" s="202"/>
      <c r="MND90" s="202"/>
      <c r="MNE90" s="202"/>
      <c r="MNF90" s="202"/>
      <c r="MNG90" s="203"/>
      <c r="MNH90" s="204"/>
      <c r="MNI90" s="204"/>
      <c r="MNJ90" s="204"/>
      <c r="MNK90" s="205"/>
      <c r="MNL90" s="206"/>
      <c r="MNM90" s="207"/>
      <c r="MNN90" s="207"/>
      <c r="MNO90" s="208"/>
      <c r="MNP90" s="209"/>
      <c r="MNQ90" s="207"/>
      <c r="MNR90" s="210"/>
      <c r="MNS90" s="209"/>
      <c r="MNT90" s="204"/>
      <c r="MNU90" s="204"/>
      <c r="MNV90" s="204"/>
      <c r="MNW90" s="199"/>
      <c r="MNX90" s="167"/>
      <c r="MNY90" s="199"/>
      <c r="MNZ90" s="200"/>
      <c r="MOA90" s="201"/>
      <c r="MOB90" s="202"/>
      <c r="MOC90" s="202"/>
      <c r="MOD90" s="202"/>
      <c r="MOE90" s="202"/>
      <c r="MOF90" s="203"/>
      <c r="MOG90" s="204"/>
      <c r="MOH90" s="204"/>
      <c r="MOI90" s="204"/>
      <c r="MOJ90" s="205"/>
      <c r="MOK90" s="206"/>
      <c r="MOL90" s="207"/>
      <c r="MOM90" s="207"/>
      <c r="MON90" s="208"/>
      <c r="MOO90" s="209"/>
      <c r="MOP90" s="207"/>
      <c r="MOQ90" s="210"/>
      <c r="MOR90" s="209"/>
      <c r="MOS90" s="204"/>
      <c r="MOT90" s="204"/>
      <c r="MOU90" s="204"/>
      <c r="MOV90" s="199"/>
      <c r="MOW90" s="167"/>
      <c r="MOX90" s="199"/>
      <c r="MOY90" s="200"/>
      <c r="MOZ90" s="201"/>
      <c r="MPA90" s="202"/>
      <c r="MPB90" s="202"/>
      <c r="MPC90" s="202"/>
      <c r="MPD90" s="202"/>
      <c r="MPE90" s="203"/>
      <c r="MPF90" s="204"/>
      <c r="MPG90" s="204"/>
      <c r="MPH90" s="204"/>
      <c r="MPI90" s="205"/>
      <c r="MPJ90" s="206"/>
      <c r="MPK90" s="207"/>
      <c r="MPL90" s="207"/>
      <c r="MPM90" s="208"/>
      <c r="MPN90" s="209"/>
      <c r="MPO90" s="207"/>
      <c r="MPP90" s="210"/>
      <c r="MPQ90" s="209"/>
      <c r="MPR90" s="204"/>
      <c r="MPS90" s="204"/>
      <c r="MPT90" s="204"/>
      <c r="MPU90" s="199"/>
      <c r="MPV90" s="167"/>
      <c r="MPW90" s="199"/>
      <c r="MPX90" s="200"/>
      <c r="MPY90" s="201"/>
      <c r="MPZ90" s="202"/>
      <c r="MQA90" s="202"/>
      <c r="MQB90" s="202"/>
      <c r="MQC90" s="202"/>
      <c r="MQD90" s="203"/>
      <c r="MQE90" s="204"/>
      <c r="MQF90" s="204"/>
      <c r="MQG90" s="204"/>
      <c r="MQH90" s="205"/>
      <c r="MQI90" s="206"/>
      <c r="MQJ90" s="207"/>
      <c r="MQK90" s="207"/>
      <c r="MQL90" s="208"/>
      <c r="MQM90" s="209"/>
      <c r="MQN90" s="207"/>
      <c r="MQO90" s="210"/>
      <c r="MQP90" s="209"/>
      <c r="MQQ90" s="204"/>
      <c r="MQR90" s="204"/>
      <c r="MQS90" s="204"/>
      <c r="MQT90" s="199"/>
      <c r="MQU90" s="167"/>
      <c r="MQV90" s="199"/>
      <c r="MQW90" s="200"/>
      <c r="MQX90" s="201"/>
      <c r="MQY90" s="202"/>
      <c r="MQZ90" s="202"/>
      <c r="MRA90" s="202"/>
      <c r="MRB90" s="202"/>
      <c r="MRC90" s="203"/>
      <c r="MRD90" s="204"/>
      <c r="MRE90" s="204"/>
      <c r="MRF90" s="204"/>
      <c r="MRG90" s="205"/>
      <c r="MRH90" s="206"/>
      <c r="MRI90" s="207"/>
      <c r="MRJ90" s="207"/>
      <c r="MRK90" s="208"/>
      <c r="MRL90" s="209"/>
      <c r="MRM90" s="207"/>
      <c r="MRN90" s="210"/>
      <c r="MRO90" s="209"/>
      <c r="MRP90" s="204"/>
      <c r="MRQ90" s="204"/>
      <c r="MRR90" s="204"/>
      <c r="MRS90" s="199"/>
      <c r="MRT90" s="167"/>
      <c r="MRU90" s="199"/>
      <c r="MRV90" s="200"/>
      <c r="MRW90" s="201"/>
      <c r="MRX90" s="202"/>
      <c r="MRY90" s="202"/>
      <c r="MRZ90" s="202"/>
      <c r="MSA90" s="202"/>
      <c r="MSB90" s="203"/>
      <c r="MSC90" s="204"/>
      <c r="MSD90" s="204"/>
      <c r="MSE90" s="204"/>
      <c r="MSF90" s="205"/>
      <c r="MSG90" s="206"/>
      <c r="MSH90" s="207"/>
      <c r="MSI90" s="207"/>
      <c r="MSJ90" s="208"/>
      <c r="MSK90" s="209"/>
      <c r="MSL90" s="207"/>
      <c r="MSM90" s="210"/>
      <c r="MSN90" s="209"/>
      <c r="MSO90" s="204"/>
      <c r="MSP90" s="204"/>
      <c r="MSQ90" s="204"/>
      <c r="MSR90" s="199"/>
      <c r="MSS90" s="167"/>
      <c r="MST90" s="199"/>
      <c r="MSU90" s="200"/>
      <c r="MSV90" s="201"/>
      <c r="MSW90" s="202"/>
      <c r="MSX90" s="202"/>
      <c r="MSY90" s="202"/>
      <c r="MSZ90" s="202"/>
      <c r="MTA90" s="203"/>
      <c r="MTB90" s="204"/>
      <c r="MTC90" s="204"/>
      <c r="MTD90" s="204"/>
      <c r="MTE90" s="205"/>
      <c r="MTF90" s="206"/>
      <c r="MTG90" s="207"/>
      <c r="MTH90" s="207"/>
      <c r="MTI90" s="208"/>
      <c r="MTJ90" s="209"/>
      <c r="MTK90" s="207"/>
      <c r="MTL90" s="210"/>
      <c r="MTM90" s="209"/>
      <c r="MTN90" s="204"/>
      <c r="MTO90" s="204"/>
      <c r="MTP90" s="204"/>
      <c r="MTQ90" s="199"/>
      <c r="MTR90" s="167"/>
      <c r="MTS90" s="199"/>
      <c r="MTT90" s="200"/>
      <c r="MTU90" s="201"/>
      <c r="MTV90" s="202"/>
      <c r="MTW90" s="202"/>
      <c r="MTX90" s="202"/>
      <c r="MTY90" s="202"/>
      <c r="MTZ90" s="203"/>
      <c r="MUA90" s="204"/>
      <c r="MUB90" s="204"/>
      <c r="MUC90" s="204"/>
      <c r="MUD90" s="205"/>
      <c r="MUE90" s="206"/>
      <c r="MUF90" s="207"/>
      <c r="MUG90" s="207"/>
      <c r="MUH90" s="208"/>
      <c r="MUI90" s="209"/>
      <c r="MUJ90" s="207"/>
      <c r="MUK90" s="210"/>
      <c r="MUL90" s="209"/>
      <c r="MUM90" s="204"/>
      <c r="MUN90" s="204"/>
      <c r="MUO90" s="204"/>
      <c r="MUP90" s="199"/>
      <c r="MUQ90" s="167"/>
      <c r="MUR90" s="199"/>
      <c r="MUS90" s="200"/>
      <c r="MUT90" s="201"/>
      <c r="MUU90" s="202"/>
      <c r="MUV90" s="202"/>
      <c r="MUW90" s="202"/>
      <c r="MUX90" s="202"/>
      <c r="MUY90" s="203"/>
      <c r="MUZ90" s="204"/>
      <c r="MVA90" s="204"/>
      <c r="MVB90" s="204"/>
      <c r="MVC90" s="205"/>
      <c r="MVD90" s="206"/>
      <c r="MVE90" s="207"/>
      <c r="MVF90" s="207"/>
      <c r="MVG90" s="208"/>
      <c r="MVH90" s="209"/>
      <c r="MVI90" s="207"/>
      <c r="MVJ90" s="210"/>
      <c r="MVK90" s="209"/>
      <c r="MVL90" s="204"/>
      <c r="MVM90" s="204"/>
      <c r="MVN90" s="204"/>
      <c r="MVO90" s="199"/>
      <c r="MVP90" s="167"/>
      <c r="MVQ90" s="199"/>
      <c r="MVR90" s="200"/>
      <c r="MVS90" s="201"/>
      <c r="MVT90" s="202"/>
      <c r="MVU90" s="202"/>
      <c r="MVV90" s="202"/>
      <c r="MVW90" s="202"/>
      <c r="MVX90" s="203"/>
      <c r="MVY90" s="204"/>
      <c r="MVZ90" s="204"/>
      <c r="MWA90" s="204"/>
      <c r="MWB90" s="205"/>
      <c r="MWC90" s="206"/>
      <c r="MWD90" s="207"/>
      <c r="MWE90" s="207"/>
      <c r="MWF90" s="208"/>
      <c r="MWG90" s="209"/>
      <c r="MWH90" s="207"/>
      <c r="MWI90" s="210"/>
      <c r="MWJ90" s="209"/>
      <c r="MWK90" s="204"/>
      <c r="MWL90" s="204"/>
      <c r="MWM90" s="204"/>
      <c r="MWN90" s="199"/>
      <c r="MWO90" s="167"/>
      <c r="MWP90" s="199"/>
      <c r="MWQ90" s="200"/>
      <c r="MWR90" s="201"/>
      <c r="MWS90" s="202"/>
      <c r="MWT90" s="202"/>
      <c r="MWU90" s="202"/>
      <c r="MWV90" s="202"/>
      <c r="MWW90" s="203"/>
      <c r="MWX90" s="204"/>
      <c r="MWY90" s="204"/>
      <c r="MWZ90" s="204"/>
      <c r="MXA90" s="205"/>
      <c r="MXB90" s="206"/>
      <c r="MXC90" s="207"/>
      <c r="MXD90" s="207"/>
      <c r="MXE90" s="208"/>
      <c r="MXF90" s="209"/>
      <c r="MXG90" s="207"/>
      <c r="MXH90" s="210"/>
      <c r="MXI90" s="209"/>
      <c r="MXJ90" s="204"/>
      <c r="MXK90" s="204"/>
      <c r="MXL90" s="204"/>
      <c r="MXM90" s="199"/>
      <c r="MXN90" s="167"/>
      <c r="MXO90" s="199"/>
      <c r="MXP90" s="200"/>
      <c r="MXQ90" s="201"/>
      <c r="MXR90" s="202"/>
      <c r="MXS90" s="202"/>
      <c r="MXT90" s="202"/>
      <c r="MXU90" s="202"/>
      <c r="MXV90" s="203"/>
      <c r="MXW90" s="204"/>
      <c r="MXX90" s="204"/>
      <c r="MXY90" s="204"/>
      <c r="MXZ90" s="205"/>
      <c r="MYA90" s="206"/>
      <c r="MYB90" s="207"/>
      <c r="MYC90" s="207"/>
      <c r="MYD90" s="208"/>
      <c r="MYE90" s="209"/>
      <c r="MYF90" s="207"/>
      <c r="MYG90" s="210"/>
      <c r="MYH90" s="209"/>
      <c r="MYI90" s="204"/>
      <c r="MYJ90" s="204"/>
      <c r="MYK90" s="204"/>
      <c r="MYL90" s="199"/>
      <c r="MYM90" s="167"/>
      <c r="MYN90" s="199"/>
      <c r="MYO90" s="200"/>
      <c r="MYP90" s="201"/>
      <c r="MYQ90" s="202"/>
      <c r="MYR90" s="202"/>
      <c r="MYS90" s="202"/>
      <c r="MYT90" s="202"/>
      <c r="MYU90" s="203"/>
      <c r="MYV90" s="204"/>
      <c r="MYW90" s="204"/>
      <c r="MYX90" s="204"/>
      <c r="MYY90" s="205"/>
      <c r="MYZ90" s="206"/>
      <c r="MZA90" s="207"/>
      <c r="MZB90" s="207"/>
      <c r="MZC90" s="208"/>
      <c r="MZD90" s="209"/>
      <c r="MZE90" s="207"/>
      <c r="MZF90" s="210"/>
      <c r="MZG90" s="209"/>
      <c r="MZH90" s="204"/>
      <c r="MZI90" s="204"/>
      <c r="MZJ90" s="204"/>
      <c r="MZK90" s="199"/>
      <c r="MZL90" s="167"/>
      <c r="MZM90" s="199"/>
      <c r="MZN90" s="200"/>
      <c r="MZO90" s="201"/>
      <c r="MZP90" s="202"/>
      <c r="MZQ90" s="202"/>
      <c r="MZR90" s="202"/>
      <c r="MZS90" s="202"/>
      <c r="MZT90" s="203"/>
      <c r="MZU90" s="204"/>
      <c r="MZV90" s="204"/>
      <c r="MZW90" s="204"/>
      <c r="MZX90" s="205"/>
      <c r="MZY90" s="206"/>
      <c r="MZZ90" s="207"/>
      <c r="NAA90" s="207"/>
      <c r="NAB90" s="208"/>
      <c r="NAC90" s="209"/>
      <c r="NAD90" s="207"/>
      <c r="NAE90" s="210"/>
      <c r="NAF90" s="209"/>
      <c r="NAG90" s="204"/>
      <c r="NAH90" s="204"/>
      <c r="NAI90" s="204"/>
      <c r="NAJ90" s="199"/>
      <c r="NAK90" s="167"/>
      <c r="NAL90" s="199"/>
      <c r="NAM90" s="200"/>
      <c r="NAN90" s="201"/>
      <c r="NAO90" s="202"/>
      <c r="NAP90" s="202"/>
      <c r="NAQ90" s="202"/>
      <c r="NAR90" s="202"/>
      <c r="NAS90" s="203"/>
      <c r="NAT90" s="204"/>
      <c r="NAU90" s="204"/>
      <c r="NAV90" s="204"/>
      <c r="NAW90" s="205"/>
      <c r="NAX90" s="206"/>
      <c r="NAY90" s="207"/>
      <c r="NAZ90" s="207"/>
      <c r="NBA90" s="208"/>
      <c r="NBB90" s="209"/>
      <c r="NBC90" s="207"/>
      <c r="NBD90" s="210"/>
      <c r="NBE90" s="209"/>
      <c r="NBF90" s="204"/>
      <c r="NBG90" s="204"/>
      <c r="NBH90" s="204"/>
      <c r="NBI90" s="199"/>
      <c r="NBJ90" s="167"/>
      <c r="NBK90" s="199"/>
      <c r="NBL90" s="200"/>
      <c r="NBM90" s="201"/>
      <c r="NBN90" s="202"/>
      <c r="NBO90" s="202"/>
      <c r="NBP90" s="202"/>
      <c r="NBQ90" s="202"/>
      <c r="NBR90" s="203"/>
      <c r="NBS90" s="204"/>
      <c r="NBT90" s="204"/>
      <c r="NBU90" s="204"/>
      <c r="NBV90" s="205"/>
      <c r="NBW90" s="206"/>
      <c r="NBX90" s="207"/>
      <c r="NBY90" s="207"/>
      <c r="NBZ90" s="208"/>
      <c r="NCA90" s="209"/>
      <c r="NCB90" s="207"/>
      <c r="NCC90" s="210"/>
      <c r="NCD90" s="209"/>
      <c r="NCE90" s="204"/>
      <c r="NCF90" s="204"/>
      <c r="NCG90" s="204"/>
      <c r="NCH90" s="199"/>
      <c r="NCI90" s="167"/>
      <c r="NCJ90" s="199"/>
      <c r="NCK90" s="200"/>
      <c r="NCL90" s="201"/>
      <c r="NCM90" s="202"/>
      <c r="NCN90" s="202"/>
      <c r="NCO90" s="202"/>
      <c r="NCP90" s="202"/>
      <c r="NCQ90" s="203"/>
      <c r="NCR90" s="204"/>
      <c r="NCS90" s="204"/>
      <c r="NCT90" s="204"/>
      <c r="NCU90" s="205"/>
      <c r="NCV90" s="206"/>
      <c r="NCW90" s="207"/>
      <c r="NCX90" s="207"/>
      <c r="NCY90" s="208"/>
      <c r="NCZ90" s="209"/>
      <c r="NDA90" s="207"/>
      <c r="NDB90" s="210"/>
      <c r="NDC90" s="209"/>
      <c r="NDD90" s="204"/>
      <c r="NDE90" s="204"/>
      <c r="NDF90" s="204"/>
      <c r="NDG90" s="199"/>
      <c r="NDH90" s="167"/>
      <c r="NDI90" s="199"/>
      <c r="NDJ90" s="200"/>
      <c r="NDK90" s="201"/>
      <c r="NDL90" s="202"/>
      <c r="NDM90" s="202"/>
      <c r="NDN90" s="202"/>
      <c r="NDO90" s="202"/>
      <c r="NDP90" s="203"/>
      <c r="NDQ90" s="204"/>
      <c r="NDR90" s="204"/>
      <c r="NDS90" s="204"/>
      <c r="NDT90" s="205"/>
      <c r="NDU90" s="206"/>
      <c r="NDV90" s="207"/>
      <c r="NDW90" s="207"/>
      <c r="NDX90" s="208"/>
      <c r="NDY90" s="209"/>
      <c r="NDZ90" s="207"/>
      <c r="NEA90" s="210"/>
      <c r="NEB90" s="209"/>
      <c r="NEC90" s="204"/>
      <c r="NED90" s="204"/>
      <c r="NEE90" s="204"/>
      <c r="NEF90" s="199"/>
      <c r="NEG90" s="167"/>
      <c r="NEH90" s="199"/>
      <c r="NEI90" s="200"/>
      <c r="NEJ90" s="201"/>
      <c r="NEK90" s="202"/>
      <c r="NEL90" s="202"/>
      <c r="NEM90" s="202"/>
      <c r="NEN90" s="202"/>
      <c r="NEO90" s="203"/>
      <c r="NEP90" s="204"/>
      <c r="NEQ90" s="204"/>
      <c r="NER90" s="204"/>
      <c r="NES90" s="205"/>
      <c r="NET90" s="206"/>
      <c r="NEU90" s="207"/>
      <c r="NEV90" s="207"/>
      <c r="NEW90" s="208"/>
      <c r="NEX90" s="209"/>
      <c r="NEY90" s="207"/>
      <c r="NEZ90" s="210"/>
      <c r="NFA90" s="209"/>
      <c r="NFB90" s="204"/>
      <c r="NFC90" s="204"/>
      <c r="NFD90" s="204"/>
      <c r="NFE90" s="199"/>
      <c r="NFF90" s="167"/>
      <c r="NFG90" s="199"/>
      <c r="NFH90" s="200"/>
      <c r="NFI90" s="201"/>
      <c r="NFJ90" s="202"/>
      <c r="NFK90" s="202"/>
      <c r="NFL90" s="202"/>
      <c r="NFM90" s="202"/>
      <c r="NFN90" s="203"/>
      <c r="NFO90" s="204"/>
      <c r="NFP90" s="204"/>
      <c r="NFQ90" s="204"/>
      <c r="NFR90" s="205"/>
      <c r="NFS90" s="206"/>
      <c r="NFT90" s="207"/>
      <c r="NFU90" s="207"/>
      <c r="NFV90" s="208"/>
      <c r="NFW90" s="209"/>
      <c r="NFX90" s="207"/>
      <c r="NFY90" s="210"/>
      <c r="NFZ90" s="209"/>
      <c r="NGA90" s="204"/>
      <c r="NGB90" s="204"/>
      <c r="NGC90" s="204"/>
      <c r="NGD90" s="199"/>
      <c r="NGE90" s="167"/>
      <c r="NGF90" s="199"/>
      <c r="NGG90" s="200"/>
      <c r="NGH90" s="201"/>
      <c r="NGI90" s="202"/>
      <c r="NGJ90" s="202"/>
      <c r="NGK90" s="202"/>
      <c r="NGL90" s="202"/>
      <c r="NGM90" s="203"/>
      <c r="NGN90" s="204"/>
      <c r="NGO90" s="204"/>
      <c r="NGP90" s="204"/>
      <c r="NGQ90" s="205"/>
      <c r="NGR90" s="206"/>
      <c r="NGS90" s="207"/>
      <c r="NGT90" s="207"/>
      <c r="NGU90" s="208"/>
      <c r="NGV90" s="209"/>
      <c r="NGW90" s="207"/>
      <c r="NGX90" s="210"/>
      <c r="NGY90" s="209"/>
      <c r="NGZ90" s="204"/>
      <c r="NHA90" s="204"/>
      <c r="NHB90" s="204"/>
      <c r="NHC90" s="199"/>
      <c r="NHD90" s="167"/>
      <c r="NHE90" s="199"/>
      <c r="NHF90" s="200"/>
      <c r="NHG90" s="201"/>
      <c r="NHH90" s="202"/>
      <c r="NHI90" s="202"/>
      <c r="NHJ90" s="202"/>
      <c r="NHK90" s="202"/>
      <c r="NHL90" s="203"/>
      <c r="NHM90" s="204"/>
      <c r="NHN90" s="204"/>
      <c r="NHO90" s="204"/>
      <c r="NHP90" s="205"/>
      <c r="NHQ90" s="206"/>
      <c r="NHR90" s="207"/>
      <c r="NHS90" s="207"/>
      <c r="NHT90" s="208"/>
      <c r="NHU90" s="209"/>
      <c r="NHV90" s="207"/>
      <c r="NHW90" s="210"/>
      <c r="NHX90" s="209"/>
      <c r="NHY90" s="204"/>
      <c r="NHZ90" s="204"/>
      <c r="NIA90" s="204"/>
      <c r="NIB90" s="199"/>
      <c r="NIC90" s="167"/>
      <c r="NID90" s="199"/>
      <c r="NIE90" s="200"/>
      <c r="NIF90" s="201"/>
      <c r="NIG90" s="202"/>
      <c r="NIH90" s="202"/>
      <c r="NII90" s="202"/>
      <c r="NIJ90" s="202"/>
      <c r="NIK90" s="203"/>
      <c r="NIL90" s="204"/>
      <c r="NIM90" s="204"/>
      <c r="NIN90" s="204"/>
      <c r="NIO90" s="205"/>
      <c r="NIP90" s="206"/>
      <c r="NIQ90" s="207"/>
      <c r="NIR90" s="207"/>
      <c r="NIS90" s="208"/>
      <c r="NIT90" s="209"/>
      <c r="NIU90" s="207"/>
      <c r="NIV90" s="210"/>
      <c r="NIW90" s="209"/>
      <c r="NIX90" s="204"/>
      <c r="NIY90" s="204"/>
      <c r="NIZ90" s="204"/>
      <c r="NJA90" s="199"/>
      <c r="NJB90" s="167"/>
      <c r="NJC90" s="199"/>
      <c r="NJD90" s="200"/>
      <c r="NJE90" s="201"/>
      <c r="NJF90" s="202"/>
      <c r="NJG90" s="202"/>
      <c r="NJH90" s="202"/>
      <c r="NJI90" s="202"/>
      <c r="NJJ90" s="203"/>
      <c r="NJK90" s="204"/>
      <c r="NJL90" s="204"/>
      <c r="NJM90" s="204"/>
      <c r="NJN90" s="205"/>
      <c r="NJO90" s="206"/>
      <c r="NJP90" s="207"/>
      <c r="NJQ90" s="207"/>
      <c r="NJR90" s="208"/>
      <c r="NJS90" s="209"/>
      <c r="NJT90" s="207"/>
      <c r="NJU90" s="210"/>
      <c r="NJV90" s="209"/>
      <c r="NJW90" s="204"/>
      <c r="NJX90" s="204"/>
      <c r="NJY90" s="204"/>
      <c r="NJZ90" s="199"/>
      <c r="NKA90" s="167"/>
      <c r="NKB90" s="199"/>
      <c r="NKC90" s="200"/>
      <c r="NKD90" s="201"/>
      <c r="NKE90" s="202"/>
      <c r="NKF90" s="202"/>
      <c r="NKG90" s="202"/>
      <c r="NKH90" s="202"/>
      <c r="NKI90" s="203"/>
      <c r="NKJ90" s="204"/>
      <c r="NKK90" s="204"/>
      <c r="NKL90" s="204"/>
      <c r="NKM90" s="205"/>
      <c r="NKN90" s="206"/>
      <c r="NKO90" s="207"/>
      <c r="NKP90" s="207"/>
      <c r="NKQ90" s="208"/>
      <c r="NKR90" s="209"/>
      <c r="NKS90" s="207"/>
      <c r="NKT90" s="210"/>
      <c r="NKU90" s="209"/>
      <c r="NKV90" s="204"/>
      <c r="NKW90" s="204"/>
      <c r="NKX90" s="204"/>
      <c r="NKY90" s="199"/>
      <c r="NKZ90" s="167"/>
      <c r="NLA90" s="199"/>
      <c r="NLB90" s="200"/>
      <c r="NLC90" s="201"/>
      <c r="NLD90" s="202"/>
      <c r="NLE90" s="202"/>
      <c r="NLF90" s="202"/>
      <c r="NLG90" s="202"/>
      <c r="NLH90" s="203"/>
      <c r="NLI90" s="204"/>
      <c r="NLJ90" s="204"/>
      <c r="NLK90" s="204"/>
      <c r="NLL90" s="205"/>
      <c r="NLM90" s="206"/>
      <c r="NLN90" s="207"/>
      <c r="NLO90" s="207"/>
      <c r="NLP90" s="208"/>
      <c r="NLQ90" s="209"/>
      <c r="NLR90" s="207"/>
      <c r="NLS90" s="210"/>
      <c r="NLT90" s="209"/>
      <c r="NLU90" s="204"/>
      <c r="NLV90" s="204"/>
      <c r="NLW90" s="204"/>
      <c r="NLX90" s="199"/>
      <c r="NLY90" s="167"/>
      <c r="NLZ90" s="199"/>
      <c r="NMA90" s="200"/>
      <c r="NMB90" s="201"/>
      <c r="NMC90" s="202"/>
      <c r="NMD90" s="202"/>
      <c r="NME90" s="202"/>
      <c r="NMF90" s="202"/>
      <c r="NMG90" s="203"/>
      <c r="NMH90" s="204"/>
      <c r="NMI90" s="204"/>
      <c r="NMJ90" s="204"/>
      <c r="NMK90" s="205"/>
      <c r="NML90" s="206"/>
      <c r="NMM90" s="207"/>
      <c r="NMN90" s="207"/>
      <c r="NMO90" s="208"/>
      <c r="NMP90" s="209"/>
      <c r="NMQ90" s="207"/>
      <c r="NMR90" s="210"/>
      <c r="NMS90" s="209"/>
      <c r="NMT90" s="204"/>
      <c r="NMU90" s="204"/>
      <c r="NMV90" s="204"/>
      <c r="NMW90" s="199"/>
      <c r="NMX90" s="167"/>
      <c r="NMY90" s="199"/>
      <c r="NMZ90" s="200"/>
      <c r="NNA90" s="201"/>
      <c r="NNB90" s="202"/>
      <c r="NNC90" s="202"/>
      <c r="NND90" s="202"/>
      <c r="NNE90" s="202"/>
      <c r="NNF90" s="203"/>
      <c r="NNG90" s="204"/>
      <c r="NNH90" s="204"/>
      <c r="NNI90" s="204"/>
      <c r="NNJ90" s="205"/>
      <c r="NNK90" s="206"/>
      <c r="NNL90" s="207"/>
      <c r="NNM90" s="207"/>
      <c r="NNN90" s="208"/>
      <c r="NNO90" s="209"/>
      <c r="NNP90" s="207"/>
      <c r="NNQ90" s="210"/>
      <c r="NNR90" s="209"/>
      <c r="NNS90" s="204"/>
      <c r="NNT90" s="204"/>
      <c r="NNU90" s="204"/>
      <c r="NNV90" s="199"/>
      <c r="NNW90" s="167"/>
      <c r="NNX90" s="199"/>
      <c r="NNY90" s="200"/>
      <c r="NNZ90" s="201"/>
      <c r="NOA90" s="202"/>
      <c r="NOB90" s="202"/>
      <c r="NOC90" s="202"/>
      <c r="NOD90" s="202"/>
      <c r="NOE90" s="203"/>
      <c r="NOF90" s="204"/>
      <c r="NOG90" s="204"/>
      <c r="NOH90" s="204"/>
      <c r="NOI90" s="205"/>
      <c r="NOJ90" s="206"/>
      <c r="NOK90" s="207"/>
      <c r="NOL90" s="207"/>
      <c r="NOM90" s="208"/>
      <c r="NON90" s="209"/>
      <c r="NOO90" s="207"/>
      <c r="NOP90" s="210"/>
      <c r="NOQ90" s="209"/>
      <c r="NOR90" s="204"/>
      <c r="NOS90" s="204"/>
      <c r="NOT90" s="204"/>
      <c r="NOU90" s="199"/>
      <c r="NOV90" s="167"/>
      <c r="NOW90" s="199"/>
      <c r="NOX90" s="200"/>
      <c r="NOY90" s="201"/>
      <c r="NOZ90" s="202"/>
      <c r="NPA90" s="202"/>
      <c r="NPB90" s="202"/>
      <c r="NPC90" s="202"/>
      <c r="NPD90" s="203"/>
      <c r="NPE90" s="204"/>
      <c r="NPF90" s="204"/>
      <c r="NPG90" s="204"/>
      <c r="NPH90" s="205"/>
      <c r="NPI90" s="206"/>
      <c r="NPJ90" s="207"/>
      <c r="NPK90" s="207"/>
      <c r="NPL90" s="208"/>
      <c r="NPM90" s="209"/>
      <c r="NPN90" s="207"/>
      <c r="NPO90" s="210"/>
      <c r="NPP90" s="209"/>
      <c r="NPQ90" s="204"/>
      <c r="NPR90" s="204"/>
      <c r="NPS90" s="204"/>
      <c r="NPT90" s="199"/>
      <c r="NPU90" s="167"/>
      <c r="NPV90" s="199"/>
      <c r="NPW90" s="200"/>
      <c r="NPX90" s="201"/>
      <c r="NPY90" s="202"/>
      <c r="NPZ90" s="202"/>
      <c r="NQA90" s="202"/>
      <c r="NQB90" s="202"/>
      <c r="NQC90" s="203"/>
      <c r="NQD90" s="204"/>
      <c r="NQE90" s="204"/>
      <c r="NQF90" s="204"/>
      <c r="NQG90" s="205"/>
      <c r="NQH90" s="206"/>
      <c r="NQI90" s="207"/>
      <c r="NQJ90" s="207"/>
      <c r="NQK90" s="208"/>
      <c r="NQL90" s="209"/>
      <c r="NQM90" s="207"/>
      <c r="NQN90" s="210"/>
      <c r="NQO90" s="209"/>
      <c r="NQP90" s="204"/>
      <c r="NQQ90" s="204"/>
      <c r="NQR90" s="204"/>
      <c r="NQS90" s="199"/>
      <c r="NQT90" s="167"/>
      <c r="NQU90" s="199"/>
      <c r="NQV90" s="200"/>
      <c r="NQW90" s="201"/>
      <c r="NQX90" s="202"/>
      <c r="NQY90" s="202"/>
      <c r="NQZ90" s="202"/>
      <c r="NRA90" s="202"/>
      <c r="NRB90" s="203"/>
      <c r="NRC90" s="204"/>
      <c r="NRD90" s="204"/>
      <c r="NRE90" s="204"/>
      <c r="NRF90" s="205"/>
      <c r="NRG90" s="206"/>
      <c r="NRH90" s="207"/>
      <c r="NRI90" s="207"/>
      <c r="NRJ90" s="208"/>
      <c r="NRK90" s="209"/>
      <c r="NRL90" s="207"/>
      <c r="NRM90" s="210"/>
      <c r="NRN90" s="209"/>
      <c r="NRO90" s="204"/>
      <c r="NRP90" s="204"/>
      <c r="NRQ90" s="204"/>
      <c r="NRR90" s="199"/>
      <c r="NRS90" s="167"/>
      <c r="NRT90" s="199"/>
      <c r="NRU90" s="200"/>
      <c r="NRV90" s="201"/>
      <c r="NRW90" s="202"/>
      <c r="NRX90" s="202"/>
      <c r="NRY90" s="202"/>
      <c r="NRZ90" s="202"/>
      <c r="NSA90" s="203"/>
      <c r="NSB90" s="204"/>
      <c r="NSC90" s="204"/>
      <c r="NSD90" s="204"/>
      <c r="NSE90" s="205"/>
      <c r="NSF90" s="206"/>
      <c r="NSG90" s="207"/>
      <c r="NSH90" s="207"/>
      <c r="NSI90" s="208"/>
      <c r="NSJ90" s="209"/>
      <c r="NSK90" s="207"/>
      <c r="NSL90" s="210"/>
      <c r="NSM90" s="209"/>
      <c r="NSN90" s="204"/>
      <c r="NSO90" s="204"/>
      <c r="NSP90" s="204"/>
      <c r="NSQ90" s="199"/>
      <c r="NSR90" s="167"/>
      <c r="NSS90" s="199"/>
      <c r="NST90" s="200"/>
      <c r="NSU90" s="201"/>
      <c r="NSV90" s="202"/>
      <c r="NSW90" s="202"/>
      <c r="NSX90" s="202"/>
      <c r="NSY90" s="202"/>
      <c r="NSZ90" s="203"/>
      <c r="NTA90" s="204"/>
      <c r="NTB90" s="204"/>
      <c r="NTC90" s="204"/>
      <c r="NTD90" s="205"/>
      <c r="NTE90" s="206"/>
      <c r="NTF90" s="207"/>
      <c r="NTG90" s="207"/>
      <c r="NTH90" s="208"/>
      <c r="NTI90" s="209"/>
      <c r="NTJ90" s="207"/>
      <c r="NTK90" s="210"/>
      <c r="NTL90" s="209"/>
      <c r="NTM90" s="204"/>
      <c r="NTN90" s="204"/>
      <c r="NTO90" s="204"/>
      <c r="NTP90" s="199"/>
      <c r="NTQ90" s="167"/>
      <c r="NTR90" s="199"/>
      <c r="NTS90" s="200"/>
      <c r="NTT90" s="201"/>
      <c r="NTU90" s="202"/>
      <c r="NTV90" s="202"/>
      <c r="NTW90" s="202"/>
      <c r="NTX90" s="202"/>
      <c r="NTY90" s="203"/>
      <c r="NTZ90" s="204"/>
      <c r="NUA90" s="204"/>
      <c r="NUB90" s="204"/>
      <c r="NUC90" s="205"/>
      <c r="NUD90" s="206"/>
      <c r="NUE90" s="207"/>
      <c r="NUF90" s="207"/>
      <c r="NUG90" s="208"/>
      <c r="NUH90" s="209"/>
      <c r="NUI90" s="207"/>
      <c r="NUJ90" s="210"/>
      <c r="NUK90" s="209"/>
      <c r="NUL90" s="204"/>
      <c r="NUM90" s="204"/>
      <c r="NUN90" s="204"/>
      <c r="NUO90" s="199"/>
      <c r="NUP90" s="167"/>
      <c r="NUQ90" s="199"/>
      <c r="NUR90" s="200"/>
      <c r="NUS90" s="201"/>
      <c r="NUT90" s="202"/>
      <c r="NUU90" s="202"/>
      <c r="NUV90" s="202"/>
      <c r="NUW90" s="202"/>
      <c r="NUX90" s="203"/>
      <c r="NUY90" s="204"/>
      <c r="NUZ90" s="204"/>
      <c r="NVA90" s="204"/>
      <c r="NVB90" s="205"/>
      <c r="NVC90" s="206"/>
      <c r="NVD90" s="207"/>
      <c r="NVE90" s="207"/>
      <c r="NVF90" s="208"/>
      <c r="NVG90" s="209"/>
      <c r="NVH90" s="207"/>
      <c r="NVI90" s="210"/>
      <c r="NVJ90" s="209"/>
      <c r="NVK90" s="204"/>
      <c r="NVL90" s="204"/>
      <c r="NVM90" s="204"/>
      <c r="NVN90" s="199"/>
      <c r="NVO90" s="167"/>
      <c r="NVP90" s="199"/>
      <c r="NVQ90" s="200"/>
      <c r="NVR90" s="201"/>
      <c r="NVS90" s="202"/>
      <c r="NVT90" s="202"/>
      <c r="NVU90" s="202"/>
      <c r="NVV90" s="202"/>
      <c r="NVW90" s="203"/>
      <c r="NVX90" s="204"/>
      <c r="NVY90" s="204"/>
      <c r="NVZ90" s="204"/>
      <c r="NWA90" s="205"/>
      <c r="NWB90" s="206"/>
      <c r="NWC90" s="207"/>
      <c r="NWD90" s="207"/>
      <c r="NWE90" s="208"/>
      <c r="NWF90" s="209"/>
      <c r="NWG90" s="207"/>
      <c r="NWH90" s="210"/>
      <c r="NWI90" s="209"/>
      <c r="NWJ90" s="204"/>
      <c r="NWK90" s="204"/>
      <c r="NWL90" s="204"/>
      <c r="NWM90" s="199"/>
      <c r="NWN90" s="167"/>
      <c r="NWO90" s="199"/>
      <c r="NWP90" s="200"/>
      <c r="NWQ90" s="201"/>
      <c r="NWR90" s="202"/>
      <c r="NWS90" s="202"/>
      <c r="NWT90" s="202"/>
      <c r="NWU90" s="202"/>
      <c r="NWV90" s="203"/>
      <c r="NWW90" s="204"/>
      <c r="NWX90" s="204"/>
      <c r="NWY90" s="204"/>
      <c r="NWZ90" s="205"/>
      <c r="NXA90" s="206"/>
      <c r="NXB90" s="207"/>
      <c r="NXC90" s="207"/>
      <c r="NXD90" s="208"/>
      <c r="NXE90" s="209"/>
      <c r="NXF90" s="207"/>
      <c r="NXG90" s="210"/>
      <c r="NXH90" s="209"/>
      <c r="NXI90" s="204"/>
      <c r="NXJ90" s="204"/>
      <c r="NXK90" s="204"/>
      <c r="NXL90" s="199"/>
      <c r="NXM90" s="167"/>
      <c r="NXN90" s="199"/>
      <c r="NXO90" s="200"/>
      <c r="NXP90" s="201"/>
      <c r="NXQ90" s="202"/>
      <c r="NXR90" s="202"/>
      <c r="NXS90" s="202"/>
      <c r="NXT90" s="202"/>
      <c r="NXU90" s="203"/>
      <c r="NXV90" s="204"/>
      <c r="NXW90" s="204"/>
      <c r="NXX90" s="204"/>
      <c r="NXY90" s="205"/>
      <c r="NXZ90" s="206"/>
      <c r="NYA90" s="207"/>
      <c r="NYB90" s="207"/>
      <c r="NYC90" s="208"/>
      <c r="NYD90" s="209"/>
      <c r="NYE90" s="207"/>
      <c r="NYF90" s="210"/>
      <c r="NYG90" s="209"/>
      <c r="NYH90" s="204"/>
      <c r="NYI90" s="204"/>
      <c r="NYJ90" s="204"/>
      <c r="NYK90" s="199"/>
      <c r="NYL90" s="167"/>
      <c r="NYM90" s="199"/>
      <c r="NYN90" s="200"/>
      <c r="NYO90" s="201"/>
      <c r="NYP90" s="202"/>
      <c r="NYQ90" s="202"/>
      <c r="NYR90" s="202"/>
      <c r="NYS90" s="202"/>
      <c r="NYT90" s="203"/>
      <c r="NYU90" s="204"/>
      <c r="NYV90" s="204"/>
      <c r="NYW90" s="204"/>
      <c r="NYX90" s="205"/>
      <c r="NYY90" s="206"/>
      <c r="NYZ90" s="207"/>
      <c r="NZA90" s="207"/>
      <c r="NZB90" s="208"/>
      <c r="NZC90" s="209"/>
      <c r="NZD90" s="207"/>
      <c r="NZE90" s="210"/>
      <c r="NZF90" s="209"/>
      <c r="NZG90" s="204"/>
      <c r="NZH90" s="204"/>
      <c r="NZI90" s="204"/>
      <c r="NZJ90" s="199"/>
      <c r="NZK90" s="167"/>
      <c r="NZL90" s="199"/>
      <c r="NZM90" s="200"/>
      <c r="NZN90" s="201"/>
      <c r="NZO90" s="202"/>
      <c r="NZP90" s="202"/>
      <c r="NZQ90" s="202"/>
      <c r="NZR90" s="202"/>
      <c r="NZS90" s="203"/>
      <c r="NZT90" s="204"/>
      <c r="NZU90" s="204"/>
      <c r="NZV90" s="204"/>
      <c r="NZW90" s="205"/>
      <c r="NZX90" s="206"/>
      <c r="NZY90" s="207"/>
      <c r="NZZ90" s="207"/>
      <c r="OAA90" s="208"/>
      <c r="OAB90" s="209"/>
      <c r="OAC90" s="207"/>
      <c r="OAD90" s="210"/>
      <c r="OAE90" s="209"/>
      <c r="OAF90" s="204"/>
      <c r="OAG90" s="204"/>
      <c r="OAH90" s="204"/>
      <c r="OAI90" s="199"/>
      <c r="OAJ90" s="167"/>
      <c r="OAK90" s="199"/>
      <c r="OAL90" s="200"/>
      <c r="OAM90" s="201"/>
      <c r="OAN90" s="202"/>
      <c r="OAO90" s="202"/>
      <c r="OAP90" s="202"/>
      <c r="OAQ90" s="202"/>
      <c r="OAR90" s="203"/>
      <c r="OAS90" s="204"/>
      <c r="OAT90" s="204"/>
      <c r="OAU90" s="204"/>
      <c r="OAV90" s="205"/>
      <c r="OAW90" s="206"/>
      <c r="OAX90" s="207"/>
      <c r="OAY90" s="207"/>
      <c r="OAZ90" s="208"/>
      <c r="OBA90" s="209"/>
      <c r="OBB90" s="207"/>
      <c r="OBC90" s="210"/>
      <c r="OBD90" s="209"/>
      <c r="OBE90" s="204"/>
      <c r="OBF90" s="204"/>
      <c r="OBG90" s="204"/>
      <c r="OBH90" s="199"/>
      <c r="OBI90" s="167"/>
      <c r="OBJ90" s="199"/>
      <c r="OBK90" s="200"/>
      <c r="OBL90" s="201"/>
      <c r="OBM90" s="202"/>
      <c r="OBN90" s="202"/>
      <c r="OBO90" s="202"/>
      <c r="OBP90" s="202"/>
      <c r="OBQ90" s="203"/>
      <c r="OBR90" s="204"/>
      <c r="OBS90" s="204"/>
      <c r="OBT90" s="204"/>
      <c r="OBU90" s="205"/>
      <c r="OBV90" s="206"/>
      <c r="OBW90" s="207"/>
      <c r="OBX90" s="207"/>
      <c r="OBY90" s="208"/>
      <c r="OBZ90" s="209"/>
      <c r="OCA90" s="207"/>
      <c r="OCB90" s="210"/>
      <c r="OCC90" s="209"/>
      <c r="OCD90" s="204"/>
      <c r="OCE90" s="204"/>
      <c r="OCF90" s="204"/>
      <c r="OCG90" s="199"/>
      <c r="OCH90" s="167"/>
      <c r="OCI90" s="199"/>
      <c r="OCJ90" s="200"/>
      <c r="OCK90" s="201"/>
      <c r="OCL90" s="202"/>
      <c r="OCM90" s="202"/>
      <c r="OCN90" s="202"/>
      <c r="OCO90" s="202"/>
      <c r="OCP90" s="203"/>
      <c r="OCQ90" s="204"/>
      <c r="OCR90" s="204"/>
      <c r="OCS90" s="204"/>
      <c r="OCT90" s="205"/>
      <c r="OCU90" s="206"/>
      <c r="OCV90" s="207"/>
      <c r="OCW90" s="207"/>
      <c r="OCX90" s="208"/>
      <c r="OCY90" s="209"/>
      <c r="OCZ90" s="207"/>
      <c r="ODA90" s="210"/>
      <c r="ODB90" s="209"/>
      <c r="ODC90" s="204"/>
      <c r="ODD90" s="204"/>
      <c r="ODE90" s="204"/>
      <c r="ODF90" s="199"/>
      <c r="ODG90" s="167"/>
      <c r="ODH90" s="199"/>
      <c r="ODI90" s="200"/>
      <c r="ODJ90" s="201"/>
      <c r="ODK90" s="202"/>
      <c r="ODL90" s="202"/>
      <c r="ODM90" s="202"/>
      <c r="ODN90" s="202"/>
      <c r="ODO90" s="203"/>
      <c r="ODP90" s="204"/>
      <c r="ODQ90" s="204"/>
      <c r="ODR90" s="204"/>
      <c r="ODS90" s="205"/>
      <c r="ODT90" s="206"/>
      <c r="ODU90" s="207"/>
      <c r="ODV90" s="207"/>
      <c r="ODW90" s="208"/>
      <c r="ODX90" s="209"/>
      <c r="ODY90" s="207"/>
      <c r="ODZ90" s="210"/>
      <c r="OEA90" s="209"/>
      <c r="OEB90" s="204"/>
      <c r="OEC90" s="204"/>
      <c r="OED90" s="204"/>
      <c r="OEE90" s="199"/>
      <c r="OEF90" s="167"/>
      <c r="OEG90" s="199"/>
      <c r="OEH90" s="200"/>
      <c r="OEI90" s="201"/>
      <c r="OEJ90" s="202"/>
      <c r="OEK90" s="202"/>
      <c r="OEL90" s="202"/>
      <c r="OEM90" s="202"/>
      <c r="OEN90" s="203"/>
      <c r="OEO90" s="204"/>
      <c r="OEP90" s="204"/>
      <c r="OEQ90" s="204"/>
      <c r="OER90" s="205"/>
      <c r="OES90" s="206"/>
      <c r="OET90" s="207"/>
      <c r="OEU90" s="207"/>
      <c r="OEV90" s="208"/>
      <c r="OEW90" s="209"/>
      <c r="OEX90" s="207"/>
      <c r="OEY90" s="210"/>
      <c r="OEZ90" s="209"/>
      <c r="OFA90" s="204"/>
      <c r="OFB90" s="204"/>
      <c r="OFC90" s="204"/>
      <c r="OFD90" s="199"/>
      <c r="OFE90" s="167"/>
      <c r="OFF90" s="199"/>
      <c r="OFG90" s="200"/>
      <c r="OFH90" s="201"/>
      <c r="OFI90" s="202"/>
      <c r="OFJ90" s="202"/>
      <c r="OFK90" s="202"/>
      <c r="OFL90" s="202"/>
      <c r="OFM90" s="203"/>
      <c r="OFN90" s="204"/>
      <c r="OFO90" s="204"/>
      <c r="OFP90" s="204"/>
      <c r="OFQ90" s="205"/>
      <c r="OFR90" s="206"/>
      <c r="OFS90" s="207"/>
      <c r="OFT90" s="207"/>
      <c r="OFU90" s="208"/>
      <c r="OFV90" s="209"/>
      <c r="OFW90" s="207"/>
      <c r="OFX90" s="210"/>
      <c r="OFY90" s="209"/>
      <c r="OFZ90" s="204"/>
      <c r="OGA90" s="204"/>
      <c r="OGB90" s="204"/>
      <c r="OGC90" s="199"/>
      <c r="OGD90" s="167"/>
      <c r="OGE90" s="199"/>
      <c r="OGF90" s="200"/>
      <c r="OGG90" s="201"/>
      <c r="OGH90" s="202"/>
      <c r="OGI90" s="202"/>
      <c r="OGJ90" s="202"/>
      <c r="OGK90" s="202"/>
      <c r="OGL90" s="203"/>
      <c r="OGM90" s="204"/>
      <c r="OGN90" s="204"/>
      <c r="OGO90" s="204"/>
      <c r="OGP90" s="205"/>
      <c r="OGQ90" s="206"/>
      <c r="OGR90" s="207"/>
      <c r="OGS90" s="207"/>
      <c r="OGT90" s="208"/>
      <c r="OGU90" s="209"/>
      <c r="OGV90" s="207"/>
      <c r="OGW90" s="210"/>
      <c r="OGX90" s="209"/>
      <c r="OGY90" s="204"/>
      <c r="OGZ90" s="204"/>
      <c r="OHA90" s="204"/>
      <c r="OHB90" s="199"/>
      <c r="OHC90" s="167"/>
      <c r="OHD90" s="199"/>
      <c r="OHE90" s="200"/>
      <c r="OHF90" s="201"/>
      <c r="OHG90" s="202"/>
      <c r="OHH90" s="202"/>
      <c r="OHI90" s="202"/>
      <c r="OHJ90" s="202"/>
      <c r="OHK90" s="203"/>
      <c r="OHL90" s="204"/>
      <c r="OHM90" s="204"/>
      <c r="OHN90" s="204"/>
      <c r="OHO90" s="205"/>
      <c r="OHP90" s="206"/>
      <c r="OHQ90" s="207"/>
      <c r="OHR90" s="207"/>
      <c r="OHS90" s="208"/>
      <c r="OHT90" s="209"/>
      <c r="OHU90" s="207"/>
      <c r="OHV90" s="210"/>
      <c r="OHW90" s="209"/>
      <c r="OHX90" s="204"/>
      <c r="OHY90" s="204"/>
      <c r="OHZ90" s="204"/>
      <c r="OIA90" s="199"/>
      <c r="OIB90" s="167"/>
      <c r="OIC90" s="199"/>
      <c r="OID90" s="200"/>
      <c r="OIE90" s="201"/>
      <c r="OIF90" s="202"/>
      <c r="OIG90" s="202"/>
      <c r="OIH90" s="202"/>
      <c r="OII90" s="202"/>
      <c r="OIJ90" s="203"/>
      <c r="OIK90" s="204"/>
      <c r="OIL90" s="204"/>
      <c r="OIM90" s="204"/>
      <c r="OIN90" s="205"/>
      <c r="OIO90" s="206"/>
      <c r="OIP90" s="207"/>
      <c r="OIQ90" s="207"/>
      <c r="OIR90" s="208"/>
      <c r="OIS90" s="209"/>
      <c r="OIT90" s="207"/>
      <c r="OIU90" s="210"/>
      <c r="OIV90" s="209"/>
      <c r="OIW90" s="204"/>
      <c r="OIX90" s="204"/>
      <c r="OIY90" s="204"/>
      <c r="OIZ90" s="199"/>
      <c r="OJA90" s="167"/>
      <c r="OJB90" s="199"/>
      <c r="OJC90" s="200"/>
      <c r="OJD90" s="201"/>
      <c r="OJE90" s="202"/>
      <c r="OJF90" s="202"/>
      <c r="OJG90" s="202"/>
      <c r="OJH90" s="202"/>
      <c r="OJI90" s="203"/>
      <c r="OJJ90" s="204"/>
      <c r="OJK90" s="204"/>
      <c r="OJL90" s="204"/>
      <c r="OJM90" s="205"/>
      <c r="OJN90" s="206"/>
      <c r="OJO90" s="207"/>
      <c r="OJP90" s="207"/>
      <c r="OJQ90" s="208"/>
      <c r="OJR90" s="209"/>
      <c r="OJS90" s="207"/>
      <c r="OJT90" s="210"/>
      <c r="OJU90" s="209"/>
      <c r="OJV90" s="204"/>
      <c r="OJW90" s="204"/>
      <c r="OJX90" s="204"/>
      <c r="OJY90" s="199"/>
      <c r="OJZ90" s="167"/>
      <c r="OKA90" s="199"/>
      <c r="OKB90" s="200"/>
      <c r="OKC90" s="201"/>
      <c r="OKD90" s="202"/>
      <c r="OKE90" s="202"/>
      <c r="OKF90" s="202"/>
      <c r="OKG90" s="202"/>
      <c r="OKH90" s="203"/>
      <c r="OKI90" s="204"/>
      <c r="OKJ90" s="204"/>
      <c r="OKK90" s="204"/>
      <c r="OKL90" s="205"/>
      <c r="OKM90" s="206"/>
      <c r="OKN90" s="207"/>
      <c r="OKO90" s="207"/>
      <c r="OKP90" s="208"/>
      <c r="OKQ90" s="209"/>
      <c r="OKR90" s="207"/>
      <c r="OKS90" s="210"/>
      <c r="OKT90" s="209"/>
      <c r="OKU90" s="204"/>
      <c r="OKV90" s="204"/>
      <c r="OKW90" s="204"/>
      <c r="OKX90" s="199"/>
      <c r="OKY90" s="167"/>
      <c r="OKZ90" s="199"/>
      <c r="OLA90" s="200"/>
      <c r="OLB90" s="201"/>
      <c r="OLC90" s="202"/>
      <c r="OLD90" s="202"/>
      <c r="OLE90" s="202"/>
      <c r="OLF90" s="202"/>
      <c r="OLG90" s="203"/>
      <c r="OLH90" s="204"/>
      <c r="OLI90" s="204"/>
      <c r="OLJ90" s="204"/>
      <c r="OLK90" s="205"/>
      <c r="OLL90" s="206"/>
      <c r="OLM90" s="207"/>
      <c r="OLN90" s="207"/>
      <c r="OLO90" s="208"/>
      <c r="OLP90" s="209"/>
      <c r="OLQ90" s="207"/>
      <c r="OLR90" s="210"/>
      <c r="OLS90" s="209"/>
      <c r="OLT90" s="204"/>
      <c r="OLU90" s="204"/>
      <c r="OLV90" s="204"/>
      <c r="OLW90" s="199"/>
      <c r="OLX90" s="167"/>
      <c r="OLY90" s="199"/>
      <c r="OLZ90" s="200"/>
      <c r="OMA90" s="201"/>
      <c r="OMB90" s="202"/>
      <c r="OMC90" s="202"/>
      <c r="OMD90" s="202"/>
      <c r="OME90" s="202"/>
      <c r="OMF90" s="203"/>
      <c r="OMG90" s="204"/>
      <c r="OMH90" s="204"/>
      <c r="OMI90" s="204"/>
      <c r="OMJ90" s="205"/>
      <c r="OMK90" s="206"/>
      <c r="OML90" s="207"/>
      <c r="OMM90" s="207"/>
      <c r="OMN90" s="208"/>
      <c r="OMO90" s="209"/>
      <c r="OMP90" s="207"/>
      <c r="OMQ90" s="210"/>
      <c r="OMR90" s="209"/>
      <c r="OMS90" s="204"/>
      <c r="OMT90" s="204"/>
      <c r="OMU90" s="204"/>
      <c r="OMV90" s="199"/>
      <c r="OMW90" s="167"/>
      <c r="OMX90" s="199"/>
      <c r="OMY90" s="200"/>
      <c r="OMZ90" s="201"/>
      <c r="ONA90" s="202"/>
      <c r="ONB90" s="202"/>
      <c r="ONC90" s="202"/>
      <c r="OND90" s="202"/>
      <c r="ONE90" s="203"/>
      <c r="ONF90" s="204"/>
      <c r="ONG90" s="204"/>
      <c r="ONH90" s="204"/>
      <c r="ONI90" s="205"/>
      <c r="ONJ90" s="206"/>
      <c r="ONK90" s="207"/>
      <c r="ONL90" s="207"/>
      <c r="ONM90" s="208"/>
      <c r="ONN90" s="209"/>
      <c r="ONO90" s="207"/>
      <c r="ONP90" s="210"/>
      <c r="ONQ90" s="209"/>
      <c r="ONR90" s="204"/>
      <c r="ONS90" s="204"/>
      <c r="ONT90" s="204"/>
      <c r="ONU90" s="199"/>
      <c r="ONV90" s="167"/>
      <c r="ONW90" s="199"/>
      <c r="ONX90" s="200"/>
      <c r="ONY90" s="201"/>
      <c r="ONZ90" s="202"/>
      <c r="OOA90" s="202"/>
      <c r="OOB90" s="202"/>
      <c r="OOC90" s="202"/>
      <c r="OOD90" s="203"/>
      <c r="OOE90" s="204"/>
      <c r="OOF90" s="204"/>
      <c r="OOG90" s="204"/>
      <c r="OOH90" s="205"/>
      <c r="OOI90" s="206"/>
      <c r="OOJ90" s="207"/>
      <c r="OOK90" s="207"/>
      <c r="OOL90" s="208"/>
      <c r="OOM90" s="209"/>
      <c r="OON90" s="207"/>
      <c r="OOO90" s="210"/>
      <c r="OOP90" s="209"/>
      <c r="OOQ90" s="204"/>
      <c r="OOR90" s="204"/>
      <c r="OOS90" s="204"/>
      <c r="OOT90" s="199"/>
      <c r="OOU90" s="167"/>
      <c r="OOV90" s="199"/>
      <c r="OOW90" s="200"/>
      <c r="OOX90" s="201"/>
      <c r="OOY90" s="202"/>
      <c r="OOZ90" s="202"/>
      <c r="OPA90" s="202"/>
      <c r="OPB90" s="202"/>
      <c r="OPC90" s="203"/>
      <c r="OPD90" s="204"/>
      <c r="OPE90" s="204"/>
      <c r="OPF90" s="204"/>
      <c r="OPG90" s="205"/>
      <c r="OPH90" s="206"/>
      <c r="OPI90" s="207"/>
      <c r="OPJ90" s="207"/>
      <c r="OPK90" s="208"/>
      <c r="OPL90" s="209"/>
      <c r="OPM90" s="207"/>
      <c r="OPN90" s="210"/>
      <c r="OPO90" s="209"/>
      <c r="OPP90" s="204"/>
      <c r="OPQ90" s="204"/>
      <c r="OPR90" s="204"/>
      <c r="OPS90" s="199"/>
      <c r="OPT90" s="167"/>
      <c r="OPU90" s="199"/>
      <c r="OPV90" s="200"/>
      <c r="OPW90" s="201"/>
      <c r="OPX90" s="202"/>
      <c r="OPY90" s="202"/>
      <c r="OPZ90" s="202"/>
      <c r="OQA90" s="202"/>
      <c r="OQB90" s="203"/>
      <c r="OQC90" s="204"/>
      <c r="OQD90" s="204"/>
      <c r="OQE90" s="204"/>
      <c r="OQF90" s="205"/>
      <c r="OQG90" s="206"/>
      <c r="OQH90" s="207"/>
      <c r="OQI90" s="207"/>
      <c r="OQJ90" s="208"/>
      <c r="OQK90" s="209"/>
      <c r="OQL90" s="207"/>
      <c r="OQM90" s="210"/>
      <c r="OQN90" s="209"/>
      <c r="OQO90" s="204"/>
      <c r="OQP90" s="204"/>
      <c r="OQQ90" s="204"/>
      <c r="OQR90" s="199"/>
      <c r="OQS90" s="167"/>
      <c r="OQT90" s="199"/>
      <c r="OQU90" s="200"/>
      <c r="OQV90" s="201"/>
      <c r="OQW90" s="202"/>
      <c r="OQX90" s="202"/>
      <c r="OQY90" s="202"/>
      <c r="OQZ90" s="202"/>
      <c r="ORA90" s="203"/>
      <c r="ORB90" s="204"/>
      <c r="ORC90" s="204"/>
      <c r="ORD90" s="204"/>
      <c r="ORE90" s="205"/>
      <c r="ORF90" s="206"/>
      <c r="ORG90" s="207"/>
      <c r="ORH90" s="207"/>
      <c r="ORI90" s="208"/>
      <c r="ORJ90" s="209"/>
      <c r="ORK90" s="207"/>
      <c r="ORL90" s="210"/>
      <c r="ORM90" s="209"/>
      <c r="ORN90" s="204"/>
      <c r="ORO90" s="204"/>
      <c r="ORP90" s="204"/>
      <c r="ORQ90" s="199"/>
      <c r="ORR90" s="167"/>
      <c r="ORS90" s="199"/>
      <c r="ORT90" s="200"/>
      <c r="ORU90" s="201"/>
      <c r="ORV90" s="202"/>
      <c r="ORW90" s="202"/>
      <c r="ORX90" s="202"/>
      <c r="ORY90" s="202"/>
      <c r="ORZ90" s="203"/>
      <c r="OSA90" s="204"/>
      <c r="OSB90" s="204"/>
      <c r="OSC90" s="204"/>
      <c r="OSD90" s="205"/>
      <c r="OSE90" s="206"/>
      <c r="OSF90" s="207"/>
      <c r="OSG90" s="207"/>
      <c r="OSH90" s="208"/>
      <c r="OSI90" s="209"/>
      <c r="OSJ90" s="207"/>
      <c r="OSK90" s="210"/>
      <c r="OSL90" s="209"/>
      <c r="OSM90" s="204"/>
      <c r="OSN90" s="204"/>
      <c r="OSO90" s="204"/>
      <c r="OSP90" s="199"/>
      <c r="OSQ90" s="167"/>
      <c r="OSR90" s="199"/>
      <c r="OSS90" s="200"/>
      <c r="OST90" s="201"/>
      <c r="OSU90" s="202"/>
      <c r="OSV90" s="202"/>
      <c r="OSW90" s="202"/>
      <c r="OSX90" s="202"/>
      <c r="OSY90" s="203"/>
      <c r="OSZ90" s="204"/>
      <c r="OTA90" s="204"/>
      <c r="OTB90" s="204"/>
      <c r="OTC90" s="205"/>
      <c r="OTD90" s="206"/>
      <c r="OTE90" s="207"/>
      <c r="OTF90" s="207"/>
      <c r="OTG90" s="208"/>
      <c r="OTH90" s="209"/>
      <c r="OTI90" s="207"/>
      <c r="OTJ90" s="210"/>
      <c r="OTK90" s="209"/>
      <c r="OTL90" s="204"/>
      <c r="OTM90" s="204"/>
      <c r="OTN90" s="204"/>
      <c r="OTO90" s="199"/>
      <c r="OTP90" s="167"/>
      <c r="OTQ90" s="199"/>
      <c r="OTR90" s="200"/>
      <c r="OTS90" s="201"/>
      <c r="OTT90" s="202"/>
      <c r="OTU90" s="202"/>
      <c r="OTV90" s="202"/>
      <c r="OTW90" s="202"/>
      <c r="OTX90" s="203"/>
      <c r="OTY90" s="204"/>
      <c r="OTZ90" s="204"/>
      <c r="OUA90" s="204"/>
      <c r="OUB90" s="205"/>
      <c r="OUC90" s="206"/>
      <c r="OUD90" s="207"/>
      <c r="OUE90" s="207"/>
      <c r="OUF90" s="208"/>
      <c r="OUG90" s="209"/>
      <c r="OUH90" s="207"/>
      <c r="OUI90" s="210"/>
      <c r="OUJ90" s="209"/>
      <c r="OUK90" s="204"/>
      <c r="OUL90" s="204"/>
      <c r="OUM90" s="204"/>
      <c r="OUN90" s="199"/>
      <c r="OUO90" s="167"/>
      <c r="OUP90" s="199"/>
      <c r="OUQ90" s="200"/>
      <c r="OUR90" s="201"/>
      <c r="OUS90" s="202"/>
      <c r="OUT90" s="202"/>
      <c r="OUU90" s="202"/>
      <c r="OUV90" s="202"/>
      <c r="OUW90" s="203"/>
      <c r="OUX90" s="204"/>
      <c r="OUY90" s="204"/>
      <c r="OUZ90" s="204"/>
      <c r="OVA90" s="205"/>
      <c r="OVB90" s="206"/>
      <c r="OVC90" s="207"/>
      <c r="OVD90" s="207"/>
      <c r="OVE90" s="208"/>
      <c r="OVF90" s="209"/>
      <c r="OVG90" s="207"/>
      <c r="OVH90" s="210"/>
      <c r="OVI90" s="209"/>
      <c r="OVJ90" s="204"/>
      <c r="OVK90" s="204"/>
      <c r="OVL90" s="204"/>
      <c r="OVM90" s="199"/>
      <c r="OVN90" s="167"/>
      <c r="OVO90" s="199"/>
      <c r="OVP90" s="200"/>
      <c r="OVQ90" s="201"/>
      <c r="OVR90" s="202"/>
      <c r="OVS90" s="202"/>
      <c r="OVT90" s="202"/>
      <c r="OVU90" s="202"/>
      <c r="OVV90" s="203"/>
      <c r="OVW90" s="204"/>
      <c r="OVX90" s="204"/>
      <c r="OVY90" s="204"/>
      <c r="OVZ90" s="205"/>
      <c r="OWA90" s="206"/>
      <c r="OWB90" s="207"/>
      <c r="OWC90" s="207"/>
      <c r="OWD90" s="208"/>
      <c r="OWE90" s="209"/>
      <c r="OWF90" s="207"/>
      <c r="OWG90" s="210"/>
      <c r="OWH90" s="209"/>
      <c r="OWI90" s="204"/>
      <c r="OWJ90" s="204"/>
      <c r="OWK90" s="204"/>
      <c r="OWL90" s="199"/>
      <c r="OWM90" s="167"/>
      <c r="OWN90" s="199"/>
      <c r="OWO90" s="200"/>
      <c r="OWP90" s="201"/>
      <c r="OWQ90" s="202"/>
      <c r="OWR90" s="202"/>
      <c r="OWS90" s="202"/>
      <c r="OWT90" s="202"/>
      <c r="OWU90" s="203"/>
      <c r="OWV90" s="204"/>
      <c r="OWW90" s="204"/>
      <c r="OWX90" s="204"/>
      <c r="OWY90" s="205"/>
      <c r="OWZ90" s="206"/>
      <c r="OXA90" s="207"/>
      <c r="OXB90" s="207"/>
      <c r="OXC90" s="208"/>
      <c r="OXD90" s="209"/>
      <c r="OXE90" s="207"/>
      <c r="OXF90" s="210"/>
      <c r="OXG90" s="209"/>
      <c r="OXH90" s="204"/>
      <c r="OXI90" s="204"/>
      <c r="OXJ90" s="204"/>
      <c r="OXK90" s="199"/>
      <c r="OXL90" s="167"/>
      <c r="OXM90" s="199"/>
      <c r="OXN90" s="200"/>
      <c r="OXO90" s="201"/>
      <c r="OXP90" s="202"/>
      <c r="OXQ90" s="202"/>
      <c r="OXR90" s="202"/>
      <c r="OXS90" s="202"/>
      <c r="OXT90" s="203"/>
      <c r="OXU90" s="204"/>
      <c r="OXV90" s="204"/>
      <c r="OXW90" s="204"/>
      <c r="OXX90" s="205"/>
      <c r="OXY90" s="206"/>
      <c r="OXZ90" s="207"/>
      <c r="OYA90" s="207"/>
      <c r="OYB90" s="208"/>
      <c r="OYC90" s="209"/>
      <c r="OYD90" s="207"/>
      <c r="OYE90" s="210"/>
      <c r="OYF90" s="209"/>
      <c r="OYG90" s="204"/>
      <c r="OYH90" s="204"/>
      <c r="OYI90" s="204"/>
      <c r="OYJ90" s="199"/>
      <c r="OYK90" s="167"/>
      <c r="OYL90" s="199"/>
      <c r="OYM90" s="200"/>
      <c r="OYN90" s="201"/>
      <c r="OYO90" s="202"/>
      <c r="OYP90" s="202"/>
      <c r="OYQ90" s="202"/>
      <c r="OYR90" s="202"/>
      <c r="OYS90" s="203"/>
      <c r="OYT90" s="204"/>
      <c r="OYU90" s="204"/>
      <c r="OYV90" s="204"/>
      <c r="OYW90" s="205"/>
      <c r="OYX90" s="206"/>
      <c r="OYY90" s="207"/>
      <c r="OYZ90" s="207"/>
      <c r="OZA90" s="208"/>
      <c r="OZB90" s="209"/>
      <c r="OZC90" s="207"/>
      <c r="OZD90" s="210"/>
      <c r="OZE90" s="209"/>
      <c r="OZF90" s="204"/>
      <c r="OZG90" s="204"/>
      <c r="OZH90" s="204"/>
      <c r="OZI90" s="199"/>
      <c r="OZJ90" s="167"/>
      <c r="OZK90" s="199"/>
      <c r="OZL90" s="200"/>
      <c r="OZM90" s="201"/>
      <c r="OZN90" s="202"/>
      <c r="OZO90" s="202"/>
      <c r="OZP90" s="202"/>
      <c r="OZQ90" s="202"/>
      <c r="OZR90" s="203"/>
      <c r="OZS90" s="204"/>
      <c r="OZT90" s="204"/>
      <c r="OZU90" s="204"/>
      <c r="OZV90" s="205"/>
      <c r="OZW90" s="206"/>
      <c r="OZX90" s="207"/>
      <c r="OZY90" s="207"/>
      <c r="OZZ90" s="208"/>
      <c r="PAA90" s="209"/>
      <c r="PAB90" s="207"/>
      <c r="PAC90" s="210"/>
      <c r="PAD90" s="209"/>
      <c r="PAE90" s="204"/>
      <c r="PAF90" s="204"/>
      <c r="PAG90" s="204"/>
      <c r="PAH90" s="199"/>
      <c r="PAI90" s="167"/>
      <c r="PAJ90" s="199"/>
      <c r="PAK90" s="200"/>
      <c r="PAL90" s="201"/>
      <c r="PAM90" s="202"/>
      <c r="PAN90" s="202"/>
      <c r="PAO90" s="202"/>
      <c r="PAP90" s="202"/>
      <c r="PAQ90" s="203"/>
      <c r="PAR90" s="204"/>
      <c r="PAS90" s="204"/>
      <c r="PAT90" s="204"/>
      <c r="PAU90" s="205"/>
      <c r="PAV90" s="206"/>
      <c r="PAW90" s="207"/>
      <c r="PAX90" s="207"/>
      <c r="PAY90" s="208"/>
      <c r="PAZ90" s="209"/>
      <c r="PBA90" s="207"/>
      <c r="PBB90" s="210"/>
      <c r="PBC90" s="209"/>
      <c r="PBD90" s="204"/>
      <c r="PBE90" s="204"/>
      <c r="PBF90" s="204"/>
      <c r="PBG90" s="199"/>
      <c r="PBH90" s="167"/>
      <c r="PBI90" s="199"/>
      <c r="PBJ90" s="200"/>
      <c r="PBK90" s="201"/>
      <c r="PBL90" s="202"/>
      <c r="PBM90" s="202"/>
      <c r="PBN90" s="202"/>
      <c r="PBO90" s="202"/>
      <c r="PBP90" s="203"/>
      <c r="PBQ90" s="204"/>
      <c r="PBR90" s="204"/>
      <c r="PBS90" s="204"/>
      <c r="PBT90" s="205"/>
      <c r="PBU90" s="206"/>
      <c r="PBV90" s="207"/>
      <c r="PBW90" s="207"/>
      <c r="PBX90" s="208"/>
      <c r="PBY90" s="209"/>
      <c r="PBZ90" s="207"/>
      <c r="PCA90" s="210"/>
      <c r="PCB90" s="209"/>
      <c r="PCC90" s="204"/>
      <c r="PCD90" s="204"/>
      <c r="PCE90" s="204"/>
      <c r="PCF90" s="199"/>
      <c r="PCG90" s="167"/>
      <c r="PCH90" s="199"/>
      <c r="PCI90" s="200"/>
      <c r="PCJ90" s="201"/>
      <c r="PCK90" s="202"/>
      <c r="PCL90" s="202"/>
      <c r="PCM90" s="202"/>
      <c r="PCN90" s="202"/>
      <c r="PCO90" s="203"/>
      <c r="PCP90" s="204"/>
      <c r="PCQ90" s="204"/>
      <c r="PCR90" s="204"/>
      <c r="PCS90" s="205"/>
      <c r="PCT90" s="206"/>
      <c r="PCU90" s="207"/>
      <c r="PCV90" s="207"/>
      <c r="PCW90" s="208"/>
      <c r="PCX90" s="209"/>
      <c r="PCY90" s="207"/>
      <c r="PCZ90" s="210"/>
      <c r="PDA90" s="209"/>
      <c r="PDB90" s="204"/>
      <c r="PDC90" s="204"/>
      <c r="PDD90" s="204"/>
      <c r="PDE90" s="199"/>
      <c r="PDF90" s="167"/>
      <c r="PDG90" s="199"/>
      <c r="PDH90" s="200"/>
      <c r="PDI90" s="201"/>
      <c r="PDJ90" s="202"/>
      <c r="PDK90" s="202"/>
      <c r="PDL90" s="202"/>
      <c r="PDM90" s="202"/>
      <c r="PDN90" s="203"/>
      <c r="PDO90" s="204"/>
      <c r="PDP90" s="204"/>
      <c r="PDQ90" s="204"/>
      <c r="PDR90" s="205"/>
      <c r="PDS90" s="206"/>
      <c r="PDT90" s="207"/>
      <c r="PDU90" s="207"/>
      <c r="PDV90" s="208"/>
      <c r="PDW90" s="209"/>
      <c r="PDX90" s="207"/>
      <c r="PDY90" s="210"/>
      <c r="PDZ90" s="209"/>
      <c r="PEA90" s="204"/>
      <c r="PEB90" s="204"/>
      <c r="PEC90" s="204"/>
      <c r="PED90" s="199"/>
      <c r="PEE90" s="167"/>
      <c r="PEF90" s="199"/>
      <c r="PEG90" s="200"/>
      <c r="PEH90" s="201"/>
      <c r="PEI90" s="202"/>
      <c r="PEJ90" s="202"/>
      <c r="PEK90" s="202"/>
      <c r="PEL90" s="202"/>
      <c r="PEM90" s="203"/>
      <c r="PEN90" s="204"/>
      <c r="PEO90" s="204"/>
      <c r="PEP90" s="204"/>
      <c r="PEQ90" s="205"/>
      <c r="PER90" s="206"/>
      <c r="PES90" s="207"/>
      <c r="PET90" s="207"/>
      <c r="PEU90" s="208"/>
      <c r="PEV90" s="209"/>
      <c r="PEW90" s="207"/>
      <c r="PEX90" s="210"/>
      <c r="PEY90" s="209"/>
      <c r="PEZ90" s="204"/>
      <c r="PFA90" s="204"/>
      <c r="PFB90" s="204"/>
      <c r="PFC90" s="199"/>
      <c r="PFD90" s="167"/>
      <c r="PFE90" s="199"/>
      <c r="PFF90" s="200"/>
      <c r="PFG90" s="201"/>
      <c r="PFH90" s="202"/>
      <c r="PFI90" s="202"/>
      <c r="PFJ90" s="202"/>
      <c r="PFK90" s="202"/>
      <c r="PFL90" s="203"/>
      <c r="PFM90" s="204"/>
      <c r="PFN90" s="204"/>
      <c r="PFO90" s="204"/>
      <c r="PFP90" s="205"/>
      <c r="PFQ90" s="206"/>
      <c r="PFR90" s="207"/>
      <c r="PFS90" s="207"/>
      <c r="PFT90" s="208"/>
      <c r="PFU90" s="209"/>
      <c r="PFV90" s="207"/>
      <c r="PFW90" s="210"/>
      <c r="PFX90" s="209"/>
      <c r="PFY90" s="204"/>
      <c r="PFZ90" s="204"/>
      <c r="PGA90" s="204"/>
      <c r="PGB90" s="199"/>
      <c r="PGC90" s="167"/>
      <c r="PGD90" s="199"/>
      <c r="PGE90" s="200"/>
      <c r="PGF90" s="201"/>
      <c r="PGG90" s="202"/>
      <c r="PGH90" s="202"/>
      <c r="PGI90" s="202"/>
      <c r="PGJ90" s="202"/>
      <c r="PGK90" s="203"/>
      <c r="PGL90" s="204"/>
      <c r="PGM90" s="204"/>
      <c r="PGN90" s="204"/>
      <c r="PGO90" s="205"/>
      <c r="PGP90" s="206"/>
      <c r="PGQ90" s="207"/>
      <c r="PGR90" s="207"/>
      <c r="PGS90" s="208"/>
      <c r="PGT90" s="209"/>
      <c r="PGU90" s="207"/>
      <c r="PGV90" s="210"/>
      <c r="PGW90" s="209"/>
      <c r="PGX90" s="204"/>
      <c r="PGY90" s="204"/>
      <c r="PGZ90" s="204"/>
      <c r="PHA90" s="199"/>
      <c r="PHB90" s="167"/>
      <c r="PHC90" s="199"/>
      <c r="PHD90" s="200"/>
      <c r="PHE90" s="201"/>
      <c r="PHF90" s="202"/>
      <c r="PHG90" s="202"/>
      <c r="PHH90" s="202"/>
      <c r="PHI90" s="202"/>
      <c r="PHJ90" s="203"/>
      <c r="PHK90" s="204"/>
      <c r="PHL90" s="204"/>
      <c r="PHM90" s="204"/>
      <c r="PHN90" s="205"/>
      <c r="PHO90" s="206"/>
      <c r="PHP90" s="207"/>
      <c r="PHQ90" s="207"/>
      <c r="PHR90" s="208"/>
      <c r="PHS90" s="209"/>
      <c r="PHT90" s="207"/>
      <c r="PHU90" s="210"/>
      <c r="PHV90" s="209"/>
      <c r="PHW90" s="204"/>
      <c r="PHX90" s="204"/>
      <c r="PHY90" s="204"/>
      <c r="PHZ90" s="199"/>
      <c r="PIA90" s="167"/>
      <c r="PIB90" s="199"/>
      <c r="PIC90" s="200"/>
      <c r="PID90" s="201"/>
      <c r="PIE90" s="202"/>
      <c r="PIF90" s="202"/>
      <c r="PIG90" s="202"/>
      <c r="PIH90" s="202"/>
      <c r="PII90" s="203"/>
      <c r="PIJ90" s="204"/>
      <c r="PIK90" s="204"/>
      <c r="PIL90" s="204"/>
      <c r="PIM90" s="205"/>
      <c r="PIN90" s="206"/>
      <c r="PIO90" s="207"/>
      <c r="PIP90" s="207"/>
      <c r="PIQ90" s="208"/>
      <c r="PIR90" s="209"/>
      <c r="PIS90" s="207"/>
      <c r="PIT90" s="210"/>
      <c r="PIU90" s="209"/>
      <c r="PIV90" s="204"/>
      <c r="PIW90" s="204"/>
      <c r="PIX90" s="204"/>
      <c r="PIY90" s="199"/>
      <c r="PIZ90" s="167"/>
      <c r="PJA90" s="199"/>
      <c r="PJB90" s="200"/>
      <c r="PJC90" s="201"/>
      <c r="PJD90" s="202"/>
      <c r="PJE90" s="202"/>
      <c r="PJF90" s="202"/>
      <c r="PJG90" s="202"/>
      <c r="PJH90" s="203"/>
      <c r="PJI90" s="204"/>
      <c r="PJJ90" s="204"/>
      <c r="PJK90" s="204"/>
      <c r="PJL90" s="205"/>
      <c r="PJM90" s="206"/>
      <c r="PJN90" s="207"/>
      <c r="PJO90" s="207"/>
      <c r="PJP90" s="208"/>
      <c r="PJQ90" s="209"/>
      <c r="PJR90" s="207"/>
      <c r="PJS90" s="210"/>
      <c r="PJT90" s="209"/>
      <c r="PJU90" s="204"/>
      <c r="PJV90" s="204"/>
      <c r="PJW90" s="204"/>
      <c r="PJX90" s="199"/>
      <c r="PJY90" s="167"/>
      <c r="PJZ90" s="199"/>
      <c r="PKA90" s="200"/>
      <c r="PKB90" s="201"/>
      <c r="PKC90" s="202"/>
      <c r="PKD90" s="202"/>
      <c r="PKE90" s="202"/>
      <c r="PKF90" s="202"/>
      <c r="PKG90" s="203"/>
      <c r="PKH90" s="204"/>
      <c r="PKI90" s="204"/>
      <c r="PKJ90" s="204"/>
      <c r="PKK90" s="205"/>
      <c r="PKL90" s="206"/>
      <c r="PKM90" s="207"/>
      <c r="PKN90" s="207"/>
      <c r="PKO90" s="208"/>
      <c r="PKP90" s="209"/>
      <c r="PKQ90" s="207"/>
      <c r="PKR90" s="210"/>
      <c r="PKS90" s="209"/>
      <c r="PKT90" s="204"/>
      <c r="PKU90" s="204"/>
      <c r="PKV90" s="204"/>
      <c r="PKW90" s="199"/>
      <c r="PKX90" s="167"/>
      <c r="PKY90" s="199"/>
      <c r="PKZ90" s="200"/>
      <c r="PLA90" s="201"/>
      <c r="PLB90" s="202"/>
      <c r="PLC90" s="202"/>
      <c r="PLD90" s="202"/>
      <c r="PLE90" s="202"/>
      <c r="PLF90" s="203"/>
      <c r="PLG90" s="204"/>
      <c r="PLH90" s="204"/>
      <c r="PLI90" s="204"/>
      <c r="PLJ90" s="205"/>
      <c r="PLK90" s="206"/>
      <c r="PLL90" s="207"/>
      <c r="PLM90" s="207"/>
      <c r="PLN90" s="208"/>
      <c r="PLO90" s="209"/>
      <c r="PLP90" s="207"/>
      <c r="PLQ90" s="210"/>
      <c r="PLR90" s="209"/>
      <c r="PLS90" s="204"/>
      <c r="PLT90" s="204"/>
      <c r="PLU90" s="204"/>
      <c r="PLV90" s="199"/>
      <c r="PLW90" s="167"/>
      <c r="PLX90" s="199"/>
      <c r="PLY90" s="200"/>
      <c r="PLZ90" s="201"/>
      <c r="PMA90" s="202"/>
      <c r="PMB90" s="202"/>
      <c r="PMC90" s="202"/>
      <c r="PMD90" s="202"/>
      <c r="PME90" s="203"/>
      <c r="PMF90" s="204"/>
      <c r="PMG90" s="204"/>
      <c r="PMH90" s="204"/>
      <c r="PMI90" s="205"/>
      <c r="PMJ90" s="206"/>
      <c r="PMK90" s="207"/>
      <c r="PML90" s="207"/>
      <c r="PMM90" s="208"/>
      <c r="PMN90" s="209"/>
      <c r="PMO90" s="207"/>
      <c r="PMP90" s="210"/>
      <c r="PMQ90" s="209"/>
      <c r="PMR90" s="204"/>
      <c r="PMS90" s="204"/>
      <c r="PMT90" s="204"/>
      <c r="PMU90" s="199"/>
      <c r="PMV90" s="167"/>
      <c r="PMW90" s="199"/>
      <c r="PMX90" s="200"/>
      <c r="PMY90" s="201"/>
      <c r="PMZ90" s="202"/>
      <c r="PNA90" s="202"/>
      <c r="PNB90" s="202"/>
      <c r="PNC90" s="202"/>
      <c r="PND90" s="203"/>
      <c r="PNE90" s="204"/>
      <c r="PNF90" s="204"/>
      <c r="PNG90" s="204"/>
      <c r="PNH90" s="205"/>
      <c r="PNI90" s="206"/>
      <c r="PNJ90" s="207"/>
      <c r="PNK90" s="207"/>
      <c r="PNL90" s="208"/>
      <c r="PNM90" s="209"/>
      <c r="PNN90" s="207"/>
      <c r="PNO90" s="210"/>
      <c r="PNP90" s="209"/>
      <c r="PNQ90" s="204"/>
      <c r="PNR90" s="204"/>
      <c r="PNS90" s="204"/>
      <c r="PNT90" s="199"/>
      <c r="PNU90" s="167"/>
      <c r="PNV90" s="199"/>
      <c r="PNW90" s="200"/>
      <c r="PNX90" s="201"/>
      <c r="PNY90" s="202"/>
      <c r="PNZ90" s="202"/>
      <c r="POA90" s="202"/>
      <c r="POB90" s="202"/>
      <c r="POC90" s="203"/>
      <c r="POD90" s="204"/>
      <c r="POE90" s="204"/>
      <c r="POF90" s="204"/>
      <c r="POG90" s="205"/>
      <c r="POH90" s="206"/>
      <c r="POI90" s="207"/>
      <c r="POJ90" s="207"/>
      <c r="POK90" s="208"/>
      <c r="POL90" s="209"/>
      <c r="POM90" s="207"/>
      <c r="PON90" s="210"/>
      <c r="POO90" s="209"/>
      <c r="POP90" s="204"/>
      <c r="POQ90" s="204"/>
      <c r="POR90" s="204"/>
      <c r="POS90" s="199"/>
      <c r="POT90" s="167"/>
      <c r="POU90" s="199"/>
      <c r="POV90" s="200"/>
      <c r="POW90" s="201"/>
      <c r="POX90" s="202"/>
      <c r="POY90" s="202"/>
      <c r="POZ90" s="202"/>
      <c r="PPA90" s="202"/>
      <c r="PPB90" s="203"/>
      <c r="PPC90" s="204"/>
      <c r="PPD90" s="204"/>
      <c r="PPE90" s="204"/>
      <c r="PPF90" s="205"/>
      <c r="PPG90" s="206"/>
      <c r="PPH90" s="207"/>
      <c r="PPI90" s="207"/>
      <c r="PPJ90" s="208"/>
      <c r="PPK90" s="209"/>
      <c r="PPL90" s="207"/>
      <c r="PPM90" s="210"/>
      <c r="PPN90" s="209"/>
      <c r="PPO90" s="204"/>
      <c r="PPP90" s="204"/>
      <c r="PPQ90" s="204"/>
      <c r="PPR90" s="199"/>
      <c r="PPS90" s="167"/>
      <c r="PPT90" s="199"/>
      <c r="PPU90" s="200"/>
      <c r="PPV90" s="201"/>
      <c r="PPW90" s="202"/>
      <c r="PPX90" s="202"/>
      <c r="PPY90" s="202"/>
      <c r="PPZ90" s="202"/>
      <c r="PQA90" s="203"/>
      <c r="PQB90" s="204"/>
      <c r="PQC90" s="204"/>
      <c r="PQD90" s="204"/>
      <c r="PQE90" s="205"/>
      <c r="PQF90" s="206"/>
      <c r="PQG90" s="207"/>
      <c r="PQH90" s="207"/>
      <c r="PQI90" s="208"/>
      <c r="PQJ90" s="209"/>
      <c r="PQK90" s="207"/>
      <c r="PQL90" s="210"/>
      <c r="PQM90" s="209"/>
      <c r="PQN90" s="204"/>
      <c r="PQO90" s="204"/>
      <c r="PQP90" s="204"/>
      <c r="PQQ90" s="199"/>
      <c r="PQR90" s="167"/>
      <c r="PQS90" s="199"/>
      <c r="PQT90" s="200"/>
      <c r="PQU90" s="201"/>
      <c r="PQV90" s="202"/>
      <c r="PQW90" s="202"/>
      <c r="PQX90" s="202"/>
      <c r="PQY90" s="202"/>
      <c r="PQZ90" s="203"/>
      <c r="PRA90" s="204"/>
      <c r="PRB90" s="204"/>
      <c r="PRC90" s="204"/>
      <c r="PRD90" s="205"/>
      <c r="PRE90" s="206"/>
      <c r="PRF90" s="207"/>
      <c r="PRG90" s="207"/>
      <c r="PRH90" s="208"/>
      <c r="PRI90" s="209"/>
      <c r="PRJ90" s="207"/>
      <c r="PRK90" s="210"/>
      <c r="PRL90" s="209"/>
      <c r="PRM90" s="204"/>
      <c r="PRN90" s="204"/>
      <c r="PRO90" s="204"/>
      <c r="PRP90" s="199"/>
      <c r="PRQ90" s="167"/>
      <c r="PRR90" s="199"/>
      <c r="PRS90" s="200"/>
      <c r="PRT90" s="201"/>
      <c r="PRU90" s="202"/>
      <c r="PRV90" s="202"/>
      <c r="PRW90" s="202"/>
      <c r="PRX90" s="202"/>
      <c r="PRY90" s="203"/>
      <c r="PRZ90" s="204"/>
      <c r="PSA90" s="204"/>
      <c r="PSB90" s="204"/>
      <c r="PSC90" s="205"/>
      <c r="PSD90" s="206"/>
      <c r="PSE90" s="207"/>
      <c r="PSF90" s="207"/>
      <c r="PSG90" s="208"/>
      <c r="PSH90" s="209"/>
      <c r="PSI90" s="207"/>
      <c r="PSJ90" s="210"/>
      <c r="PSK90" s="209"/>
      <c r="PSL90" s="204"/>
      <c r="PSM90" s="204"/>
      <c r="PSN90" s="204"/>
      <c r="PSO90" s="199"/>
      <c r="PSP90" s="167"/>
      <c r="PSQ90" s="199"/>
      <c r="PSR90" s="200"/>
      <c r="PSS90" s="201"/>
      <c r="PST90" s="202"/>
      <c r="PSU90" s="202"/>
      <c r="PSV90" s="202"/>
      <c r="PSW90" s="202"/>
      <c r="PSX90" s="203"/>
      <c r="PSY90" s="204"/>
      <c r="PSZ90" s="204"/>
      <c r="PTA90" s="204"/>
      <c r="PTB90" s="205"/>
      <c r="PTC90" s="206"/>
      <c r="PTD90" s="207"/>
      <c r="PTE90" s="207"/>
      <c r="PTF90" s="208"/>
      <c r="PTG90" s="209"/>
      <c r="PTH90" s="207"/>
      <c r="PTI90" s="210"/>
      <c r="PTJ90" s="209"/>
      <c r="PTK90" s="204"/>
      <c r="PTL90" s="204"/>
      <c r="PTM90" s="204"/>
      <c r="PTN90" s="199"/>
      <c r="PTO90" s="167"/>
      <c r="PTP90" s="199"/>
      <c r="PTQ90" s="200"/>
      <c r="PTR90" s="201"/>
      <c r="PTS90" s="202"/>
      <c r="PTT90" s="202"/>
      <c r="PTU90" s="202"/>
      <c r="PTV90" s="202"/>
      <c r="PTW90" s="203"/>
      <c r="PTX90" s="204"/>
      <c r="PTY90" s="204"/>
      <c r="PTZ90" s="204"/>
      <c r="PUA90" s="205"/>
      <c r="PUB90" s="206"/>
      <c r="PUC90" s="207"/>
      <c r="PUD90" s="207"/>
      <c r="PUE90" s="208"/>
      <c r="PUF90" s="209"/>
      <c r="PUG90" s="207"/>
      <c r="PUH90" s="210"/>
      <c r="PUI90" s="209"/>
      <c r="PUJ90" s="204"/>
      <c r="PUK90" s="204"/>
      <c r="PUL90" s="204"/>
      <c r="PUM90" s="199"/>
      <c r="PUN90" s="167"/>
      <c r="PUO90" s="199"/>
      <c r="PUP90" s="200"/>
      <c r="PUQ90" s="201"/>
      <c r="PUR90" s="202"/>
      <c r="PUS90" s="202"/>
      <c r="PUT90" s="202"/>
      <c r="PUU90" s="202"/>
      <c r="PUV90" s="203"/>
      <c r="PUW90" s="204"/>
      <c r="PUX90" s="204"/>
      <c r="PUY90" s="204"/>
      <c r="PUZ90" s="205"/>
      <c r="PVA90" s="206"/>
      <c r="PVB90" s="207"/>
      <c r="PVC90" s="207"/>
      <c r="PVD90" s="208"/>
      <c r="PVE90" s="209"/>
      <c r="PVF90" s="207"/>
      <c r="PVG90" s="210"/>
      <c r="PVH90" s="209"/>
      <c r="PVI90" s="204"/>
      <c r="PVJ90" s="204"/>
      <c r="PVK90" s="204"/>
      <c r="PVL90" s="199"/>
      <c r="PVM90" s="167"/>
      <c r="PVN90" s="199"/>
      <c r="PVO90" s="200"/>
      <c r="PVP90" s="201"/>
      <c r="PVQ90" s="202"/>
      <c r="PVR90" s="202"/>
      <c r="PVS90" s="202"/>
      <c r="PVT90" s="202"/>
      <c r="PVU90" s="203"/>
      <c r="PVV90" s="204"/>
      <c r="PVW90" s="204"/>
      <c r="PVX90" s="204"/>
      <c r="PVY90" s="205"/>
      <c r="PVZ90" s="206"/>
      <c r="PWA90" s="207"/>
      <c r="PWB90" s="207"/>
      <c r="PWC90" s="208"/>
      <c r="PWD90" s="209"/>
      <c r="PWE90" s="207"/>
      <c r="PWF90" s="210"/>
      <c r="PWG90" s="209"/>
      <c r="PWH90" s="204"/>
      <c r="PWI90" s="204"/>
      <c r="PWJ90" s="204"/>
      <c r="PWK90" s="199"/>
      <c r="PWL90" s="167"/>
      <c r="PWM90" s="199"/>
      <c r="PWN90" s="200"/>
      <c r="PWO90" s="201"/>
      <c r="PWP90" s="202"/>
      <c r="PWQ90" s="202"/>
      <c r="PWR90" s="202"/>
      <c r="PWS90" s="202"/>
      <c r="PWT90" s="203"/>
      <c r="PWU90" s="204"/>
      <c r="PWV90" s="204"/>
      <c r="PWW90" s="204"/>
      <c r="PWX90" s="205"/>
      <c r="PWY90" s="206"/>
      <c r="PWZ90" s="207"/>
      <c r="PXA90" s="207"/>
      <c r="PXB90" s="208"/>
      <c r="PXC90" s="209"/>
      <c r="PXD90" s="207"/>
      <c r="PXE90" s="210"/>
      <c r="PXF90" s="209"/>
      <c r="PXG90" s="204"/>
      <c r="PXH90" s="204"/>
      <c r="PXI90" s="204"/>
      <c r="PXJ90" s="199"/>
      <c r="PXK90" s="167"/>
      <c r="PXL90" s="199"/>
      <c r="PXM90" s="200"/>
      <c r="PXN90" s="201"/>
      <c r="PXO90" s="202"/>
      <c r="PXP90" s="202"/>
      <c r="PXQ90" s="202"/>
      <c r="PXR90" s="202"/>
      <c r="PXS90" s="203"/>
      <c r="PXT90" s="204"/>
      <c r="PXU90" s="204"/>
      <c r="PXV90" s="204"/>
      <c r="PXW90" s="205"/>
      <c r="PXX90" s="206"/>
      <c r="PXY90" s="207"/>
      <c r="PXZ90" s="207"/>
      <c r="PYA90" s="208"/>
      <c r="PYB90" s="209"/>
      <c r="PYC90" s="207"/>
      <c r="PYD90" s="210"/>
      <c r="PYE90" s="209"/>
      <c r="PYF90" s="204"/>
      <c r="PYG90" s="204"/>
      <c r="PYH90" s="204"/>
      <c r="PYI90" s="199"/>
      <c r="PYJ90" s="167"/>
      <c r="PYK90" s="199"/>
      <c r="PYL90" s="200"/>
      <c r="PYM90" s="201"/>
      <c r="PYN90" s="202"/>
      <c r="PYO90" s="202"/>
      <c r="PYP90" s="202"/>
      <c r="PYQ90" s="202"/>
      <c r="PYR90" s="203"/>
      <c r="PYS90" s="204"/>
      <c r="PYT90" s="204"/>
      <c r="PYU90" s="204"/>
      <c r="PYV90" s="205"/>
      <c r="PYW90" s="206"/>
      <c r="PYX90" s="207"/>
      <c r="PYY90" s="207"/>
      <c r="PYZ90" s="208"/>
      <c r="PZA90" s="209"/>
      <c r="PZB90" s="207"/>
      <c r="PZC90" s="210"/>
      <c r="PZD90" s="209"/>
      <c r="PZE90" s="204"/>
      <c r="PZF90" s="204"/>
      <c r="PZG90" s="204"/>
      <c r="PZH90" s="199"/>
      <c r="PZI90" s="167"/>
      <c r="PZJ90" s="199"/>
      <c r="PZK90" s="200"/>
      <c r="PZL90" s="201"/>
      <c r="PZM90" s="202"/>
      <c r="PZN90" s="202"/>
      <c r="PZO90" s="202"/>
      <c r="PZP90" s="202"/>
      <c r="PZQ90" s="203"/>
      <c r="PZR90" s="204"/>
      <c r="PZS90" s="204"/>
      <c r="PZT90" s="204"/>
      <c r="PZU90" s="205"/>
      <c r="PZV90" s="206"/>
      <c r="PZW90" s="207"/>
      <c r="PZX90" s="207"/>
      <c r="PZY90" s="208"/>
      <c r="PZZ90" s="209"/>
      <c r="QAA90" s="207"/>
      <c r="QAB90" s="210"/>
      <c r="QAC90" s="209"/>
      <c r="QAD90" s="204"/>
      <c r="QAE90" s="204"/>
      <c r="QAF90" s="204"/>
      <c r="QAG90" s="199"/>
      <c r="QAH90" s="167"/>
      <c r="QAI90" s="199"/>
      <c r="QAJ90" s="200"/>
      <c r="QAK90" s="201"/>
      <c r="QAL90" s="202"/>
      <c r="QAM90" s="202"/>
      <c r="QAN90" s="202"/>
      <c r="QAO90" s="202"/>
      <c r="QAP90" s="203"/>
      <c r="QAQ90" s="204"/>
      <c r="QAR90" s="204"/>
      <c r="QAS90" s="204"/>
      <c r="QAT90" s="205"/>
      <c r="QAU90" s="206"/>
      <c r="QAV90" s="207"/>
      <c r="QAW90" s="207"/>
      <c r="QAX90" s="208"/>
      <c r="QAY90" s="209"/>
      <c r="QAZ90" s="207"/>
      <c r="QBA90" s="210"/>
      <c r="QBB90" s="209"/>
      <c r="QBC90" s="204"/>
      <c r="QBD90" s="204"/>
      <c r="QBE90" s="204"/>
      <c r="QBF90" s="199"/>
      <c r="QBG90" s="167"/>
      <c r="QBH90" s="199"/>
      <c r="QBI90" s="200"/>
      <c r="QBJ90" s="201"/>
      <c r="QBK90" s="202"/>
      <c r="QBL90" s="202"/>
      <c r="QBM90" s="202"/>
      <c r="QBN90" s="202"/>
      <c r="QBO90" s="203"/>
      <c r="QBP90" s="204"/>
      <c r="QBQ90" s="204"/>
      <c r="QBR90" s="204"/>
      <c r="QBS90" s="205"/>
      <c r="QBT90" s="206"/>
      <c r="QBU90" s="207"/>
      <c r="QBV90" s="207"/>
      <c r="QBW90" s="208"/>
      <c r="QBX90" s="209"/>
      <c r="QBY90" s="207"/>
      <c r="QBZ90" s="210"/>
      <c r="QCA90" s="209"/>
      <c r="QCB90" s="204"/>
      <c r="QCC90" s="204"/>
      <c r="QCD90" s="204"/>
      <c r="QCE90" s="199"/>
      <c r="QCF90" s="167"/>
      <c r="QCG90" s="199"/>
      <c r="QCH90" s="200"/>
      <c r="QCI90" s="201"/>
      <c r="QCJ90" s="202"/>
      <c r="QCK90" s="202"/>
      <c r="QCL90" s="202"/>
      <c r="QCM90" s="202"/>
      <c r="QCN90" s="203"/>
      <c r="QCO90" s="204"/>
      <c r="QCP90" s="204"/>
      <c r="QCQ90" s="204"/>
      <c r="QCR90" s="205"/>
      <c r="QCS90" s="206"/>
      <c r="QCT90" s="207"/>
      <c r="QCU90" s="207"/>
      <c r="QCV90" s="208"/>
      <c r="QCW90" s="209"/>
      <c r="QCX90" s="207"/>
      <c r="QCY90" s="210"/>
      <c r="QCZ90" s="209"/>
      <c r="QDA90" s="204"/>
      <c r="QDB90" s="204"/>
      <c r="QDC90" s="204"/>
      <c r="QDD90" s="199"/>
      <c r="QDE90" s="167"/>
      <c r="QDF90" s="199"/>
      <c r="QDG90" s="200"/>
      <c r="QDH90" s="201"/>
      <c r="QDI90" s="202"/>
      <c r="QDJ90" s="202"/>
      <c r="QDK90" s="202"/>
      <c r="QDL90" s="202"/>
      <c r="QDM90" s="203"/>
      <c r="QDN90" s="204"/>
      <c r="QDO90" s="204"/>
      <c r="QDP90" s="204"/>
      <c r="QDQ90" s="205"/>
      <c r="QDR90" s="206"/>
      <c r="QDS90" s="207"/>
      <c r="QDT90" s="207"/>
      <c r="QDU90" s="208"/>
      <c r="QDV90" s="209"/>
      <c r="QDW90" s="207"/>
      <c r="QDX90" s="210"/>
      <c r="QDY90" s="209"/>
      <c r="QDZ90" s="204"/>
      <c r="QEA90" s="204"/>
      <c r="QEB90" s="204"/>
      <c r="QEC90" s="199"/>
      <c r="QED90" s="167"/>
      <c r="QEE90" s="199"/>
      <c r="QEF90" s="200"/>
      <c r="QEG90" s="201"/>
      <c r="QEH90" s="202"/>
      <c r="QEI90" s="202"/>
      <c r="QEJ90" s="202"/>
      <c r="QEK90" s="202"/>
      <c r="QEL90" s="203"/>
      <c r="QEM90" s="204"/>
      <c r="QEN90" s="204"/>
      <c r="QEO90" s="204"/>
      <c r="QEP90" s="205"/>
      <c r="QEQ90" s="206"/>
      <c r="QER90" s="207"/>
      <c r="QES90" s="207"/>
      <c r="QET90" s="208"/>
      <c r="QEU90" s="209"/>
      <c r="QEV90" s="207"/>
      <c r="QEW90" s="210"/>
      <c r="QEX90" s="209"/>
      <c r="QEY90" s="204"/>
      <c r="QEZ90" s="204"/>
      <c r="QFA90" s="204"/>
      <c r="QFB90" s="199"/>
      <c r="QFC90" s="167"/>
      <c r="QFD90" s="199"/>
      <c r="QFE90" s="200"/>
      <c r="QFF90" s="201"/>
      <c r="QFG90" s="202"/>
      <c r="QFH90" s="202"/>
      <c r="QFI90" s="202"/>
      <c r="QFJ90" s="202"/>
      <c r="QFK90" s="203"/>
      <c r="QFL90" s="204"/>
      <c r="QFM90" s="204"/>
      <c r="QFN90" s="204"/>
      <c r="QFO90" s="205"/>
      <c r="QFP90" s="206"/>
      <c r="QFQ90" s="207"/>
      <c r="QFR90" s="207"/>
      <c r="QFS90" s="208"/>
      <c r="QFT90" s="209"/>
      <c r="QFU90" s="207"/>
      <c r="QFV90" s="210"/>
      <c r="QFW90" s="209"/>
      <c r="QFX90" s="204"/>
      <c r="QFY90" s="204"/>
      <c r="QFZ90" s="204"/>
      <c r="QGA90" s="199"/>
      <c r="QGB90" s="167"/>
      <c r="QGC90" s="199"/>
      <c r="QGD90" s="200"/>
      <c r="QGE90" s="201"/>
      <c r="QGF90" s="202"/>
      <c r="QGG90" s="202"/>
      <c r="QGH90" s="202"/>
      <c r="QGI90" s="202"/>
      <c r="QGJ90" s="203"/>
      <c r="QGK90" s="204"/>
      <c r="QGL90" s="204"/>
      <c r="QGM90" s="204"/>
      <c r="QGN90" s="205"/>
      <c r="QGO90" s="206"/>
      <c r="QGP90" s="207"/>
      <c r="QGQ90" s="207"/>
      <c r="QGR90" s="208"/>
      <c r="QGS90" s="209"/>
      <c r="QGT90" s="207"/>
      <c r="QGU90" s="210"/>
      <c r="QGV90" s="209"/>
      <c r="QGW90" s="204"/>
      <c r="QGX90" s="204"/>
      <c r="QGY90" s="204"/>
      <c r="QGZ90" s="199"/>
      <c r="QHA90" s="167"/>
      <c r="QHB90" s="199"/>
      <c r="QHC90" s="200"/>
      <c r="QHD90" s="201"/>
      <c r="QHE90" s="202"/>
      <c r="QHF90" s="202"/>
      <c r="QHG90" s="202"/>
      <c r="QHH90" s="202"/>
      <c r="QHI90" s="203"/>
      <c r="QHJ90" s="204"/>
      <c r="QHK90" s="204"/>
      <c r="QHL90" s="204"/>
      <c r="QHM90" s="205"/>
      <c r="QHN90" s="206"/>
      <c r="QHO90" s="207"/>
      <c r="QHP90" s="207"/>
      <c r="QHQ90" s="208"/>
      <c r="QHR90" s="209"/>
      <c r="QHS90" s="207"/>
      <c r="QHT90" s="210"/>
      <c r="QHU90" s="209"/>
      <c r="QHV90" s="204"/>
      <c r="QHW90" s="204"/>
      <c r="QHX90" s="204"/>
      <c r="QHY90" s="199"/>
      <c r="QHZ90" s="167"/>
      <c r="QIA90" s="199"/>
      <c r="QIB90" s="200"/>
      <c r="QIC90" s="201"/>
      <c r="QID90" s="202"/>
      <c r="QIE90" s="202"/>
      <c r="QIF90" s="202"/>
      <c r="QIG90" s="202"/>
      <c r="QIH90" s="203"/>
      <c r="QII90" s="204"/>
      <c r="QIJ90" s="204"/>
      <c r="QIK90" s="204"/>
      <c r="QIL90" s="205"/>
      <c r="QIM90" s="206"/>
      <c r="QIN90" s="207"/>
      <c r="QIO90" s="207"/>
      <c r="QIP90" s="208"/>
      <c r="QIQ90" s="209"/>
      <c r="QIR90" s="207"/>
      <c r="QIS90" s="210"/>
      <c r="QIT90" s="209"/>
      <c r="QIU90" s="204"/>
      <c r="QIV90" s="204"/>
      <c r="QIW90" s="204"/>
      <c r="QIX90" s="199"/>
      <c r="QIY90" s="167"/>
      <c r="QIZ90" s="199"/>
      <c r="QJA90" s="200"/>
      <c r="QJB90" s="201"/>
      <c r="QJC90" s="202"/>
      <c r="QJD90" s="202"/>
      <c r="QJE90" s="202"/>
      <c r="QJF90" s="202"/>
      <c r="QJG90" s="203"/>
      <c r="QJH90" s="204"/>
      <c r="QJI90" s="204"/>
      <c r="QJJ90" s="204"/>
      <c r="QJK90" s="205"/>
      <c r="QJL90" s="206"/>
      <c r="QJM90" s="207"/>
      <c r="QJN90" s="207"/>
      <c r="QJO90" s="208"/>
      <c r="QJP90" s="209"/>
      <c r="QJQ90" s="207"/>
      <c r="QJR90" s="210"/>
      <c r="QJS90" s="209"/>
      <c r="QJT90" s="204"/>
      <c r="QJU90" s="204"/>
      <c r="QJV90" s="204"/>
      <c r="QJW90" s="199"/>
      <c r="QJX90" s="167"/>
      <c r="QJY90" s="199"/>
      <c r="QJZ90" s="200"/>
      <c r="QKA90" s="201"/>
      <c r="QKB90" s="202"/>
      <c r="QKC90" s="202"/>
      <c r="QKD90" s="202"/>
      <c r="QKE90" s="202"/>
      <c r="QKF90" s="203"/>
      <c r="QKG90" s="204"/>
      <c r="QKH90" s="204"/>
      <c r="QKI90" s="204"/>
      <c r="QKJ90" s="205"/>
      <c r="QKK90" s="206"/>
      <c r="QKL90" s="207"/>
      <c r="QKM90" s="207"/>
      <c r="QKN90" s="208"/>
      <c r="QKO90" s="209"/>
      <c r="QKP90" s="207"/>
      <c r="QKQ90" s="210"/>
      <c r="QKR90" s="209"/>
      <c r="QKS90" s="204"/>
      <c r="QKT90" s="204"/>
      <c r="QKU90" s="204"/>
      <c r="QKV90" s="199"/>
      <c r="QKW90" s="167"/>
      <c r="QKX90" s="199"/>
      <c r="QKY90" s="200"/>
      <c r="QKZ90" s="201"/>
      <c r="QLA90" s="202"/>
      <c r="QLB90" s="202"/>
      <c r="QLC90" s="202"/>
      <c r="QLD90" s="202"/>
      <c r="QLE90" s="203"/>
      <c r="QLF90" s="204"/>
      <c r="QLG90" s="204"/>
      <c r="QLH90" s="204"/>
      <c r="QLI90" s="205"/>
      <c r="QLJ90" s="206"/>
      <c r="QLK90" s="207"/>
      <c r="QLL90" s="207"/>
      <c r="QLM90" s="208"/>
      <c r="QLN90" s="209"/>
      <c r="QLO90" s="207"/>
      <c r="QLP90" s="210"/>
      <c r="QLQ90" s="209"/>
      <c r="QLR90" s="204"/>
      <c r="QLS90" s="204"/>
      <c r="QLT90" s="204"/>
      <c r="QLU90" s="199"/>
      <c r="QLV90" s="167"/>
      <c r="QLW90" s="199"/>
      <c r="QLX90" s="200"/>
      <c r="QLY90" s="201"/>
      <c r="QLZ90" s="202"/>
      <c r="QMA90" s="202"/>
      <c r="QMB90" s="202"/>
      <c r="QMC90" s="202"/>
      <c r="QMD90" s="203"/>
      <c r="QME90" s="204"/>
      <c r="QMF90" s="204"/>
      <c r="QMG90" s="204"/>
      <c r="QMH90" s="205"/>
      <c r="QMI90" s="206"/>
      <c r="QMJ90" s="207"/>
      <c r="QMK90" s="207"/>
      <c r="QML90" s="208"/>
      <c r="QMM90" s="209"/>
      <c r="QMN90" s="207"/>
      <c r="QMO90" s="210"/>
      <c r="QMP90" s="209"/>
      <c r="QMQ90" s="204"/>
      <c r="QMR90" s="204"/>
      <c r="QMS90" s="204"/>
      <c r="QMT90" s="199"/>
      <c r="QMU90" s="167"/>
      <c r="QMV90" s="199"/>
      <c r="QMW90" s="200"/>
      <c r="QMX90" s="201"/>
      <c r="QMY90" s="202"/>
      <c r="QMZ90" s="202"/>
      <c r="QNA90" s="202"/>
      <c r="QNB90" s="202"/>
      <c r="QNC90" s="203"/>
      <c r="QND90" s="204"/>
      <c r="QNE90" s="204"/>
      <c r="QNF90" s="204"/>
      <c r="QNG90" s="205"/>
      <c r="QNH90" s="206"/>
      <c r="QNI90" s="207"/>
      <c r="QNJ90" s="207"/>
      <c r="QNK90" s="208"/>
      <c r="QNL90" s="209"/>
      <c r="QNM90" s="207"/>
      <c r="QNN90" s="210"/>
      <c r="QNO90" s="209"/>
      <c r="QNP90" s="204"/>
      <c r="QNQ90" s="204"/>
      <c r="QNR90" s="204"/>
      <c r="QNS90" s="199"/>
      <c r="QNT90" s="167"/>
      <c r="QNU90" s="199"/>
      <c r="QNV90" s="200"/>
      <c r="QNW90" s="201"/>
      <c r="QNX90" s="202"/>
      <c r="QNY90" s="202"/>
      <c r="QNZ90" s="202"/>
      <c r="QOA90" s="202"/>
      <c r="QOB90" s="203"/>
      <c r="QOC90" s="204"/>
      <c r="QOD90" s="204"/>
      <c r="QOE90" s="204"/>
      <c r="QOF90" s="205"/>
      <c r="QOG90" s="206"/>
      <c r="QOH90" s="207"/>
      <c r="QOI90" s="207"/>
      <c r="QOJ90" s="208"/>
      <c r="QOK90" s="209"/>
      <c r="QOL90" s="207"/>
      <c r="QOM90" s="210"/>
      <c r="QON90" s="209"/>
      <c r="QOO90" s="204"/>
      <c r="QOP90" s="204"/>
      <c r="QOQ90" s="204"/>
      <c r="QOR90" s="199"/>
      <c r="QOS90" s="167"/>
      <c r="QOT90" s="199"/>
      <c r="QOU90" s="200"/>
      <c r="QOV90" s="201"/>
      <c r="QOW90" s="202"/>
      <c r="QOX90" s="202"/>
      <c r="QOY90" s="202"/>
      <c r="QOZ90" s="202"/>
      <c r="QPA90" s="203"/>
      <c r="QPB90" s="204"/>
      <c r="QPC90" s="204"/>
      <c r="QPD90" s="204"/>
      <c r="QPE90" s="205"/>
      <c r="QPF90" s="206"/>
      <c r="QPG90" s="207"/>
      <c r="QPH90" s="207"/>
      <c r="QPI90" s="208"/>
      <c r="QPJ90" s="209"/>
      <c r="QPK90" s="207"/>
      <c r="QPL90" s="210"/>
      <c r="QPM90" s="209"/>
      <c r="QPN90" s="204"/>
      <c r="QPO90" s="204"/>
      <c r="QPP90" s="204"/>
      <c r="QPQ90" s="199"/>
      <c r="QPR90" s="167"/>
      <c r="QPS90" s="199"/>
      <c r="QPT90" s="200"/>
      <c r="QPU90" s="201"/>
      <c r="QPV90" s="202"/>
      <c r="QPW90" s="202"/>
      <c r="QPX90" s="202"/>
      <c r="QPY90" s="202"/>
      <c r="QPZ90" s="203"/>
      <c r="QQA90" s="204"/>
      <c r="QQB90" s="204"/>
      <c r="QQC90" s="204"/>
      <c r="QQD90" s="205"/>
      <c r="QQE90" s="206"/>
      <c r="QQF90" s="207"/>
      <c r="QQG90" s="207"/>
      <c r="QQH90" s="208"/>
      <c r="QQI90" s="209"/>
      <c r="QQJ90" s="207"/>
      <c r="QQK90" s="210"/>
      <c r="QQL90" s="209"/>
      <c r="QQM90" s="204"/>
      <c r="QQN90" s="204"/>
      <c r="QQO90" s="204"/>
      <c r="QQP90" s="199"/>
      <c r="QQQ90" s="167"/>
      <c r="QQR90" s="199"/>
      <c r="QQS90" s="200"/>
      <c r="QQT90" s="201"/>
      <c r="QQU90" s="202"/>
      <c r="QQV90" s="202"/>
      <c r="QQW90" s="202"/>
      <c r="QQX90" s="202"/>
      <c r="QQY90" s="203"/>
      <c r="QQZ90" s="204"/>
      <c r="QRA90" s="204"/>
      <c r="QRB90" s="204"/>
      <c r="QRC90" s="205"/>
      <c r="QRD90" s="206"/>
      <c r="QRE90" s="207"/>
      <c r="QRF90" s="207"/>
      <c r="QRG90" s="208"/>
      <c r="QRH90" s="209"/>
      <c r="QRI90" s="207"/>
      <c r="QRJ90" s="210"/>
      <c r="QRK90" s="209"/>
      <c r="QRL90" s="204"/>
      <c r="QRM90" s="204"/>
      <c r="QRN90" s="204"/>
      <c r="QRO90" s="199"/>
      <c r="QRP90" s="167"/>
      <c r="QRQ90" s="199"/>
      <c r="QRR90" s="200"/>
      <c r="QRS90" s="201"/>
      <c r="QRT90" s="202"/>
      <c r="QRU90" s="202"/>
      <c r="QRV90" s="202"/>
      <c r="QRW90" s="202"/>
      <c r="QRX90" s="203"/>
      <c r="QRY90" s="204"/>
      <c r="QRZ90" s="204"/>
      <c r="QSA90" s="204"/>
      <c r="QSB90" s="205"/>
      <c r="QSC90" s="206"/>
      <c r="QSD90" s="207"/>
      <c r="QSE90" s="207"/>
      <c r="QSF90" s="208"/>
      <c r="QSG90" s="209"/>
      <c r="QSH90" s="207"/>
      <c r="QSI90" s="210"/>
      <c r="QSJ90" s="209"/>
      <c r="QSK90" s="204"/>
      <c r="QSL90" s="204"/>
      <c r="QSM90" s="204"/>
      <c r="QSN90" s="199"/>
      <c r="QSO90" s="167"/>
      <c r="QSP90" s="199"/>
      <c r="QSQ90" s="200"/>
      <c r="QSR90" s="201"/>
      <c r="QSS90" s="202"/>
      <c r="QST90" s="202"/>
      <c r="QSU90" s="202"/>
      <c r="QSV90" s="202"/>
      <c r="QSW90" s="203"/>
      <c r="QSX90" s="204"/>
      <c r="QSY90" s="204"/>
      <c r="QSZ90" s="204"/>
      <c r="QTA90" s="205"/>
      <c r="QTB90" s="206"/>
      <c r="QTC90" s="207"/>
      <c r="QTD90" s="207"/>
      <c r="QTE90" s="208"/>
      <c r="QTF90" s="209"/>
      <c r="QTG90" s="207"/>
      <c r="QTH90" s="210"/>
      <c r="QTI90" s="209"/>
      <c r="QTJ90" s="204"/>
      <c r="QTK90" s="204"/>
      <c r="QTL90" s="204"/>
      <c r="QTM90" s="199"/>
      <c r="QTN90" s="167"/>
      <c r="QTO90" s="199"/>
      <c r="QTP90" s="200"/>
      <c r="QTQ90" s="201"/>
      <c r="QTR90" s="202"/>
      <c r="QTS90" s="202"/>
      <c r="QTT90" s="202"/>
      <c r="QTU90" s="202"/>
      <c r="QTV90" s="203"/>
      <c r="QTW90" s="204"/>
      <c r="QTX90" s="204"/>
      <c r="QTY90" s="204"/>
      <c r="QTZ90" s="205"/>
      <c r="QUA90" s="206"/>
      <c r="QUB90" s="207"/>
      <c r="QUC90" s="207"/>
      <c r="QUD90" s="208"/>
      <c r="QUE90" s="209"/>
      <c r="QUF90" s="207"/>
      <c r="QUG90" s="210"/>
      <c r="QUH90" s="209"/>
      <c r="QUI90" s="204"/>
      <c r="QUJ90" s="204"/>
      <c r="QUK90" s="204"/>
      <c r="QUL90" s="199"/>
      <c r="QUM90" s="167"/>
      <c r="QUN90" s="199"/>
      <c r="QUO90" s="200"/>
      <c r="QUP90" s="201"/>
      <c r="QUQ90" s="202"/>
      <c r="QUR90" s="202"/>
      <c r="QUS90" s="202"/>
      <c r="QUT90" s="202"/>
      <c r="QUU90" s="203"/>
      <c r="QUV90" s="204"/>
      <c r="QUW90" s="204"/>
      <c r="QUX90" s="204"/>
      <c r="QUY90" s="205"/>
      <c r="QUZ90" s="206"/>
      <c r="QVA90" s="207"/>
      <c r="QVB90" s="207"/>
      <c r="QVC90" s="208"/>
      <c r="QVD90" s="209"/>
      <c r="QVE90" s="207"/>
      <c r="QVF90" s="210"/>
      <c r="QVG90" s="209"/>
      <c r="QVH90" s="204"/>
      <c r="QVI90" s="204"/>
      <c r="QVJ90" s="204"/>
      <c r="QVK90" s="199"/>
      <c r="QVL90" s="167"/>
      <c r="QVM90" s="199"/>
      <c r="QVN90" s="200"/>
      <c r="QVO90" s="201"/>
      <c r="QVP90" s="202"/>
      <c r="QVQ90" s="202"/>
      <c r="QVR90" s="202"/>
      <c r="QVS90" s="202"/>
      <c r="QVT90" s="203"/>
      <c r="QVU90" s="204"/>
      <c r="QVV90" s="204"/>
      <c r="QVW90" s="204"/>
      <c r="QVX90" s="205"/>
      <c r="QVY90" s="206"/>
      <c r="QVZ90" s="207"/>
      <c r="QWA90" s="207"/>
      <c r="QWB90" s="208"/>
      <c r="QWC90" s="209"/>
      <c r="QWD90" s="207"/>
      <c r="QWE90" s="210"/>
      <c r="QWF90" s="209"/>
      <c r="QWG90" s="204"/>
      <c r="QWH90" s="204"/>
      <c r="QWI90" s="204"/>
      <c r="QWJ90" s="199"/>
      <c r="QWK90" s="167"/>
      <c r="QWL90" s="199"/>
      <c r="QWM90" s="200"/>
      <c r="QWN90" s="201"/>
      <c r="QWO90" s="202"/>
      <c r="QWP90" s="202"/>
      <c r="QWQ90" s="202"/>
      <c r="QWR90" s="202"/>
      <c r="QWS90" s="203"/>
      <c r="QWT90" s="204"/>
      <c r="QWU90" s="204"/>
      <c r="QWV90" s="204"/>
      <c r="QWW90" s="205"/>
      <c r="QWX90" s="206"/>
      <c r="QWY90" s="207"/>
      <c r="QWZ90" s="207"/>
      <c r="QXA90" s="208"/>
      <c r="QXB90" s="209"/>
      <c r="QXC90" s="207"/>
      <c r="QXD90" s="210"/>
      <c r="QXE90" s="209"/>
      <c r="QXF90" s="204"/>
      <c r="QXG90" s="204"/>
      <c r="QXH90" s="204"/>
      <c r="QXI90" s="199"/>
      <c r="QXJ90" s="167"/>
      <c r="QXK90" s="199"/>
      <c r="QXL90" s="200"/>
      <c r="QXM90" s="201"/>
      <c r="QXN90" s="202"/>
      <c r="QXO90" s="202"/>
      <c r="QXP90" s="202"/>
      <c r="QXQ90" s="202"/>
      <c r="QXR90" s="203"/>
      <c r="QXS90" s="204"/>
      <c r="QXT90" s="204"/>
      <c r="QXU90" s="204"/>
      <c r="QXV90" s="205"/>
      <c r="QXW90" s="206"/>
      <c r="QXX90" s="207"/>
      <c r="QXY90" s="207"/>
      <c r="QXZ90" s="208"/>
      <c r="QYA90" s="209"/>
      <c r="QYB90" s="207"/>
      <c r="QYC90" s="210"/>
      <c r="QYD90" s="209"/>
      <c r="QYE90" s="204"/>
      <c r="QYF90" s="204"/>
      <c r="QYG90" s="204"/>
      <c r="QYH90" s="199"/>
      <c r="QYI90" s="167"/>
      <c r="QYJ90" s="199"/>
      <c r="QYK90" s="200"/>
      <c r="QYL90" s="201"/>
      <c r="QYM90" s="202"/>
      <c r="QYN90" s="202"/>
      <c r="QYO90" s="202"/>
      <c r="QYP90" s="202"/>
      <c r="QYQ90" s="203"/>
      <c r="QYR90" s="204"/>
      <c r="QYS90" s="204"/>
      <c r="QYT90" s="204"/>
      <c r="QYU90" s="205"/>
      <c r="QYV90" s="206"/>
      <c r="QYW90" s="207"/>
      <c r="QYX90" s="207"/>
      <c r="QYY90" s="208"/>
      <c r="QYZ90" s="209"/>
      <c r="QZA90" s="207"/>
      <c r="QZB90" s="210"/>
      <c r="QZC90" s="209"/>
      <c r="QZD90" s="204"/>
      <c r="QZE90" s="204"/>
      <c r="QZF90" s="204"/>
      <c r="QZG90" s="199"/>
      <c r="QZH90" s="167"/>
      <c r="QZI90" s="199"/>
      <c r="QZJ90" s="200"/>
      <c r="QZK90" s="201"/>
      <c r="QZL90" s="202"/>
      <c r="QZM90" s="202"/>
      <c r="QZN90" s="202"/>
      <c r="QZO90" s="202"/>
      <c r="QZP90" s="203"/>
      <c r="QZQ90" s="204"/>
      <c r="QZR90" s="204"/>
      <c r="QZS90" s="204"/>
      <c r="QZT90" s="205"/>
      <c r="QZU90" s="206"/>
      <c r="QZV90" s="207"/>
      <c r="QZW90" s="207"/>
      <c r="QZX90" s="208"/>
      <c r="QZY90" s="209"/>
      <c r="QZZ90" s="207"/>
      <c r="RAA90" s="210"/>
      <c r="RAB90" s="209"/>
      <c r="RAC90" s="204"/>
      <c r="RAD90" s="204"/>
      <c r="RAE90" s="204"/>
      <c r="RAF90" s="199"/>
      <c r="RAG90" s="167"/>
      <c r="RAH90" s="199"/>
      <c r="RAI90" s="200"/>
      <c r="RAJ90" s="201"/>
      <c r="RAK90" s="202"/>
      <c r="RAL90" s="202"/>
      <c r="RAM90" s="202"/>
      <c r="RAN90" s="202"/>
      <c r="RAO90" s="203"/>
      <c r="RAP90" s="204"/>
      <c r="RAQ90" s="204"/>
      <c r="RAR90" s="204"/>
      <c r="RAS90" s="205"/>
      <c r="RAT90" s="206"/>
      <c r="RAU90" s="207"/>
      <c r="RAV90" s="207"/>
      <c r="RAW90" s="208"/>
      <c r="RAX90" s="209"/>
      <c r="RAY90" s="207"/>
      <c r="RAZ90" s="210"/>
      <c r="RBA90" s="209"/>
      <c r="RBB90" s="204"/>
      <c r="RBC90" s="204"/>
      <c r="RBD90" s="204"/>
      <c r="RBE90" s="199"/>
      <c r="RBF90" s="167"/>
      <c r="RBG90" s="199"/>
      <c r="RBH90" s="200"/>
      <c r="RBI90" s="201"/>
      <c r="RBJ90" s="202"/>
      <c r="RBK90" s="202"/>
      <c r="RBL90" s="202"/>
      <c r="RBM90" s="202"/>
      <c r="RBN90" s="203"/>
      <c r="RBO90" s="204"/>
      <c r="RBP90" s="204"/>
      <c r="RBQ90" s="204"/>
      <c r="RBR90" s="205"/>
      <c r="RBS90" s="206"/>
      <c r="RBT90" s="207"/>
      <c r="RBU90" s="207"/>
      <c r="RBV90" s="208"/>
      <c r="RBW90" s="209"/>
      <c r="RBX90" s="207"/>
      <c r="RBY90" s="210"/>
      <c r="RBZ90" s="209"/>
      <c r="RCA90" s="204"/>
      <c r="RCB90" s="204"/>
      <c r="RCC90" s="204"/>
      <c r="RCD90" s="199"/>
      <c r="RCE90" s="167"/>
      <c r="RCF90" s="199"/>
      <c r="RCG90" s="200"/>
      <c r="RCH90" s="201"/>
      <c r="RCI90" s="202"/>
      <c r="RCJ90" s="202"/>
      <c r="RCK90" s="202"/>
      <c r="RCL90" s="202"/>
      <c r="RCM90" s="203"/>
      <c r="RCN90" s="204"/>
      <c r="RCO90" s="204"/>
      <c r="RCP90" s="204"/>
      <c r="RCQ90" s="205"/>
      <c r="RCR90" s="206"/>
      <c r="RCS90" s="207"/>
      <c r="RCT90" s="207"/>
      <c r="RCU90" s="208"/>
      <c r="RCV90" s="209"/>
      <c r="RCW90" s="207"/>
      <c r="RCX90" s="210"/>
      <c r="RCY90" s="209"/>
      <c r="RCZ90" s="204"/>
      <c r="RDA90" s="204"/>
      <c r="RDB90" s="204"/>
      <c r="RDC90" s="199"/>
      <c r="RDD90" s="167"/>
      <c r="RDE90" s="199"/>
      <c r="RDF90" s="200"/>
      <c r="RDG90" s="201"/>
      <c r="RDH90" s="202"/>
      <c r="RDI90" s="202"/>
      <c r="RDJ90" s="202"/>
      <c r="RDK90" s="202"/>
      <c r="RDL90" s="203"/>
      <c r="RDM90" s="204"/>
      <c r="RDN90" s="204"/>
      <c r="RDO90" s="204"/>
      <c r="RDP90" s="205"/>
      <c r="RDQ90" s="206"/>
      <c r="RDR90" s="207"/>
      <c r="RDS90" s="207"/>
      <c r="RDT90" s="208"/>
      <c r="RDU90" s="209"/>
      <c r="RDV90" s="207"/>
      <c r="RDW90" s="210"/>
      <c r="RDX90" s="209"/>
      <c r="RDY90" s="204"/>
      <c r="RDZ90" s="204"/>
      <c r="REA90" s="204"/>
      <c r="REB90" s="199"/>
      <c r="REC90" s="167"/>
      <c r="RED90" s="199"/>
      <c r="REE90" s="200"/>
      <c r="REF90" s="201"/>
      <c r="REG90" s="202"/>
      <c r="REH90" s="202"/>
      <c r="REI90" s="202"/>
      <c r="REJ90" s="202"/>
      <c r="REK90" s="203"/>
      <c r="REL90" s="204"/>
      <c r="REM90" s="204"/>
      <c r="REN90" s="204"/>
      <c r="REO90" s="205"/>
      <c r="REP90" s="206"/>
      <c r="REQ90" s="207"/>
      <c r="RER90" s="207"/>
      <c r="RES90" s="208"/>
      <c r="RET90" s="209"/>
      <c r="REU90" s="207"/>
      <c r="REV90" s="210"/>
      <c r="REW90" s="209"/>
      <c r="REX90" s="204"/>
      <c r="REY90" s="204"/>
      <c r="REZ90" s="204"/>
      <c r="RFA90" s="199"/>
      <c r="RFB90" s="167"/>
      <c r="RFC90" s="199"/>
      <c r="RFD90" s="200"/>
      <c r="RFE90" s="201"/>
      <c r="RFF90" s="202"/>
      <c r="RFG90" s="202"/>
      <c r="RFH90" s="202"/>
      <c r="RFI90" s="202"/>
      <c r="RFJ90" s="203"/>
      <c r="RFK90" s="204"/>
      <c r="RFL90" s="204"/>
      <c r="RFM90" s="204"/>
      <c r="RFN90" s="205"/>
      <c r="RFO90" s="206"/>
      <c r="RFP90" s="207"/>
      <c r="RFQ90" s="207"/>
      <c r="RFR90" s="208"/>
      <c r="RFS90" s="209"/>
      <c r="RFT90" s="207"/>
      <c r="RFU90" s="210"/>
      <c r="RFV90" s="209"/>
      <c r="RFW90" s="204"/>
      <c r="RFX90" s="204"/>
      <c r="RFY90" s="204"/>
      <c r="RFZ90" s="199"/>
      <c r="RGA90" s="167"/>
      <c r="RGB90" s="199"/>
      <c r="RGC90" s="200"/>
      <c r="RGD90" s="201"/>
      <c r="RGE90" s="202"/>
      <c r="RGF90" s="202"/>
      <c r="RGG90" s="202"/>
      <c r="RGH90" s="202"/>
      <c r="RGI90" s="203"/>
      <c r="RGJ90" s="204"/>
      <c r="RGK90" s="204"/>
      <c r="RGL90" s="204"/>
      <c r="RGM90" s="205"/>
      <c r="RGN90" s="206"/>
      <c r="RGO90" s="207"/>
      <c r="RGP90" s="207"/>
      <c r="RGQ90" s="208"/>
      <c r="RGR90" s="209"/>
      <c r="RGS90" s="207"/>
      <c r="RGT90" s="210"/>
      <c r="RGU90" s="209"/>
      <c r="RGV90" s="204"/>
      <c r="RGW90" s="204"/>
      <c r="RGX90" s="204"/>
      <c r="RGY90" s="199"/>
      <c r="RGZ90" s="167"/>
      <c r="RHA90" s="199"/>
      <c r="RHB90" s="200"/>
      <c r="RHC90" s="201"/>
      <c r="RHD90" s="202"/>
      <c r="RHE90" s="202"/>
      <c r="RHF90" s="202"/>
      <c r="RHG90" s="202"/>
      <c r="RHH90" s="203"/>
      <c r="RHI90" s="204"/>
      <c r="RHJ90" s="204"/>
      <c r="RHK90" s="204"/>
      <c r="RHL90" s="205"/>
      <c r="RHM90" s="206"/>
      <c r="RHN90" s="207"/>
      <c r="RHO90" s="207"/>
      <c r="RHP90" s="208"/>
      <c r="RHQ90" s="209"/>
      <c r="RHR90" s="207"/>
      <c r="RHS90" s="210"/>
      <c r="RHT90" s="209"/>
      <c r="RHU90" s="204"/>
      <c r="RHV90" s="204"/>
      <c r="RHW90" s="204"/>
      <c r="RHX90" s="199"/>
      <c r="RHY90" s="167"/>
      <c r="RHZ90" s="199"/>
      <c r="RIA90" s="200"/>
      <c r="RIB90" s="201"/>
      <c r="RIC90" s="202"/>
      <c r="RID90" s="202"/>
      <c r="RIE90" s="202"/>
      <c r="RIF90" s="202"/>
      <c r="RIG90" s="203"/>
      <c r="RIH90" s="204"/>
      <c r="RII90" s="204"/>
      <c r="RIJ90" s="204"/>
      <c r="RIK90" s="205"/>
      <c r="RIL90" s="206"/>
      <c r="RIM90" s="207"/>
      <c r="RIN90" s="207"/>
      <c r="RIO90" s="208"/>
      <c r="RIP90" s="209"/>
      <c r="RIQ90" s="207"/>
      <c r="RIR90" s="210"/>
      <c r="RIS90" s="209"/>
      <c r="RIT90" s="204"/>
      <c r="RIU90" s="204"/>
      <c r="RIV90" s="204"/>
      <c r="RIW90" s="199"/>
      <c r="RIX90" s="167"/>
      <c r="RIY90" s="199"/>
      <c r="RIZ90" s="200"/>
      <c r="RJA90" s="201"/>
      <c r="RJB90" s="202"/>
      <c r="RJC90" s="202"/>
      <c r="RJD90" s="202"/>
      <c r="RJE90" s="202"/>
      <c r="RJF90" s="203"/>
      <c r="RJG90" s="204"/>
      <c r="RJH90" s="204"/>
      <c r="RJI90" s="204"/>
      <c r="RJJ90" s="205"/>
      <c r="RJK90" s="206"/>
      <c r="RJL90" s="207"/>
      <c r="RJM90" s="207"/>
      <c r="RJN90" s="208"/>
      <c r="RJO90" s="209"/>
      <c r="RJP90" s="207"/>
      <c r="RJQ90" s="210"/>
      <c r="RJR90" s="209"/>
      <c r="RJS90" s="204"/>
      <c r="RJT90" s="204"/>
      <c r="RJU90" s="204"/>
      <c r="RJV90" s="199"/>
      <c r="RJW90" s="167"/>
      <c r="RJX90" s="199"/>
      <c r="RJY90" s="200"/>
      <c r="RJZ90" s="201"/>
      <c r="RKA90" s="202"/>
      <c r="RKB90" s="202"/>
      <c r="RKC90" s="202"/>
      <c r="RKD90" s="202"/>
      <c r="RKE90" s="203"/>
      <c r="RKF90" s="204"/>
      <c r="RKG90" s="204"/>
      <c r="RKH90" s="204"/>
      <c r="RKI90" s="205"/>
      <c r="RKJ90" s="206"/>
      <c r="RKK90" s="207"/>
      <c r="RKL90" s="207"/>
      <c r="RKM90" s="208"/>
      <c r="RKN90" s="209"/>
      <c r="RKO90" s="207"/>
      <c r="RKP90" s="210"/>
      <c r="RKQ90" s="209"/>
      <c r="RKR90" s="204"/>
      <c r="RKS90" s="204"/>
      <c r="RKT90" s="204"/>
      <c r="RKU90" s="199"/>
      <c r="RKV90" s="167"/>
      <c r="RKW90" s="199"/>
      <c r="RKX90" s="200"/>
      <c r="RKY90" s="201"/>
      <c r="RKZ90" s="202"/>
      <c r="RLA90" s="202"/>
      <c r="RLB90" s="202"/>
      <c r="RLC90" s="202"/>
      <c r="RLD90" s="203"/>
      <c r="RLE90" s="204"/>
      <c r="RLF90" s="204"/>
      <c r="RLG90" s="204"/>
      <c r="RLH90" s="205"/>
      <c r="RLI90" s="206"/>
      <c r="RLJ90" s="207"/>
      <c r="RLK90" s="207"/>
      <c r="RLL90" s="208"/>
      <c r="RLM90" s="209"/>
      <c r="RLN90" s="207"/>
      <c r="RLO90" s="210"/>
      <c r="RLP90" s="209"/>
      <c r="RLQ90" s="204"/>
      <c r="RLR90" s="204"/>
      <c r="RLS90" s="204"/>
      <c r="RLT90" s="199"/>
      <c r="RLU90" s="167"/>
      <c r="RLV90" s="199"/>
      <c r="RLW90" s="200"/>
      <c r="RLX90" s="201"/>
      <c r="RLY90" s="202"/>
      <c r="RLZ90" s="202"/>
      <c r="RMA90" s="202"/>
      <c r="RMB90" s="202"/>
      <c r="RMC90" s="203"/>
      <c r="RMD90" s="204"/>
      <c r="RME90" s="204"/>
      <c r="RMF90" s="204"/>
      <c r="RMG90" s="205"/>
      <c r="RMH90" s="206"/>
      <c r="RMI90" s="207"/>
      <c r="RMJ90" s="207"/>
      <c r="RMK90" s="208"/>
      <c r="RML90" s="209"/>
      <c r="RMM90" s="207"/>
      <c r="RMN90" s="210"/>
      <c r="RMO90" s="209"/>
      <c r="RMP90" s="204"/>
      <c r="RMQ90" s="204"/>
      <c r="RMR90" s="204"/>
      <c r="RMS90" s="199"/>
      <c r="RMT90" s="167"/>
      <c r="RMU90" s="199"/>
      <c r="RMV90" s="200"/>
      <c r="RMW90" s="201"/>
      <c r="RMX90" s="202"/>
      <c r="RMY90" s="202"/>
      <c r="RMZ90" s="202"/>
      <c r="RNA90" s="202"/>
      <c r="RNB90" s="203"/>
      <c r="RNC90" s="204"/>
      <c r="RND90" s="204"/>
      <c r="RNE90" s="204"/>
      <c r="RNF90" s="205"/>
      <c r="RNG90" s="206"/>
      <c r="RNH90" s="207"/>
      <c r="RNI90" s="207"/>
      <c r="RNJ90" s="208"/>
      <c r="RNK90" s="209"/>
      <c r="RNL90" s="207"/>
      <c r="RNM90" s="210"/>
      <c r="RNN90" s="209"/>
      <c r="RNO90" s="204"/>
      <c r="RNP90" s="204"/>
      <c r="RNQ90" s="204"/>
      <c r="RNR90" s="199"/>
      <c r="RNS90" s="167"/>
      <c r="RNT90" s="199"/>
      <c r="RNU90" s="200"/>
      <c r="RNV90" s="201"/>
      <c r="RNW90" s="202"/>
      <c r="RNX90" s="202"/>
      <c r="RNY90" s="202"/>
      <c r="RNZ90" s="202"/>
      <c r="ROA90" s="203"/>
      <c r="ROB90" s="204"/>
      <c r="ROC90" s="204"/>
      <c r="ROD90" s="204"/>
      <c r="ROE90" s="205"/>
      <c r="ROF90" s="206"/>
      <c r="ROG90" s="207"/>
      <c r="ROH90" s="207"/>
      <c r="ROI90" s="208"/>
      <c r="ROJ90" s="209"/>
      <c r="ROK90" s="207"/>
      <c r="ROL90" s="210"/>
      <c r="ROM90" s="209"/>
      <c r="RON90" s="204"/>
      <c r="ROO90" s="204"/>
      <c r="ROP90" s="204"/>
      <c r="ROQ90" s="199"/>
      <c r="ROR90" s="167"/>
      <c r="ROS90" s="199"/>
      <c r="ROT90" s="200"/>
      <c r="ROU90" s="201"/>
      <c r="ROV90" s="202"/>
      <c r="ROW90" s="202"/>
      <c r="ROX90" s="202"/>
      <c r="ROY90" s="202"/>
      <c r="ROZ90" s="203"/>
      <c r="RPA90" s="204"/>
      <c r="RPB90" s="204"/>
      <c r="RPC90" s="204"/>
      <c r="RPD90" s="205"/>
      <c r="RPE90" s="206"/>
      <c r="RPF90" s="207"/>
      <c r="RPG90" s="207"/>
      <c r="RPH90" s="208"/>
      <c r="RPI90" s="209"/>
      <c r="RPJ90" s="207"/>
      <c r="RPK90" s="210"/>
      <c r="RPL90" s="209"/>
      <c r="RPM90" s="204"/>
      <c r="RPN90" s="204"/>
      <c r="RPO90" s="204"/>
      <c r="RPP90" s="199"/>
      <c r="RPQ90" s="167"/>
      <c r="RPR90" s="199"/>
      <c r="RPS90" s="200"/>
      <c r="RPT90" s="201"/>
      <c r="RPU90" s="202"/>
      <c r="RPV90" s="202"/>
      <c r="RPW90" s="202"/>
      <c r="RPX90" s="202"/>
      <c r="RPY90" s="203"/>
      <c r="RPZ90" s="204"/>
      <c r="RQA90" s="204"/>
      <c r="RQB90" s="204"/>
      <c r="RQC90" s="205"/>
      <c r="RQD90" s="206"/>
      <c r="RQE90" s="207"/>
      <c r="RQF90" s="207"/>
      <c r="RQG90" s="208"/>
      <c r="RQH90" s="209"/>
      <c r="RQI90" s="207"/>
      <c r="RQJ90" s="210"/>
      <c r="RQK90" s="209"/>
      <c r="RQL90" s="204"/>
      <c r="RQM90" s="204"/>
      <c r="RQN90" s="204"/>
      <c r="RQO90" s="199"/>
      <c r="RQP90" s="167"/>
      <c r="RQQ90" s="199"/>
      <c r="RQR90" s="200"/>
      <c r="RQS90" s="201"/>
      <c r="RQT90" s="202"/>
      <c r="RQU90" s="202"/>
      <c r="RQV90" s="202"/>
      <c r="RQW90" s="202"/>
      <c r="RQX90" s="203"/>
      <c r="RQY90" s="204"/>
      <c r="RQZ90" s="204"/>
      <c r="RRA90" s="204"/>
      <c r="RRB90" s="205"/>
      <c r="RRC90" s="206"/>
      <c r="RRD90" s="207"/>
      <c r="RRE90" s="207"/>
      <c r="RRF90" s="208"/>
      <c r="RRG90" s="209"/>
      <c r="RRH90" s="207"/>
      <c r="RRI90" s="210"/>
      <c r="RRJ90" s="209"/>
      <c r="RRK90" s="204"/>
      <c r="RRL90" s="204"/>
      <c r="RRM90" s="204"/>
      <c r="RRN90" s="199"/>
      <c r="RRO90" s="167"/>
      <c r="RRP90" s="199"/>
      <c r="RRQ90" s="200"/>
      <c r="RRR90" s="201"/>
      <c r="RRS90" s="202"/>
      <c r="RRT90" s="202"/>
      <c r="RRU90" s="202"/>
      <c r="RRV90" s="202"/>
      <c r="RRW90" s="203"/>
      <c r="RRX90" s="204"/>
      <c r="RRY90" s="204"/>
      <c r="RRZ90" s="204"/>
      <c r="RSA90" s="205"/>
      <c r="RSB90" s="206"/>
      <c r="RSC90" s="207"/>
      <c r="RSD90" s="207"/>
      <c r="RSE90" s="208"/>
      <c r="RSF90" s="209"/>
      <c r="RSG90" s="207"/>
      <c r="RSH90" s="210"/>
      <c r="RSI90" s="209"/>
      <c r="RSJ90" s="204"/>
      <c r="RSK90" s="204"/>
      <c r="RSL90" s="204"/>
      <c r="RSM90" s="199"/>
      <c r="RSN90" s="167"/>
      <c r="RSO90" s="199"/>
      <c r="RSP90" s="200"/>
      <c r="RSQ90" s="201"/>
      <c r="RSR90" s="202"/>
      <c r="RSS90" s="202"/>
      <c r="RST90" s="202"/>
      <c r="RSU90" s="202"/>
      <c r="RSV90" s="203"/>
      <c r="RSW90" s="204"/>
      <c r="RSX90" s="204"/>
      <c r="RSY90" s="204"/>
      <c r="RSZ90" s="205"/>
      <c r="RTA90" s="206"/>
      <c r="RTB90" s="207"/>
      <c r="RTC90" s="207"/>
      <c r="RTD90" s="208"/>
      <c r="RTE90" s="209"/>
      <c r="RTF90" s="207"/>
      <c r="RTG90" s="210"/>
      <c r="RTH90" s="209"/>
      <c r="RTI90" s="204"/>
      <c r="RTJ90" s="204"/>
      <c r="RTK90" s="204"/>
      <c r="RTL90" s="199"/>
      <c r="RTM90" s="167"/>
      <c r="RTN90" s="199"/>
      <c r="RTO90" s="200"/>
      <c r="RTP90" s="201"/>
      <c r="RTQ90" s="202"/>
      <c r="RTR90" s="202"/>
      <c r="RTS90" s="202"/>
      <c r="RTT90" s="202"/>
      <c r="RTU90" s="203"/>
      <c r="RTV90" s="204"/>
      <c r="RTW90" s="204"/>
      <c r="RTX90" s="204"/>
      <c r="RTY90" s="205"/>
      <c r="RTZ90" s="206"/>
      <c r="RUA90" s="207"/>
      <c r="RUB90" s="207"/>
      <c r="RUC90" s="208"/>
      <c r="RUD90" s="209"/>
      <c r="RUE90" s="207"/>
      <c r="RUF90" s="210"/>
      <c r="RUG90" s="209"/>
      <c r="RUH90" s="204"/>
      <c r="RUI90" s="204"/>
      <c r="RUJ90" s="204"/>
      <c r="RUK90" s="199"/>
      <c r="RUL90" s="167"/>
      <c r="RUM90" s="199"/>
      <c r="RUN90" s="200"/>
      <c r="RUO90" s="201"/>
      <c r="RUP90" s="202"/>
      <c r="RUQ90" s="202"/>
      <c r="RUR90" s="202"/>
      <c r="RUS90" s="202"/>
      <c r="RUT90" s="203"/>
      <c r="RUU90" s="204"/>
      <c r="RUV90" s="204"/>
      <c r="RUW90" s="204"/>
      <c r="RUX90" s="205"/>
      <c r="RUY90" s="206"/>
      <c r="RUZ90" s="207"/>
      <c r="RVA90" s="207"/>
      <c r="RVB90" s="208"/>
      <c r="RVC90" s="209"/>
      <c r="RVD90" s="207"/>
      <c r="RVE90" s="210"/>
      <c r="RVF90" s="209"/>
      <c r="RVG90" s="204"/>
      <c r="RVH90" s="204"/>
      <c r="RVI90" s="204"/>
      <c r="RVJ90" s="199"/>
      <c r="RVK90" s="167"/>
      <c r="RVL90" s="199"/>
      <c r="RVM90" s="200"/>
      <c r="RVN90" s="201"/>
      <c r="RVO90" s="202"/>
      <c r="RVP90" s="202"/>
      <c r="RVQ90" s="202"/>
      <c r="RVR90" s="202"/>
      <c r="RVS90" s="203"/>
      <c r="RVT90" s="204"/>
      <c r="RVU90" s="204"/>
      <c r="RVV90" s="204"/>
      <c r="RVW90" s="205"/>
      <c r="RVX90" s="206"/>
      <c r="RVY90" s="207"/>
      <c r="RVZ90" s="207"/>
      <c r="RWA90" s="208"/>
      <c r="RWB90" s="209"/>
      <c r="RWC90" s="207"/>
      <c r="RWD90" s="210"/>
      <c r="RWE90" s="209"/>
      <c r="RWF90" s="204"/>
      <c r="RWG90" s="204"/>
      <c r="RWH90" s="204"/>
      <c r="RWI90" s="199"/>
      <c r="RWJ90" s="167"/>
      <c r="RWK90" s="199"/>
      <c r="RWL90" s="200"/>
      <c r="RWM90" s="201"/>
      <c r="RWN90" s="202"/>
      <c r="RWO90" s="202"/>
      <c r="RWP90" s="202"/>
      <c r="RWQ90" s="202"/>
      <c r="RWR90" s="203"/>
      <c r="RWS90" s="204"/>
      <c r="RWT90" s="204"/>
      <c r="RWU90" s="204"/>
      <c r="RWV90" s="205"/>
      <c r="RWW90" s="206"/>
      <c r="RWX90" s="207"/>
      <c r="RWY90" s="207"/>
      <c r="RWZ90" s="208"/>
      <c r="RXA90" s="209"/>
      <c r="RXB90" s="207"/>
      <c r="RXC90" s="210"/>
      <c r="RXD90" s="209"/>
      <c r="RXE90" s="204"/>
      <c r="RXF90" s="204"/>
      <c r="RXG90" s="204"/>
      <c r="RXH90" s="199"/>
      <c r="RXI90" s="167"/>
      <c r="RXJ90" s="199"/>
      <c r="RXK90" s="200"/>
      <c r="RXL90" s="201"/>
      <c r="RXM90" s="202"/>
      <c r="RXN90" s="202"/>
      <c r="RXO90" s="202"/>
      <c r="RXP90" s="202"/>
      <c r="RXQ90" s="203"/>
      <c r="RXR90" s="204"/>
      <c r="RXS90" s="204"/>
      <c r="RXT90" s="204"/>
      <c r="RXU90" s="205"/>
      <c r="RXV90" s="206"/>
      <c r="RXW90" s="207"/>
      <c r="RXX90" s="207"/>
      <c r="RXY90" s="208"/>
      <c r="RXZ90" s="209"/>
      <c r="RYA90" s="207"/>
      <c r="RYB90" s="210"/>
      <c r="RYC90" s="209"/>
      <c r="RYD90" s="204"/>
      <c r="RYE90" s="204"/>
      <c r="RYF90" s="204"/>
      <c r="RYG90" s="199"/>
      <c r="RYH90" s="167"/>
      <c r="RYI90" s="199"/>
      <c r="RYJ90" s="200"/>
      <c r="RYK90" s="201"/>
      <c r="RYL90" s="202"/>
      <c r="RYM90" s="202"/>
      <c r="RYN90" s="202"/>
      <c r="RYO90" s="202"/>
      <c r="RYP90" s="203"/>
      <c r="RYQ90" s="204"/>
      <c r="RYR90" s="204"/>
      <c r="RYS90" s="204"/>
      <c r="RYT90" s="205"/>
      <c r="RYU90" s="206"/>
      <c r="RYV90" s="207"/>
      <c r="RYW90" s="207"/>
      <c r="RYX90" s="208"/>
      <c r="RYY90" s="209"/>
      <c r="RYZ90" s="207"/>
      <c r="RZA90" s="210"/>
      <c r="RZB90" s="209"/>
      <c r="RZC90" s="204"/>
      <c r="RZD90" s="204"/>
      <c r="RZE90" s="204"/>
      <c r="RZF90" s="199"/>
      <c r="RZG90" s="167"/>
      <c r="RZH90" s="199"/>
      <c r="RZI90" s="200"/>
      <c r="RZJ90" s="201"/>
      <c r="RZK90" s="202"/>
      <c r="RZL90" s="202"/>
      <c r="RZM90" s="202"/>
      <c r="RZN90" s="202"/>
      <c r="RZO90" s="203"/>
      <c r="RZP90" s="204"/>
      <c r="RZQ90" s="204"/>
      <c r="RZR90" s="204"/>
      <c r="RZS90" s="205"/>
      <c r="RZT90" s="206"/>
      <c r="RZU90" s="207"/>
      <c r="RZV90" s="207"/>
      <c r="RZW90" s="208"/>
      <c r="RZX90" s="209"/>
      <c r="RZY90" s="207"/>
      <c r="RZZ90" s="210"/>
      <c r="SAA90" s="209"/>
      <c r="SAB90" s="204"/>
      <c r="SAC90" s="204"/>
      <c r="SAD90" s="204"/>
      <c r="SAE90" s="199"/>
      <c r="SAF90" s="167"/>
      <c r="SAG90" s="199"/>
      <c r="SAH90" s="200"/>
      <c r="SAI90" s="201"/>
      <c r="SAJ90" s="202"/>
      <c r="SAK90" s="202"/>
      <c r="SAL90" s="202"/>
      <c r="SAM90" s="202"/>
      <c r="SAN90" s="203"/>
      <c r="SAO90" s="204"/>
      <c r="SAP90" s="204"/>
      <c r="SAQ90" s="204"/>
      <c r="SAR90" s="205"/>
      <c r="SAS90" s="206"/>
      <c r="SAT90" s="207"/>
      <c r="SAU90" s="207"/>
      <c r="SAV90" s="208"/>
      <c r="SAW90" s="209"/>
      <c r="SAX90" s="207"/>
      <c r="SAY90" s="210"/>
      <c r="SAZ90" s="209"/>
      <c r="SBA90" s="204"/>
      <c r="SBB90" s="204"/>
      <c r="SBC90" s="204"/>
      <c r="SBD90" s="199"/>
      <c r="SBE90" s="167"/>
      <c r="SBF90" s="199"/>
      <c r="SBG90" s="200"/>
      <c r="SBH90" s="201"/>
      <c r="SBI90" s="202"/>
      <c r="SBJ90" s="202"/>
      <c r="SBK90" s="202"/>
      <c r="SBL90" s="202"/>
      <c r="SBM90" s="203"/>
      <c r="SBN90" s="204"/>
      <c r="SBO90" s="204"/>
      <c r="SBP90" s="204"/>
      <c r="SBQ90" s="205"/>
      <c r="SBR90" s="206"/>
      <c r="SBS90" s="207"/>
      <c r="SBT90" s="207"/>
      <c r="SBU90" s="208"/>
      <c r="SBV90" s="209"/>
      <c r="SBW90" s="207"/>
      <c r="SBX90" s="210"/>
      <c r="SBY90" s="209"/>
      <c r="SBZ90" s="204"/>
      <c r="SCA90" s="204"/>
      <c r="SCB90" s="204"/>
      <c r="SCC90" s="199"/>
      <c r="SCD90" s="167"/>
      <c r="SCE90" s="199"/>
      <c r="SCF90" s="200"/>
      <c r="SCG90" s="201"/>
      <c r="SCH90" s="202"/>
      <c r="SCI90" s="202"/>
      <c r="SCJ90" s="202"/>
      <c r="SCK90" s="202"/>
      <c r="SCL90" s="203"/>
      <c r="SCM90" s="204"/>
      <c r="SCN90" s="204"/>
      <c r="SCO90" s="204"/>
      <c r="SCP90" s="205"/>
      <c r="SCQ90" s="206"/>
      <c r="SCR90" s="207"/>
      <c r="SCS90" s="207"/>
      <c r="SCT90" s="208"/>
      <c r="SCU90" s="209"/>
      <c r="SCV90" s="207"/>
      <c r="SCW90" s="210"/>
      <c r="SCX90" s="209"/>
      <c r="SCY90" s="204"/>
      <c r="SCZ90" s="204"/>
      <c r="SDA90" s="204"/>
      <c r="SDB90" s="199"/>
      <c r="SDC90" s="167"/>
      <c r="SDD90" s="199"/>
      <c r="SDE90" s="200"/>
      <c r="SDF90" s="201"/>
      <c r="SDG90" s="202"/>
      <c r="SDH90" s="202"/>
      <c r="SDI90" s="202"/>
      <c r="SDJ90" s="202"/>
      <c r="SDK90" s="203"/>
      <c r="SDL90" s="204"/>
      <c r="SDM90" s="204"/>
      <c r="SDN90" s="204"/>
      <c r="SDO90" s="205"/>
      <c r="SDP90" s="206"/>
      <c r="SDQ90" s="207"/>
      <c r="SDR90" s="207"/>
      <c r="SDS90" s="208"/>
      <c r="SDT90" s="209"/>
      <c r="SDU90" s="207"/>
      <c r="SDV90" s="210"/>
      <c r="SDW90" s="209"/>
      <c r="SDX90" s="204"/>
      <c r="SDY90" s="204"/>
      <c r="SDZ90" s="204"/>
      <c r="SEA90" s="199"/>
      <c r="SEB90" s="167"/>
      <c r="SEC90" s="199"/>
      <c r="SED90" s="200"/>
      <c r="SEE90" s="201"/>
      <c r="SEF90" s="202"/>
      <c r="SEG90" s="202"/>
      <c r="SEH90" s="202"/>
      <c r="SEI90" s="202"/>
      <c r="SEJ90" s="203"/>
      <c r="SEK90" s="204"/>
      <c r="SEL90" s="204"/>
      <c r="SEM90" s="204"/>
      <c r="SEN90" s="205"/>
      <c r="SEO90" s="206"/>
      <c r="SEP90" s="207"/>
      <c r="SEQ90" s="207"/>
      <c r="SER90" s="208"/>
      <c r="SES90" s="209"/>
      <c r="SET90" s="207"/>
      <c r="SEU90" s="210"/>
      <c r="SEV90" s="209"/>
      <c r="SEW90" s="204"/>
      <c r="SEX90" s="204"/>
      <c r="SEY90" s="204"/>
      <c r="SEZ90" s="199"/>
      <c r="SFA90" s="167"/>
      <c r="SFB90" s="199"/>
      <c r="SFC90" s="200"/>
      <c r="SFD90" s="201"/>
      <c r="SFE90" s="202"/>
      <c r="SFF90" s="202"/>
      <c r="SFG90" s="202"/>
      <c r="SFH90" s="202"/>
      <c r="SFI90" s="203"/>
      <c r="SFJ90" s="204"/>
      <c r="SFK90" s="204"/>
      <c r="SFL90" s="204"/>
      <c r="SFM90" s="205"/>
      <c r="SFN90" s="206"/>
      <c r="SFO90" s="207"/>
      <c r="SFP90" s="207"/>
      <c r="SFQ90" s="208"/>
      <c r="SFR90" s="209"/>
      <c r="SFS90" s="207"/>
      <c r="SFT90" s="210"/>
      <c r="SFU90" s="209"/>
      <c r="SFV90" s="204"/>
      <c r="SFW90" s="204"/>
      <c r="SFX90" s="204"/>
      <c r="SFY90" s="199"/>
      <c r="SFZ90" s="167"/>
      <c r="SGA90" s="199"/>
      <c r="SGB90" s="200"/>
      <c r="SGC90" s="201"/>
      <c r="SGD90" s="202"/>
      <c r="SGE90" s="202"/>
      <c r="SGF90" s="202"/>
      <c r="SGG90" s="202"/>
      <c r="SGH90" s="203"/>
      <c r="SGI90" s="204"/>
      <c r="SGJ90" s="204"/>
      <c r="SGK90" s="204"/>
      <c r="SGL90" s="205"/>
      <c r="SGM90" s="206"/>
      <c r="SGN90" s="207"/>
      <c r="SGO90" s="207"/>
      <c r="SGP90" s="208"/>
      <c r="SGQ90" s="209"/>
      <c r="SGR90" s="207"/>
      <c r="SGS90" s="210"/>
      <c r="SGT90" s="209"/>
      <c r="SGU90" s="204"/>
      <c r="SGV90" s="204"/>
      <c r="SGW90" s="204"/>
      <c r="SGX90" s="199"/>
      <c r="SGY90" s="167"/>
      <c r="SGZ90" s="199"/>
      <c r="SHA90" s="200"/>
      <c r="SHB90" s="201"/>
      <c r="SHC90" s="202"/>
      <c r="SHD90" s="202"/>
      <c r="SHE90" s="202"/>
      <c r="SHF90" s="202"/>
      <c r="SHG90" s="203"/>
      <c r="SHH90" s="204"/>
      <c r="SHI90" s="204"/>
      <c r="SHJ90" s="204"/>
      <c r="SHK90" s="205"/>
      <c r="SHL90" s="206"/>
      <c r="SHM90" s="207"/>
      <c r="SHN90" s="207"/>
      <c r="SHO90" s="208"/>
      <c r="SHP90" s="209"/>
      <c r="SHQ90" s="207"/>
      <c r="SHR90" s="210"/>
      <c r="SHS90" s="209"/>
      <c r="SHT90" s="204"/>
      <c r="SHU90" s="204"/>
      <c r="SHV90" s="204"/>
      <c r="SHW90" s="199"/>
      <c r="SHX90" s="167"/>
      <c r="SHY90" s="199"/>
      <c r="SHZ90" s="200"/>
      <c r="SIA90" s="201"/>
      <c r="SIB90" s="202"/>
      <c r="SIC90" s="202"/>
      <c r="SID90" s="202"/>
      <c r="SIE90" s="202"/>
      <c r="SIF90" s="203"/>
      <c r="SIG90" s="204"/>
      <c r="SIH90" s="204"/>
      <c r="SII90" s="204"/>
      <c r="SIJ90" s="205"/>
      <c r="SIK90" s="206"/>
      <c r="SIL90" s="207"/>
      <c r="SIM90" s="207"/>
      <c r="SIN90" s="208"/>
      <c r="SIO90" s="209"/>
      <c r="SIP90" s="207"/>
      <c r="SIQ90" s="210"/>
      <c r="SIR90" s="209"/>
      <c r="SIS90" s="204"/>
      <c r="SIT90" s="204"/>
      <c r="SIU90" s="204"/>
      <c r="SIV90" s="199"/>
      <c r="SIW90" s="167"/>
      <c r="SIX90" s="199"/>
      <c r="SIY90" s="200"/>
      <c r="SIZ90" s="201"/>
      <c r="SJA90" s="202"/>
      <c r="SJB90" s="202"/>
      <c r="SJC90" s="202"/>
      <c r="SJD90" s="202"/>
      <c r="SJE90" s="203"/>
      <c r="SJF90" s="204"/>
      <c r="SJG90" s="204"/>
      <c r="SJH90" s="204"/>
      <c r="SJI90" s="205"/>
      <c r="SJJ90" s="206"/>
      <c r="SJK90" s="207"/>
      <c r="SJL90" s="207"/>
      <c r="SJM90" s="208"/>
      <c r="SJN90" s="209"/>
      <c r="SJO90" s="207"/>
      <c r="SJP90" s="210"/>
      <c r="SJQ90" s="209"/>
      <c r="SJR90" s="204"/>
      <c r="SJS90" s="204"/>
      <c r="SJT90" s="204"/>
      <c r="SJU90" s="199"/>
      <c r="SJV90" s="167"/>
      <c r="SJW90" s="199"/>
      <c r="SJX90" s="200"/>
      <c r="SJY90" s="201"/>
      <c r="SJZ90" s="202"/>
      <c r="SKA90" s="202"/>
      <c r="SKB90" s="202"/>
      <c r="SKC90" s="202"/>
      <c r="SKD90" s="203"/>
      <c r="SKE90" s="204"/>
      <c r="SKF90" s="204"/>
      <c r="SKG90" s="204"/>
      <c r="SKH90" s="205"/>
      <c r="SKI90" s="206"/>
      <c r="SKJ90" s="207"/>
      <c r="SKK90" s="207"/>
      <c r="SKL90" s="208"/>
      <c r="SKM90" s="209"/>
      <c r="SKN90" s="207"/>
      <c r="SKO90" s="210"/>
      <c r="SKP90" s="209"/>
      <c r="SKQ90" s="204"/>
      <c r="SKR90" s="204"/>
      <c r="SKS90" s="204"/>
      <c r="SKT90" s="199"/>
      <c r="SKU90" s="167"/>
      <c r="SKV90" s="199"/>
      <c r="SKW90" s="200"/>
      <c r="SKX90" s="201"/>
      <c r="SKY90" s="202"/>
      <c r="SKZ90" s="202"/>
      <c r="SLA90" s="202"/>
      <c r="SLB90" s="202"/>
      <c r="SLC90" s="203"/>
      <c r="SLD90" s="204"/>
      <c r="SLE90" s="204"/>
      <c r="SLF90" s="204"/>
      <c r="SLG90" s="205"/>
      <c r="SLH90" s="206"/>
      <c r="SLI90" s="207"/>
      <c r="SLJ90" s="207"/>
      <c r="SLK90" s="208"/>
      <c r="SLL90" s="209"/>
      <c r="SLM90" s="207"/>
      <c r="SLN90" s="210"/>
      <c r="SLO90" s="209"/>
      <c r="SLP90" s="204"/>
      <c r="SLQ90" s="204"/>
      <c r="SLR90" s="204"/>
      <c r="SLS90" s="199"/>
      <c r="SLT90" s="167"/>
      <c r="SLU90" s="199"/>
      <c r="SLV90" s="200"/>
      <c r="SLW90" s="201"/>
      <c r="SLX90" s="202"/>
      <c r="SLY90" s="202"/>
      <c r="SLZ90" s="202"/>
      <c r="SMA90" s="202"/>
      <c r="SMB90" s="203"/>
      <c r="SMC90" s="204"/>
      <c r="SMD90" s="204"/>
      <c r="SME90" s="204"/>
      <c r="SMF90" s="205"/>
      <c r="SMG90" s="206"/>
      <c r="SMH90" s="207"/>
      <c r="SMI90" s="207"/>
      <c r="SMJ90" s="208"/>
      <c r="SMK90" s="209"/>
      <c r="SML90" s="207"/>
      <c r="SMM90" s="210"/>
      <c r="SMN90" s="209"/>
      <c r="SMO90" s="204"/>
      <c r="SMP90" s="204"/>
      <c r="SMQ90" s="204"/>
      <c r="SMR90" s="199"/>
      <c r="SMS90" s="167"/>
      <c r="SMT90" s="199"/>
      <c r="SMU90" s="200"/>
      <c r="SMV90" s="201"/>
      <c r="SMW90" s="202"/>
      <c r="SMX90" s="202"/>
      <c r="SMY90" s="202"/>
      <c r="SMZ90" s="202"/>
      <c r="SNA90" s="203"/>
      <c r="SNB90" s="204"/>
      <c r="SNC90" s="204"/>
      <c r="SND90" s="204"/>
      <c r="SNE90" s="205"/>
      <c r="SNF90" s="206"/>
      <c r="SNG90" s="207"/>
      <c r="SNH90" s="207"/>
      <c r="SNI90" s="208"/>
      <c r="SNJ90" s="209"/>
      <c r="SNK90" s="207"/>
      <c r="SNL90" s="210"/>
      <c r="SNM90" s="209"/>
      <c r="SNN90" s="204"/>
      <c r="SNO90" s="204"/>
      <c r="SNP90" s="204"/>
      <c r="SNQ90" s="199"/>
      <c r="SNR90" s="167"/>
      <c r="SNS90" s="199"/>
      <c r="SNT90" s="200"/>
      <c r="SNU90" s="201"/>
      <c r="SNV90" s="202"/>
      <c r="SNW90" s="202"/>
      <c r="SNX90" s="202"/>
      <c r="SNY90" s="202"/>
      <c r="SNZ90" s="203"/>
      <c r="SOA90" s="204"/>
      <c r="SOB90" s="204"/>
      <c r="SOC90" s="204"/>
      <c r="SOD90" s="205"/>
      <c r="SOE90" s="206"/>
      <c r="SOF90" s="207"/>
      <c r="SOG90" s="207"/>
      <c r="SOH90" s="208"/>
      <c r="SOI90" s="209"/>
      <c r="SOJ90" s="207"/>
      <c r="SOK90" s="210"/>
      <c r="SOL90" s="209"/>
      <c r="SOM90" s="204"/>
      <c r="SON90" s="204"/>
      <c r="SOO90" s="204"/>
      <c r="SOP90" s="199"/>
      <c r="SOQ90" s="167"/>
      <c r="SOR90" s="199"/>
      <c r="SOS90" s="200"/>
      <c r="SOT90" s="201"/>
      <c r="SOU90" s="202"/>
      <c r="SOV90" s="202"/>
      <c r="SOW90" s="202"/>
      <c r="SOX90" s="202"/>
      <c r="SOY90" s="203"/>
      <c r="SOZ90" s="204"/>
      <c r="SPA90" s="204"/>
      <c r="SPB90" s="204"/>
      <c r="SPC90" s="205"/>
      <c r="SPD90" s="206"/>
      <c r="SPE90" s="207"/>
      <c r="SPF90" s="207"/>
      <c r="SPG90" s="208"/>
      <c r="SPH90" s="209"/>
      <c r="SPI90" s="207"/>
      <c r="SPJ90" s="210"/>
      <c r="SPK90" s="209"/>
      <c r="SPL90" s="204"/>
      <c r="SPM90" s="204"/>
      <c r="SPN90" s="204"/>
      <c r="SPO90" s="199"/>
      <c r="SPP90" s="167"/>
      <c r="SPQ90" s="199"/>
      <c r="SPR90" s="200"/>
      <c r="SPS90" s="201"/>
      <c r="SPT90" s="202"/>
      <c r="SPU90" s="202"/>
      <c r="SPV90" s="202"/>
      <c r="SPW90" s="202"/>
      <c r="SPX90" s="203"/>
      <c r="SPY90" s="204"/>
      <c r="SPZ90" s="204"/>
      <c r="SQA90" s="204"/>
      <c r="SQB90" s="205"/>
      <c r="SQC90" s="206"/>
      <c r="SQD90" s="207"/>
      <c r="SQE90" s="207"/>
      <c r="SQF90" s="208"/>
      <c r="SQG90" s="209"/>
      <c r="SQH90" s="207"/>
      <c r="SQI90" s="210"/>
      <c r="SQJ90" s="209"/>
      <c r="SQK90" s="204"/>
      <c r="SQL90" s="204"/>
      <c r="SQM90" s="204"/>
      <c r="SQN90" s="199"/>
      <c r="SQO90" s="167"/>
      <c r="SQP90" s="199"/>
      <c r="SQQ90" s="200"/>
      <c r="SQR90" s="201"/>
      <c r="SQS90" s="202"/>
      <c r="SQT90" s="202"/>
      <c r="SQU90" s="202"/>
      <c r="SQV90" s="202"/>
      <c r="SQW90" s="203"/>
      <c r="SQX90" s="204"/>
      <c r="SQY90" s="204"/>
      <c r="SQZ90" s="204"/>
      <c r="SRA90" s="205"/>
      <c r="SRB90" s="206"/>
      <c r="SRC90" s="207"/>
      <c r="SRD90" s="207"/>
      <c r="SRE90" s="208"/>
      <c r="SRF90" s="209"/>
      <c r="SRG90" s="207"/>
      <c r="SRH90" s="210"/>
      <c r="SRI90" s="209"/>
      <c r="SRJ90" s="204"/>
      <c r="SRK90" s="204"/>
      <c r="SRL90" s="204"/>
      <c r="SRM90" s="199"/>
      <c r="SRN90" s="167"/>
      <c r="SRO90" s="199"/>
      <c r="SRP90" s="200"/>
      <c r="SRQ90" s="201"/>
      <c r="SRR90" s="202"/>
      <c r="SRS90" s="202"/>
      <c r="SRT90" s="202"/>
      <c r="SRU90" s="202"/>
      <c r="SRV90" s="203"/>
      <c r="SRW90" s="204"/>
      <c r="SRX90" s="204"/>
      <c r="SRY90" s="204"/>
      <c r="SRZ90" s="205"/>
      <c r="SSA90" s="206"/>
      <c r="SSB90" s="207"/>
      <c r="SSC90" s="207"/>
      <c r="SSD90" s="208"/>
      <c r="SSE90" s="209"/>
      <c r="SSF90" s="207"/>
      <c r="SSG90" s="210"/>
      <c r="SSH90" s="209"/>
      <c r="SSI90" s="204"/>
      <c r="SSJ90" s="204"/>
      <c r="SSK90" s="204"/>
      <c r="SSL90" s="199"/>
      <c r="SSM90" s="167"/>
      <c r="SSN90" s="199"/>
      <c r="SSO90" s="200"/>
      <c r="SSP90" s="201"/>
      <c r="SSQ90" s="202"/>
      <c r="SSR90" s="202"/>
      <c r="SSS90" s="202"/>
      <c r="SST90" s="202"/>
      <c r="SSU90" s="203"/>
      <c r="SSV90" s="204"/>
      <c r="SSW90" s="204"/>
      <c r="SSX90" s="204"/>
      <c r="SSY90" s="205"/>
      <c r="SSZ90" s="206"/>
      <c r="STA90" s="207"/>
      <c r="STB90" s="207"/>
      <c r="STC90" s="208"/>
      <c r="STD90" s="209"/>
      <c r="STE90" s="207"/>
      <c r="STF90" s="210"/>
      <c r="STG90" s="209"/>
      <c r="STH90" s="204"/>
      <c r="STI90" s="204"/>
      <c r="STJ90" s="204"/>
      <c r="STK90" s="199"/>
      <c r="STL90" s="167"/>
      <c r="STM90" s="199"/>
      <c r="STN90" s="200"/>
      <c r="STO90" s="201"/>
      <c r="STP90" s="202"/>
      <c r="STQ90" s="202"/>
      <c r="STR90" s="202"/>
      <c r="STS90" s="202"/>
      <c r="STT90" s="203"/>
      <c r="STU90" s="204"/>
      <c r="STV90" s="204"/>
      <c r="STW90" s="204"/>
      <c r="STX90" s="205"/>
      <c r="STY90" s="206"/>
      <c r="STZ90" s="207"/>
      <c r="SUA90" s="207"/>
      <c r="SUB90" s="208"/>
      <c r="SUC90" s="209"/>
      <c r="SUD90" s="207"/>
      <c r="SUE90" s="210"/>
      <c r="SUF90" s="209"/>
      <c r="SUG90" s="204"/>
      <c r="SUH90" s="204"/>
      <c r="SUI90" s="204"/>
      <c r="SUJ90" s="199"/>
      <c r="SUK90" s="167"/>
      <c r="SUL90" s="199"/>
      <c r="SUM90" s="200"/>
      <c r="SUN90" s="201"/>
      <c r="SUO90" s="202"/>
      <c r="SUP90" s="202"/>
      <c r="SUQ90" s="202"/>
      <c r="SUR90" s="202"/>
      <c r="SUS90" s="203"/>
      <c r="SUT90" s="204"/>
      <c r="SUU90" s="204"/>
      <c r="SUV90" s="204"/>
      <c r="SUW90" s="205"/>
      <c r="SUX90" s="206"/>
      <c r="SUY90" s="207"/>
      <c r="SUZ90" s="207"/>
      <c r="SVA90" s="208"/>
      <c r="SVB90" s="209"/>
      <c r="SVC90" s="207"/>
      <c r="SVD90" s="210"/>
      <c r="SVE90" s="209"/>
      <c r="SVF90" s="204"/>
      <c r="SVG90" s="204"/>
      <c r="SVH90" s="204"/>
      <c r="SVI90" s="199"/>
      <c r="SVJ90" s="167"/>
      <c r="SVK90" s="199"/>
      <c r="SVL90" s="200"/>
      <c r="SVM90" s="201"/>
      <c r="SVN90" s="202"/>
      <c r="SVO90" s="202"/>
      <c r="SVP90" s="202"/>
      <c r="SVQ90" s="202"/>
      <c r="SVR90" s="203"/>
      <c r="SVS90" s="204"/>
      <c r="SVT90" s="204"/>
      <c r="SVU90" s="204"/>
      <c r="SVV90" s="205"/>
      <c r="SVW90" s="206"/>
      <c r="SVX90" s="207"/>
      <c r="SVY90" s="207"/>
      <c r="SVZ90" s="208"/>
      <c r="SWA90" s="209"/>
      <c r="SWB90" s="207"/>
      <c r="SWC90" s="210"/>
      <c r="SWD90" s="209"/>
      <c r="SWE90" s="204"/>
      <c r="SWF90" s="204"/>
      <c r="SWG90" s="204"/>
      <c r="SWH90" s="199"/>
      <c r="SWI90" s="167"/>
      <c r="SWJ90" s="199"/>
      <c r="SWK90" s="200"/>
      <c r="SWL90" s="201"/>
      <c r="SWM90" s="202"/>
      <c r="SWN90" s="202"/>
      <c r="SWO90" s="202"/>
      <c r="SWP90" s="202"/>
      <c r="SWQ90" s="203"/>
      <c r="SWR90" s="204"/>
      <c r="SWS90" s="204"/>
      <c r="SWT90" s="204"/>
      <c r="SWU90" s="205"/>
      <c r="SWV90" s="206"/>
      <c r="SWW90" s="207"/>
      <c r="SWX90" s="207"/>
      <c r="SWY90" s="208"/>
      <c r="SWZ90" s="209"/>
      <c r="SXA90" s="207"/>
      <c r="SXB90" s="210"/>
      <c r="SXC90" s="209"/>
      <c r="SXD90" s="204"/>
      <c r="SXE90" s="204"/>
      <c r="SXF90" s="204"/>
      <c r="SXG90" s="199"/>
      <c r="SXH90" s="167"/>
      <c r="SXI90" s="199"/>
      <c r="SXJ90" s="200"/>
      <c r="SXK90" s="201"/>
      <c r="SXL90" s="202"/>
      <c r="SXM90" s="202"/>
      <c r="SXN90" s="202"/>
      <c r="SXO90" s="202"/>
      <c r="SXP90" s="203"/>
      <c r="SXQ90" s="204"/>
      <c r="SXR90" s="204"/>
      <c r="SXS90" s="204"/>
      <c r="SXT90" s="205"/>
      <c r="SXU90" s="206"/>
      <c r="SXV90" s="207"/>
      <c r="SXW90" s="207"/>
      <c r="SXX90" s="208"/>
      <c r="SXY90" s="209"/>
      <c r="SXZ90" s="207"/>
      <c r="SYA90" s="210"/>
      <c r="SYB90" s="209"/>
      <c r="SYC90" s="204"/>
      <c r="SYD90" s="204"/>
      <c r="SYE90" s="204"/>
      <c r="SYF90" s="199"/>
      <c r="SYG90" s="167"/>
      <c r="SYH90" s="199"/>
      <c r="SYI90" s="200"/>
      <c r="SYJ90" s="201"/>
      <c r="SYK90" s="202"/>
      <c r="SYL90" s="202"/>
      <c r="SYM90" s="202"/>
      <c r="SYN90" s="202"/>
      <c r="SYO90" s="203"/>
      <c r="SYP90" s="204"/>
      <c r="SYQ90" s="204"/>
      <c r="SYR90" s="204"/>
      <c r="SYS90" s="205"/>
      <c r="SYT90" s="206"/>
      <c r="SYU90" s="207"/>
      <c r="SYV90" s="207"/>
      <c r="SYW90" s="208"/>
      <c r="SYX90" s="209"/>
      <c r="SYY90" s="207"/>
      <c r="SYZ90" s="210"/>
      <c r="SZA90" s="209"/>
      <c r="SZB90" s="204"/>
      <c r="SZC90" s="204"/>
      <c r="SZD90" s="204"/>
      <c r="SZE90" s="199"/>
      <c r="SZF90" s="167"/>
      <c r="SZG90" s="199"/>
      <c r="SZH90" s="200"/>
      <c r="SZI90" s="201"/>
      <c r="SZJ90" s="202"/>
      <c r="SZK90" s="202"/>
      <c r="SZL90" s="202"/>
      <c r="SZM90" s="202"/>
      <c r="SZN90" s="203"/>
      <c r="SZO90" s="204"/>
      <c r="SZP90" s="204"/>
      <c r="SZQ90" s="204"/>
      <c r="SZR90" s="205"/>
      <c r="SZS90" s="206"/>
      <c r="SZT90" s="207"/>
      <c r="SZU90" s="207"/>
      <c r="SZV90" s="208"/>
      <c r="SZW90" s="209"/>
      <c r="SZX90" s="207"/>
      <c r="SZY90" s="210"/>
      <c r="SZZ90" s="209"/>
      <c r="TAA90" s="204"/>
      <c r="TAB90" s="204"/>
      <c r="TAC90" s="204"/>
      <c r="TAD90" s="199"/>
      <c r="TAE90" s="167"/>
      <c r="TAF90" s="199"/>
      <c r="TAG90" s="200"/>
      <c r="TAH90" s="201"/>
      <c r="TAI90" s="202"/>
      <c r="TAJ90" s="202"/>
      <c r="TAK90" s="202"/>
      <c r="TAL90" s="202"/>
      <c r="TAM90" s="203"/>
      <c r="TAN90" s="204"/>
      <c r="TAO90" s="204"/>
      <c r="TAP90" s="204"/>
      <c r="TAQ90" s="205"/>
      <c r="TAR90" s="206"/>
      <c r="TAS90" s="207"/>
      <c r="TAT90" s="207"/>
      <c r="TAU90" s="208"/>
      <c r="TAV90" s="209"/>
      <c r="TAW90" s="207"/>
      <c r="TAX90" s="210"/>
      <c r="TAY90" s="209"/>
      <c r="TAZ90" s="204"/>
      <c r="TBA90" s="204"/>
      <c r="TBB90" s="204"/>
      <c r="TBC90" s="199"/>
      <c r="TBD90" s="167"/>
      <c r="TBE90" s="199"/>
      <c r="TBF90" s="200"/>
      <c r="TBG90" s="201"/>
      <c r="TBH90" s="202"/>
      <c r="TBI90" s="202"/>
      <c r="TBJ90" s="202"/>
      <c r="TBK90" s="202"/>
      <c r="TBL90" s="203"/>
      <c r="TBM90" s="204"/>
      <c r="TBN90" s="204"/>
      <c r="TBO90" s="204"/>
      <c r="TBP90" s="205"/>
      <c r="TBQ90" s="206"/>
      <c r="TBR90" s="207"/>
      <c r="TBS90" s="207"/>
      <c r="TBT90" s="208"/>
      <c r="TBU90" s="209"/>
      <c r="TBV90" s="207"/>
      <c r="TBW90" s="210"/>
      <c r="TBX90" s="209"/>
      <c r="TBY90" s="204"/>
      <c r="TBZ90" s="204"/>
      <c r="TCA90" s="204"/>
      <c r="TCB90" s="199"/>
      <c r="TCC90" s="167"/>
      <c r="TCD90" s="199"/>
      <c r="TCE90" s="200"/>
      <c r="TCF90" s="201"/>
      <c r="TCG90" s="202"/>
      <c r="TCH90" s="202"/>
      <c r="TCI90" s="202"/>
      <c r="TCJ90" s="202"/>
      <c r="TCK90" s="203"/>
      <c r="TCL90" s="204"/>
      <c r="TCM90" s="204"/>
      <c r="TCN90" s="204"/>
      <c r="TCO90" s="205"/>
      <c r="TCP90" s="206"/>
      <c r="TCQ90" s="207"/>
      <c r="TCR90" s="207"/>
      <c r="TCS90" s="208"/>
      <c r="TCT90" s="209"/>
      <c r="TCU90" s="207"/>
      <c r="TCV90" s="210"/>
      <c r="TCW90" s="209"/>
      <c r="TCX90" s="204"/>
      <c r="TCY90" s="204"/>
      <c r="TCZ90" s="204"/>
      <c r="TDA90" s="199"/>
      <c r="TDB90" s="167"/>
      <c r="TDC90" s="199"/>
      <c r="TDD90" s="200"/>
      <c r="TDE90" s="201"/>
      <c r="TDF90" s="202"/>
      <c r="TDG90" s="202"/>
      <c r="TDH90" s="202"/>
      <c r="TDI90" s="202"/>
      <c r="TDJ90" s="203"/>
      <c r="TDK90" s="204"/>
      <c r="TDL90" s="204"/>
      <c r="TDM90" s="204"/>
      <c r="TDN90" s="205"/>
      <c r="TDO90" s="206"/>
      <c r="TDP90" s="207"/>
      <c r="TDQ90" s="207"/>
      <c r="TDR90" s="208"/>
      <c r="TDS90" s="209"/>
      <c r="TDT90" s="207"/>
      <c r="TDU90" s="210"/>
      <c r="TDV90" s="209"/>
      <c r="TDW90" s="204"/>
      <c r="TDX90" s="204"/>
      <c r="TDY90" s="204"/>
      <c r="TDZ90" s="199"/>
      <c r="TEA90" s="167"/>
      <c r="TEB90" s="199"/>
      <c r="TEC90" s="200"/>
      <c r="TED90" s="201"/>
      <c r="TEE90" s="202"/>
      <c r="TEF90" s="202"/>
      <c r="TEG90" s="202"/>
      <c r="TEH90" s="202"/>
      <c r="TEI90" s="203"/>
      <c r="TEJ90" s="204"/>
      <c r="TEK90" s="204"/>
      <c r="TEL90" s="204"/>
      <c r="TEM90" s="205"/>
      <c r="TEN90" s="206"/>
      <c r="TEO90" s="207"/>
      <c r="TEP90" s="207"/>
      <c r="TEQ90" s="208"/>
      <c r="TER90" s="209"/>
      <c r="TES90" s="207"/>
      <c r="TET90" s="210"/>
      <c r="TEU90" s="209"/>
      <c r="TEV90" s="204"/>
      <c r="TEW90" s="204"/>
      <c r="TEX90" s="204"/>
      <c r="TEY90" s="199"/>
      <c r="TEZ90" s="167"/>
      <c r="TFA90" s="199"/>
      <c r="TFB90" s="200"/>
      <c r="TFC90" s="201"/>
      <c r="TFD90" s="202"/>
      <c r="TFE90" s="202"/>
      <c r="TFF90" s="202"/>
      <c r="TFG90" s="202"/>
      <c r="TFH90" s="203"/>
      <c r="TFI90" s="204"/>
      <c r="TFJ90" s="204"/>
      <c r="TFK90" s="204"/>
      <c r="TFL90" s="205"/>
      <c r="TFM90" s="206"/>
      <c r="TFN90" s="207"/>
      <c r="TFO90" s="207"/>
      <c r="TFP90" s="208"/>
      <c r="TFQ90" s="209"/>
      <c r="TFR90" s="207"/>
      <c r="TFS90" s="210"/>
      <c r="TFT90" s="209"/>
      <c r="TFU90" s="204"/>
      <c r="TFV90" s="204"/>
      <c r="TFW90" s="204"/>
      <c r="TFX90" s="199"/>
      <c r="TFY90" s="167"/>
      <c r="TFZ90" s="199"/>
      <c r="TGA90" s="200"/>
      <c r="TGB90" s="201"/>
      <c r="TGC90" s="202"/>
      <c r="TGD90" s="202"/>
      <c r="TGE90" s="202"/>
      <c r="TGF90" s="202"/>
      <c r="TGG90" s="203"/>
      <c r="TGH90" s="204"/>
      <c r="TGI90" s="204"/>
      <c r="TGJ90" s="204"/>
      <c r="TGK90" s="205"/>
      <c r="TGL90" s="206"/>
      <c r="TGM90" s="207"/>
      <c r="TGN90" s="207"/>
      <c r="TGO90" s="208"/>
      <c r="TGP90" s="209"/>
      <c r="TGQ90" s="207"/>
      <c r="TGR90" s="210"/>
      <c r="TGS90" s="209"/>
      <c r="TGT90" s="204"/>
      <c r="TGU90" s="204"/>
      <c r="TGV90" s="204"/>
      <c r="TGW90" s="199"/>
      <c r="TGX90" s="167"/>
      <c r="TGY90" s="199"/>
      <c r="TGZ90" s="200"/>
      <c r="THA90" s="201"/>
      <c r="THB90" s="202"/>
      <c r="THC90" s="202"/>
      <c r="THD90" s="202"/>
      <c r="THE90" s="202"/>
      <c r="THF90" s="203"/>
      <c r="THG90" s="204"/>
      <c r="THH90" s="204"/>
      <c r="THI90" s="204"/>
      <c r="THJ90" s="205"/>
      <c r="THK90" s="206"/>
      <c r="THL90" s="207"/>
      <c r="THM90" s="207"/>
      <c r="THN90" s="208"/>
      <c r="THO90" s="209"/>
      <c r="THP90" s="207"/>
      <c r="THQ90" s="210"/>
      <c r="THR90" s="209"/>
      <c r="THS90" s="204"/>
      <c r="THT90" s="204"/>
      <c r="THU90" s="204"/>
      <c r="THV90" s="199"/>
      <c r="THW90" s="167"/>
      <c r="THX90" s="199"/>
      <c r="THY90" s="200"/>
      <c r="THZ90" s="201"/>
      <c r="TIA90" s="202"/>
      <c r="TIB90" s="202"/>
      <c r="TIC90" s="202"/>
      <c r="TID90" s="202"/>
      <c r="TIE90" s="203"/>
      <c r="TIF90" s="204"/>
      <c r="TIG90" s="204"/>
      <c r="TIH90" s="204"/>
      <c r="TII90" s="205"/>
      <c r="TIJ90" s="206"/>
      <c r="TIK90" s="207"/>
      <c r="TIL90" s="207"/>
      <c r="TIM90" s="208"/>
      <c r="TIN90" s="209"/>
      <c r="TIO90" s="207"/>
      <c r="TIP90" s="210"/>
      <c r="TIQ90" s="209"/>
      <c r="TIR90" s="204"/>
      <c r="TIS90" s="204"/>
      <c r="TIT90" s="204"/>
      <c r="TIU90" s="199"/>
      <c r="TIV90" s="167"/>
      <c r="TIW90" s="199"/>
      <c r="TIX90" s="200"/>
      <c r="TIY90" s="201"/>
      <c r="TIZ90" s="202"/>
      <c r="TJA90" s="202"/>
      <c r="TJB90" s="202"/>
      <c r="TJC90" s="202"/>
      <c r="TJD90" s="203"/>
      <c r="TJE90" s="204"/>
      <c r="TJF90" s="204"/>
      <c r="TJG90" s="204"/>
      <c r="TJH90" s="205"/>
      <c r="TJI90" s="206"/>
      <c r="TJJ90" s="207"/>
      <c r="TJK90" s="207"/>
      <c r="TJL90" s="208"/>
      <c r="TJM90" s="209"/>
      <c r="TJN90" s="207"/>
      <c r="TJO90" s="210"/>
      <c r="TJP90" s="209"/>
      <c r="TJQ90" s="204"/>
      <c r="TJR90" s="204"/>
      <c r="TJS90" s="204"/>
      <c r="TJT90" s="199"/>
      <c r="TJU90" s="167"/>
      <c r="TJV90" s="199"/>
      <c r="TJW90" s="200"/>
      <c r="TJX90" s="201"/>
      <c r="TJY90" s="202"/>
      <c r="TJZ90" s="202"/>
      <c r="TKA90" s="202"/>
      <c r="TKB90" s="202"/>
      <c r="TKC90" s="203"/>
      <c r="TKD90" s="204"/>
      <c r="TKE90" s="204"/>
      <c r="TKF90" s="204"/>
      <c r="TKG90" s="205"/>
      <c r="TKH90" s="206"/>
      <c r="TKI90" s="207"/>
      <c r="TKJ90" s="207"/>
      <c r="TKK90" s="208"/>
      <c r="TKL90" s="209"/>
      <c r="TKM90" s="207"/>
      <c r="TKN90" s="210"/>
      <c r="TKO90" s="209"/>
      <c r="TKP90" s="204"/>
      <c r="TKQ90" s="204"/>
      <c r="TKR90" s="204"/>
      <c r="TKS90" s="199"/>
      <c r="TKT90" s="167"/>
      <c r="TKU90" s="199"/>
      <c r="TKV90" s="200"/>
      <c r="TKW90" s="201"/>
      <c r="TKX90" s="202"/>
      <c r="TKY90" s="202"/>
      <c r="TKZ90" s="202"/>
      <c r="TLA90" s="202"/>
      <c r="TLB90" s="203"/>
      <c r="TLC90" s="204"/>
      <c r="TLD90" s="204"/>
      <c r="TLE90" s="204"/>
      <c r="TLF90" s="205"/>
      <c r="TLG90" s="206"/>
      <c r="TLH90" s="207"/>
      <c r="TLI90" s="207"/>
      <c r="TLJ90" s="208"/>
      <c r="TLK90" s="209"/>
      <c r="TLL90" s="207"/>
      <c r="TLM90" s="210"/>
      <c r="TLN90" s="209"/>
      <c r="TLO90" s="204"/>
      <c r="TLP90" s="204"/>
      <c r="TLQ90" s="204"/>
      <c r="TLR90" s="199"/>
      <c r="TLS90" s="167"/>
      <c r="TLT90" s="199"/>
      <c r="TLU90" s="200"/>
      <c r="TLV90" s="201"/>
      <c r="TLW90" s="202"/>
      <c r="TLX90" s="202"/>
      <c r="TLY90" s="202"/>
      <c r="TLZ90" s="202"/>
      <c r="TMA90" s="203"/>
      <c r="TMB90" s="204"/>
      <c r="TMC90" s="204"/>
      <c r="TMD90" s="204"/>
      <c r="TME90" s="205"/>
      <c r="TMF90" s="206"/>
      <c r="TMG90" s="207"/>
      <c r="TMH90" s="207"/>
      <c r="TMI90" s="208"/>
      <c r="TMJ90" s="209"/>
      <c r="TMK90" s="207"/>
      <c r="TML90" s="210"/>
      <c r="TMM90" s="209"/>
      <c r="TMN90" s="204"/>
      <c r="TMO90" s="204"/>
      <c r="TMP90" s="204"/>
      <c r="TMQ90" s="199"/>
      <c r="TMR90" s="167"/>
      <c r="TMS90" s="199"/>
      <c r="TMT90" s="200"/>
      <c r="TMU90" s="201"/>
      <c r="TMV90" s="202"/>
      <c r="TMW90" s="202"/>
      <c r="TMX90" s="202"/>
      <c r="TMY90" s="202"/>
      <c r="TMZ90" s="203"/>
      <c r="TNA90" s="204"/>
      <c r="TNB90" s="204"/>
      <c r="TNC90" s="204"/>
      <c r="TND90" s="205"/>
      <c r="TNE90" s="206"/>
      <c r="TNF90" s="207"/>
      <c r="TNG90" s="207"/>
      <c r="TNH90" s="208"/>
      <c r="TNI90" s="209"/>
      <c r="TNJ90" s="207"/>
      <c r="TNK90" s="210"/>
      <c r="TNL90" s="209"/>
      <c r="TNM90" s="204"/>
      <c r="TNN90" s="204"/>
      <c r="TNO90" s="204"/>
      <c r="TNP90" s="199"/>
      <c r="TNQ90" s="167"/>
      <c r="TNR90" s="199"/>
      <c r="TNS90" s="200"/>
      <c r="TNT90" s="201"/>
      <c r="TNU90" s="202"/>
      <c r="TNV90" s="202"/>
      <c r="TNW90" s="202"/>
      <c r="TNX90" s="202"/>
      <c r="TNY90" s="203"/>
      <c r="TNZ90" s="204"/>
      <c r="TOA90" s="204"/>
      <c r="TOB90" s="204"/>
      <c r="TOC90" s="205"/>
      <c r="TOD90" s="206"/>
      <c r="TOE90" s="207"/>
      <c r="TOF90" s="207"/>
      <c r="TOG90" s="208"/>
      <c r="TOH90" s="209"/>
      <c r="TOI90" s="207"/>
      <c r="TOJ90" s="210"/>
      <c r="TOK90" s="209"/>
      <c r="TOL90" s="204"/>
      <c r="TOM90" s="204"/>
      <c r="TON90" s="204"/>
      <c r="TOO90" s="199"/>
      <c r="TOP90" s="167"/>
      <c r="TOQ90" s="199"/>
      <c r="TOR90" s="200"/>
      <c r="TOS90" s="201"/>
      <c r="TOT90" s="202"/>
      <c r="TOU90" s="202"/>
      <c r="TOV90" s="202"/>
      <c r="TOW90" s="202"/>
      <c r="TOX90" s="203"/>
      <c r="TOY90" s="204"/>
      <c r="TOZ90" s="204"/>
      <c r="TPA90" s="204"/>
      <c r="TPB90" s="205"/>
      <c r="TPC90" s="206"/>
      <c r="TPD90" s="207"/>
      <c r="TPE90" s="207"/>
      <c r="TPF90" s="208"/>
      <c r="TPG90" s="209"/>
      <c r="TPH90" s="207"/>
      <c r="TPI90" s="210"/>
      <c r="TPJ90" s="209"/>
      <c r="TPK90" s="204"/>
      <c r="TPL90" s="204"/>
      <c r="TPM90" s="204"/>
      <c r="TPN90" s="199"/>
      <c r="TPO90" s="167"/>
      <c r="TPP90" s="199"/>
      <c r="TPQ90" s="200"/>
      <c r="TPR90" s="201"/>
      <c r="TPS90" s="202"/>
      <c r="TPT90" s="202"/>
      <c r="TPU90" s="202"/>
      <c r="TPV90" s="202"/>
      <c r="TPW90" s="203"/>
      <c r="TPX90" s="204"/>
      <c r="TPY90" s="204"/>
      <c r="TPZ90" s="204"/>
      <c r="TQA90" s="205"/>
      <c r="TQB90" s="206"/>
      <c r="TQC90" s="207"/>
      <c r="TQD90" s="207"/>
      <c r="TQE90" s="208"/>
      <c r="TQF90" s="209"/>
      <c r="TQG90" s="207"/>
      <c r="TQH90" s="210"/>
      <c r="TQI90" s="209"/>
      <c r="TQJ90" s="204"/>
      <c r="TQK90" s="204"/>
      <c r="TQL90" s="204"/>
      <c r="TQM90" s="199"/>
      <c r="TQN90" s="167"/>
      <c r="TQO90" s="199"/>
      <c r="TQP90" s="200"/>
      <c r="TQQ90" s="201"/>
      <c r="TQR90" s="202"/>
      <c r="TQS90" s="202"/>
      <c r="TQT90" s="202"/>
      <c r="TQU90" s="202"/>
      <c r="TQV90" s="203"/>
      <c r="TQW90" s="204"/>
      <c r="TQX90" s="204"/>
      <c r="TQY90" s="204"/>
      <c r="TQZ90" s="205"/>
      <c r="TRA90" s="206"/>
      <c r="TRB90" s="207"/>
      <c r="TRC90" s="207"/>
      <c r="TRD90" s="208"/>
      <c r="TRE90" s="209"/>
      <c r="TRF90" s="207"/>
      <c r="TRG90" s="210"/>
      <c r="TRH90" s="209"/>
      <c r="TRI90" s="204"/>
      <c r="TRJ90" s="204"/>
      <c r="TRK90" s="204"/>
      <c r="TRL90" s="199"/>
      <c r="TRM90" s="167"/>
      <c r="TRN90" s="199"/>
      <c r="TRO90" s="200"/>
      <c r="TRP90" s="201"/>
      <c r="TRQ90" s="202"/>
      <c r="TRR90" s="202"/>
      <c r="TRS90" s="202"/>
      <c r="TRT90" s="202"/>
      <c r="TRU90" s="203"/>
      <c r="TRV90" s="204"/>
      <c r="TRW90" s="204"/>
      <c r="TRX90" s="204"/>
      <c r="TRY90" s="205"/>
      <c r="TRZ90" s="206"/>
      <c r="TSA90" s="207"/>
      <c r="TSB90" s="207"/>
      <c r="TSC90" s="208"/>
      <c r="TSD90" s="209"/>
      <c r="TSE90" s="207"/>
      <c r="TSF90" s="210"/>
      <c r="TSG90" s="209"/>
      <c r="TSH90" s="204"/>
      <c r="TSI90" s="204"/>
      <c r="TSJ90" s="204"/>
      <c r="TSK90" s="199"/>
      <c r="TSL90" s="167"/>
      <c r="TSM90" s="199"/>
      <c r="TSN90" s="200"/>
      <c r="TSO90" s="201"/>
      <c r="TSP90" s="202"/>
      <c r="TSQ90" s="202"/>
      <c r="TSR90" s="202"/>
      <c r="TSS90" s="202"/>
      <c r="TST90" s="203"/>
      <c r="TSU90" s="204"/>
      <c r="TSV90" s="204"/>
      <c r="TSW90" s="204"/>
      <c r="TSX90" s="205"/>
      <c r="TSY90" s="206"/>
      <c r="TSZ90" s="207"/>
      <c r="TTA90" s="207"/>
      <c r="TTB90" s="208"/>
      <c r="TTC90" s="209"/>
      <c r="TTD90" s="207"/>
      <c r="TTE90" s="210"/>
      <c r="TTF90" s="209"/>
      <c r="TTG90" s="204"/>
      <c r="TTH90" s="204"/>
      <c r="TTI90" s="204"/>
      <c r="TTJ90" s="199"/>
      <c r="TTK90" s="167"/>
      <c r="TTL90" s="199"/>
      <c r="TTM90" s="200"/>
      <c r="TTN90" s="201"/>
      <c r="TTO90" s="202"/>
      <c r="TTP90" s="202"/>
      <c r="TTQ90" s="202"/>
      <c r="TTR90" s="202"/>
      <c r="TTS90" s="203"/>
      <c r="TTT90" s="204"/>
      <c r="TTU90" s="204"/>
      <c r="TTV90" s="204"/>
      <c r="TTW90" s="205"/>
      <c r="TTX90" s="206"/>
      <c r="TTY90" s="207"/>
      <c r="TTZ90" s="207"/>
      <c r="TUA90" s="208"/>
      <c r="TUB90" s="209"/>
      <c r="TUC90" s="207"/>
      <c r="TUD90" s="210"/>
      <c r="TUE90" s="209"/>
      <c r="TUF90" s="204"/>
      <c r="TUG90" s="204"/>
      <c r="TUH90" s="204"/>
      <c r="TUI90" s="199"/>
      <c r="TUJ90" s="167"/>
      <c r="TUK90" s="199"/>
      <c r="TUL90" s="200"/>
      <c r="TUM90" s="201"/>
      <c r="TUN90" s="202"/>
      <c r="TUO90" s="202"/>
      <c r="TUP90" s="202"/>
      <c r="TUQ90" s="202"/>
      <c r="TUR90" s="203"/>
      <c r="TUS90" s="204"/>
      <c r="TUT90" s="204"/>
      <c r="TUU90" s="204"/>
      <c r="TUV90" s="205"/>
      <c r="TUW90" s="206"/>
      <c r="TUX90" s="207"/>
      <c r="TUY90" s="207"/>
      <c r="TUZ90" s="208"/>
      <c r="TVA90" s="209"/>
      <c r="TVB90" s="207"/>
      <c r="TVC90" s="210"/>
      <c r="TVD90" s="209"/>
      <c r="TVE90" s="204"/>
      <c r="TVF90" s="204"/>
      <c r="TVG90" s="204"/>
      <c r="TVH90" s="199"/>
      <c r="TVI90" s="167"/>
      <c r="TVJ90" s="199"/>
      <c r="TVK90" s="200"/>
      <c r="TVL90" s="201"/>
      <c r="TVM90" s="202"/>
      <c r="TVN90" s="202"/>
      <c r="TVO90" s="202"/>
      <c r="TVP90" s="202"/>
      <c r="TVQ90" s="203"/>
      <c r="TVR90" s="204"/>
      <c r="TVS90" s="204"/>
      <c r="TVT90" s="204"/>
      <c r="TVU90" s="205"/>
      <c r="TVV90" s="206"/>
      <c r="TVW90" s="207"/>
      <c r="TVX90" s="207"/>
      <c r="TVY90" s="208"/>
      <c r="TVZ90" s="209"/>
      <c r="TWA90" s="207"/>
      <c r="TWB90" s="210"/>
      <c r="TWC90" s="209"/>
      <c r="TWD90" s="204"/>
      <c r="TWE90" s="204"/>
      <c r="TWF90" s="204"/>
      <c r="TWG90" s="199"/>
      <c r="TWH90" s="167"/>
      <c r="TWI90" s="199"/>
      <c r="TWJ90" s="200"/>
      <c r="TWK90" s="201"/>
      <c r="TWL90" s="202"/>
      <c r="TWM90" s="202"/>
      <c r="TWN90" s="202"/>
      <c r="TWO90" s="202"/>
      <c r="TWP90" s="203"/>
      <c r="TWQ90" s="204"/>
      <c r="TWR90" s="204"/>
      <c r="TWS90" s="204"/>
      <c r="TWT90" s="205"/>
      <c r="TWU90" s="206"/>
      <c r="TWV90" s="207"/>
      <c r="TWW90" s="207"/>
      <c r="TWX90" s="208"/>
      <c r="TWY90" s="209"/>
      <c r="TWZ90" s="207"/>
      <c r="TXA90" s="210"/>
      <c r="TXB90" s="209"/>
      <c r="TXC90" s="204"/>
      <c r="TXD90" s="204"/>
      <c r="TXE90" s="204"/>
      <c r="TXF90" s="199"/>
      <c r="TXG90" s="167"/>
      <c r="TXH90" s="199"/>
      <c r="TXI90" s="200"/>
      <c r="TXJ90" s="201"/>
      <c r="TXK90" s="202"/>
      <c r="TXL90" s="202"/>
      <c r="TXM90" s="202"/>
      <c r="TXN90" s="202"/>
      <c r="TXO90" s="203"/>
      <c r="TXP90" s="204"/>
      <c r="TXQ90" s="204"/>
      <c r="TXR90" s="204"/>
      <c r="TXS90" s="205"/>
      <c r="TXT90" s="206"/>
      <c r="TXU90" s="207"/>
      <c r="TXV90" s="207"/>
      <c r="TXW90" s="208"/>
      <c r="TXX90" s="209"/>
      <c r="TXY90" s="207"/>
      <c r="TXZ90" s="210"/>
      <c r="TYA90" s="209"/>
      <c r="TYB90" s="204"/>
      <c r="TYC90" s="204"/>
      <c r="TYD90" s="204"/>
      <c r="TYE90" s="199"/>
      <c r="TYF90" s="167"/>
      <c r="TYG90" s="199"/>
      <c r="TYH90" s="200"/>
      <c r="TYI90" s="201"/>
      <c r="TYJ90" s="202"/>
      <c r="TYK90" s="202"/>
      <c r="TYL90" s="202"/>
      <c r="TYM90" s="202"/>
      <c r="TYN90" s="203"/>
      <c r="TYO90" s="204"/>
      <c r="TYP90" s="204"/>
      <c r="TYQ90" s="204"/>
      <c r="TYR90" s="205"/>
      <c r="TYS90" s="206"/>
      <c r="TYT90" s="207"/>
      <c r="TYU90" s="207"/>
      <c r="TYV90" s="208"/>
      <c r="TYW90" s="209"/>
      <c r="TYX90" s="207"/>
      <c r="TYY90" s="210"/>
      <c r="TYZ90" s="209"/>
      <c r="TZA90" s="204"/>
      <c r="TZB90" s="204"/>
      <c r="TZC90" s="204"/>
      <c r="TZD90" s="199"/>
      <c r="TZE90" s="167"/>
      <c r="TZF90" s="199"/>
      <c r="TZG90" s="200"/>
      <c r="TZH90" s="201"/>
      <c r="TZI90" s="202"/>
      <c r="TZJ90" s="202"/>
      <c r="TZK90" s="202"/>
      <c r="TZL90" s="202"/>
      <c r="TZM90" s="203"/>
      <c r="TZN90" s="204"/>
      <c r="TZO90" s="204"/>
      <c r="TZP90" s="204"/>
      <c r="TZQ90" s="205"/>
      <c r="TZR90" s="206"/>
      <c r="TZS90" s="207"/>
      <c r="TZT90" s="207"/>
      <c r="TZU90" s="208"/>
      <c r="TZV90" s="209"/>
      <c r="TZW90" s="207"/>
      <c r="TZX90" s="210"/>
      <c r="TZY90" s="209"/>
      <c r="TZZ90" s="204"/>
      <c r="UAA90" s="204"/>
      <c r="UAB90" s="204"/>
      <c r="UAC90" s="199"/>
      <c r="UAD90" s="167"/>
      <c r="UAE90" s="199"/>
      <c r="UAF90" s="200"/>
      <c r="UAG90" s="201"/>
      <c r="UAH90" s="202"/>
      <c r="UAI90" s="202"/>
      <c r="UAJ90" s="202"/>
      <c r="UAK90" s="202"/>
      <c r="UAL90" s="203"/>
      <c r="UAM90" s="204"/>
      <c r="UAN90" s="204"/>
      <c r="UAO90" s="204"/>
      <c r="UAP90" s="205"/>
      <c r="UAQ90" s="206"/>
      <c r="UAR90" s="207"/>
      <c r="UAS90" s="207"/>
      <c r="UAT90" s="208"/>
      <c r="UAU90" s="209"/>
      <c r="UAV90" s="207"/>
      <c r="UAW90" s="210"/>
      <c r="UAX90" s="209"/>
      <c r="UAY90" s="204"/>
      <c r="UAZ90" s="204"/>
      <c r="UBA90" s="204"/>
      <c r="UBB90" s="199"/>
      <c r="UBC90" s="167"/>
      <c r="UBD90" s="199"/>
      <c r="UBE90" s="200"/>
      <c r="UBF90" s="201"/>
      <c r="UBG90" s="202"/>
      <c r="UBH90" s="202"/>
      <c r="UBI90" s="202"/>
      <c r="UBJ90" s="202"/>
      <c r="UBK90" s="203"/>
      <c r="UBL90" s="204"/>
      <c r="UBM90" s="204"/>
      <c r="UBN90" s="204"/>
      <c r="UBO90" s="205"/>
      <c r="UBP90" s="206"/>
      <c r="UBQ90" s="207"/>
      <c r="UBR90" s="207"/>
      <c r="UBS90" s="208"/>
      <c r="UBT90" s="209"/>
      <c r="UBU90" s="207"/>
      <c r="UBV90" s="210"/>
      <c r="UBW90" s="209"/>
      <c r="UBX90" s="204"/>
      <c r="UBY90" s="204"/>
      <c r="UBZ90" s="204"/>
      <c r="UCA90" s="199"/>
      <c r="UCB90" s="167"/>
      <c r="UCC90" s="199"/>
      <c r="UCD90" s="200"/>
      <c r="UCE90" s="201"/>
      <c r="UCF90" s="202"/>
      <c r="UCG90" s="202"/>
      <c r="UCH90" s="202"/>
      <c r="UCI90" s="202"/>
      <c r="UCJ90" s="203"/>
      <c r="UCK90" s="204"/>
      <c r="UCL90" s="204"/>
      <c r="UCM90" s="204"/>
      <c r="UCN90" s="205"/>
      <c r="UCO90" s="206"/>
      <c r="UCP90" s="207"/>
      <c r="UCQ90" s="207"/>
      <c r="UCR90" s="208"/>
      <c r="UCS90" s="209"/>
      <c r="UCT90" s="207"/>
      <c r="UCU90" s="210"/>
      <c r="UCV90" s="209"/>
      <c r="UCW90" s="204"/>
      <c r="UCX90" s="204"/>
      <c r="UCY90" s="204"/>
      <c r="UCZ90" s="199"/>
      <c r="UDA90" s="167"/>
      <c r="UDB90" s="199"/>
      <c r="UDC90" s="200"/>
      <c r="UDD90" s="201"/>
      <c r="UDE90" s="202"/>
      <c r="UDF90" s="202"/>
      <c r="UDG90" s="202"/>
      <c r="UDH90" s="202"/>
      <c r="UDI90" s="203"/>
      <c r="UDJ90" s="204"/>
      <c r="UDK90" s="204"/>
      <c r="UDL90" s="204"/>
      <c r="UDM90" s="205"/>
      <c r="UDN90" s="206"/>
      <c r="UDO90" s="207"/>
      <c r="UDP90" s="207"/>
      <c r="UDQ90" s="208"/>
      <c r="UDR90" s="209"/>
      <c r="UDS90" s="207"/>
      <c r="UDT90" s="210"/>
      <c r="UDU90" s="209"/>
      <c r="UDV90" s="204"/>
      <c r="UDW90" s="204"/>
      <c r="UDX90" s="204"/>
      <c r="UDY90" s="199"/>
      <c r="UDZ90" s="167"/>
      <c r="UEA90" s="199"/>
      <c r="UEB90" s="200"/>
      <c r="UEC90" s="201"/>
      <c r="UED90" s="202"/>
      <c r="UEE90" s="202"/>
      <c r="UEF90" s="202"/>
      <c r="UEG90" s="202"/>
      <c r="UEH90" s="203"/>
      <c r="UEI90" s="204"/>
      <c r="UEJ90" s="204"/>
      <c r="UEK90" s="204"/>
      <c r="UEL90" s="205"/>
      <c r="UEM90" s="206"/>
      <c r="UEN90" s="207"/>
      <c r="UEO90" s="207"/>
      <c r="UEP90" s="208"/>
      <c r="UEQ90" s="209"/>
      <c r="UER90" s="207"/>
      <c r="UES90" s="210"/>
      <c r="UET90" s="209"/>
      <c r="UEU90" s="204"/>
      <c r="UEV90" s="204"/>
      <c r="UEW90" s="204"/>
      <c r="UEX90" s="199"/>
      <c r="UEY90" s="167"/>
      <c r="UEZ90" s="199"/>
      <c r="UFA90" s="200"/>
      <c r="UFB90" s="201"/>
      <c r="UFC90" s="202"/>
      <c r="UFD90" s="202"/>
      <c r="UFE90" s="202"/>
      <c r="UFF90" s="202"/>
      <c r="UFG90" s="203"/>
      <c r="UFH90" s="204"/>
      <c r="UFI90" s="204"/>
      <c r="UFJ90" s="204"/>
      <c r="UFK90" s="205"/>
      <c r="UFL90" s="206"/>
      <c r="UFM90" s="207"/>
      <c r="UFN90" s="207"/>
      <c r="UFO90" s="208"/>
      <c r="UFP90" s="209"/>
      <c r="UFQ90" s="207"/>
      <c r="UFR90" s="210"/>
      <c r="UFS90" s="209"/>
      <c r="UFT90" s="204"/>
      <c r="UFU90" s="204"/>
      <c r="UFV90" s="204"/>
      <c r="UFW90" s="199"/>
      <c r="UFX90" s="167"/>
      <c r="UFY90" s="199"/>
      <c r="UFZ90" s="200"/>
      <c r="UGA90" s="201"/>
      <c r="UGB90" s="202"/>
      <c r="UGC90" s="202"/>
      <c r="UGD90" s="202"/>
      <c r="UGE90" s="202"/>
      <c r="UGF90" s="203"/>
      <c r="UGG90" s="204"/>
      <c r="UGH90" s="204"/>
      <c r="UGI90" s="204"/>
      <c r="UGJ90" s="205"/>
      <c r="UGK90" s="206"/>
      <c r="UGL90" s="207"/>
      <c r="UGM90" s="207"/>
      <c r="UGN90" s="208"/>
      <c r="UGO90" s="209"/>
      <c r="UGP90" s="207"/>
      <c r="UGQ90" s="210"/>
      <c r="UGR90" s="209"/>
      <c r="UGS90" s="204"/>
      <c r="UGT90" s="204"/>
      <c r="UGU90" s="204"/>
      <c r="UGV90" s="199"/>
      <c r="UGW90" s="167"/>
      <c r="UGX90" s="199"/>
      <c r="UGY90" s="200"/>
      <c r="UGZ90" s="201"/>
      <c r="UHA90" s="202"/>
      <c r="UHB90" s="202"/>
      <c r="UHC90" s="202"/>
      <c r="UHD90" s="202"/>
      <c r="UHE90" s="203"/>
      <c r="UHF90" s="204"/>
      <c r="UHG90" s="204"/>
      <c r="UHH90" s="204"/>
      <c r="UHI90" s="205"/>
      <c r="UHJ90" s="206"/>
      <c r="UHK90" s="207"/>
      <c r="UHL90" s="207"/>
      <c r="UHM90" s="208"/>
      <c r="UHN90" s="209"/>
      <c r="UHO90" s="207"/>
      <c r="UHP90" s="210"/>
      <c r="UHQ90" s="209"/>
      <c r="UHR90" s="204"/>
      <c r="UHS90" s="204"/>
      <c r="UHT90" s="204"/>
      <c r="UHU90" s="199"/>
      <c r="UHV90" s="167"/>
      <c r="UHW90" s="199"/>
      <c r="UHX90" s="200"/>
      <c r="UHY90" s="201"/>
      <c r="UHZ90" s="202"/>
      <c r="UIA90" s="202"/>
      <c r="UIB90" s="202"/>
      <c r="UIC90" s="202"/>
      <c r="UID90" s="203"/>
      <c r="UIE90" s="204"/>
      <c r="UIF90" s="204"/>
      <c r="UIG90" s="204"/>
      <c r="UIH90" s="205"/>
      <c r="UII90" s="206"/>
      <c r="UIJ90" s="207"/>
      <c r="UIK90" s="207"/>
      <c r="UIL90" s="208"/>
      <c r="UIM90" s="209"/>
      <c r="UIN90" s="207"/>
      <c r="UIO90" s="210"/>
      <c r="UIP90" s="209"/>
      <c r="UIQ90" s="204"/>
      <c r="UIR90" s="204"/>
      <c r="UIS90" s="204"/>
      <c r="UIT90" s="199"/>
      <c r="UIU90" s="167"/>
      <c r="UIV90" s="199"/>
      <c r="UIW90" s="200"/>
      <c r="UIX90" s="201"/>
      <c r="UIY90" s="202"/>
      <c r="UIZ90" s="202"/>
      <c r="UJA90" s="202"/>
      <c r="UJB90" s="202"/>
      <c r="UJC90" s="203"/>
      <c r="UJD90" s="204"/>
      <c r="UJE90" s="204"/>
      <c r="UJF90" s="204"/>
      <c r="UJG90" s="205"/>
      <c r="UJH90" s="206"/>
      <c r="UJI90" s="207"/>
      <c r="UJJ90" s="207"/>
      <c r="UJK90" s="208"/>
      <c r="UJL90" s="209"/>
      <c r="UJM90" s="207"/>
      <c r="UJN90" s="210"/>
      <c r="UJO90" s="209"/>
      <c r="UJP90" s="204"/>
      <c r="UJQ90" s="204"/>
      <c r="UJR90" s="204"/>
      <c r="UJS90" s="199"/>
      <c r="UJT90" s="167"/>
      <c r="UJU90" s="199"/>
      <c r="UJV90" s="200"/>
      <c r="UJW90" s="201"/>
      <c r="UJX90" s="202"/>
      <c r="UJY90" s="202"/>
      <c r="UJZ90" s="202"/>
      <c r="UKA90" s="202"/>
      <c r="UKB90" s="203"/>
      <c r="UKC90" s="204"/>
      <c r="UKD90" s="204"/>
      <c r="UKE90" s="204"/>
      <c r="UKF90" s="205"/>
      <c r="UKG90" s="206"/>
      <c r="UKH90" s="207"/>
      <c r="UKI90" s="207"/>
      <c r="UKJ90" s="208"/>
      <c r="UKK90" s="209"/>
      <c r="UKL90" s="207"/>
      <c r="UKM90" s="210"/>
      <c r="UKN90" s="209"/>
      <c r="UKO90" s="204"/>
      <c r="UKP90" s="204"/>
      <c r="UKQ90" s="204"/>
      <c r="UKR90" s="199"/>
      <c r="UKS90" s="167"/>
      <c r="UKT90" s="199"/>
      <c r="UKU90" s="200"/>
      <c r="UKV90" s="201"/>
      <c r="UKW90" s="202"/>
      <c r="UKX90" s="202"/>
      <c r="UKY90" s="202"/>
      <c r="UKZ90" s="202"/>
      <c r="ULA90" s="203"/>
      <c r="ULB90" s="204"/>
      <c r="ULC90" s="204"/>
      <c r="ULD90" s="204"/>
      <c r="ULE90" s="205"/>
      <c r="ULF90" s="206"/>
      <c r="ULG90" s="207"/>
      <c r="ULH90" s="207"/>
      <c r="ULI90" s="208"/>
      <c r="ULJ90" s="209"/>
      <c r="ULK90" s="207"/>
      <c r="ULL90" s="210"/>
      <c r="ULM90" s="209"/>
      <c r="ULN90" s="204"/>
      <c r="ULO90" s="204"/>
      <c r="ULP90" s="204"/>
      <c r="ULQ90" s="199"/>
      <c r="ULR90" s="167"/>
      <c r="ULS90" s="199"/>
      <c r="ULT90" s="200"/>
      <c r="ULU90" s="201"/>
      <c r="ULV90" s="202"/>
      <c r="ULW90" s="202"/>
      <c r="ULX90" s="202"/>
      <c r="ULY90" s="202"/>
      <c r="ULZ90" s="203"/>
      <c r="UMA90" s="204"/>
      <c r="UMB90" s="204"/>
      <c r="UMC90" s="204"/>
      <c r="UMD90" s="205"/>
      <c r="UME90" s="206"/>
      <c r="UMF90" s="207"/>
      <c r="UMG90" s="207"/>
      <c r="UMH90" s="208"/>
      <c r="UMI90" s="209"/>
      <c r="UMJ90" s="207"/>
      <c r="UMK90" s="210"/>
      <c r="UML90" s="209"/>
      <c r="UMM90" s="204"/>
      <c r="UMN90" s="204"/>
      <c r="UMO90" s="204"/>
      <c r="UMP90" s="199"/>
      <c r="UMQ90" s="167"/>
      <c r="UMR90" s="199"/>
      <c r="UMS90" s="200"/>
      <c r="UMT90" s="201"/>
      <c r="UMU90" s="202"/>
      <c r="UMV90" s="202"/>
      <c r="UMW90" s="202"/>
      <c r="UMX90" s="202"/>
      <c r="UMY90" s="203"/>
      <c r="UMZ90" s="204"/>
      <c r="UNA90" s="204"/>
      <c r="UNB90" s="204"/>
      <c r="UNC90" s="205"/>
      <c r="UND90" s="206"/>
      <c r="UNE90" s="207"/>
      <c r="UNF90" s="207"/>
      <c r="UNG90" s="208"/>
      <c r="UNH90" s="209"/>
      <c r="UNI90" s="207"/>
      <c r="UNJ90" s="210"/>
      <c r="UNK90" s="209"/>
      <c r="UNL90" s="204"/>
      <c r="UNM90" s="204"/>
      <c r="UNN90" s="204"/>
      <c r="UNO90" s="199"/>
      <c r="UNP90" s="167"/>
      <c r="UNQ90" s="199"/>
      <c r="UNR90" s="200"/>
      <c r="UNS90" s="201"/>
      <c r="UNT90" s="202"/>
      <c r="UNU90" s="202"/>
      <c r="UNV90" s="202"/>
      <c r="UNW90" s="202"/>
      <c r="UNX90" s="203"/>
      <c r="UNY90" s="204"/>
      <c r="UNZ90" s="204"/>
      <c r="UOA90" s="204"/>
      <c r="UOB90" s="205"/>
      <c r="UOC90" s="206"/>
      <c r="UOD90" s="207"/>
      <c r="UOE90" s="207"/>
      <c r="UOF90" s="208"/>
      <c r="UOG90" s="209"/>
      <c r="UOH90" s="207"/>
      <c r="UOI90" s="210"/>
      <c r="UOJ90" s="209"/>
      <c r="UOK90" s="204"/>
      <c r="UOL90" s="204"/>
      <c r="UOM90" s="204"/>
      <c r="UON90" s="199"/>
      <c r="UOO90" s="167"/>
      <c r="UOP90" s="199"/>
      <c r="UOQ90" s="200"/>
      <c r="UOR90" s="201"/>
      <c r="UOS90" s="202"/>
      <c r="UOT90" s="202"/>
      <c r="UOU90" s="202"/>
      <c r="UOV90" s="202"/>
      <c r="UOW90" s="203"/>
      <c r="UOX90" s="204"/>
      <c r="UOY90" s="204"/>
      <c r="UOZ90" s="204"/>
      <c r="UPA90" s="205"/>
      <c r="UPB90" s="206"/>
      <c r="UPC90" s="207"/>
      <c r="UPD90" s="207"/>
      <c r="UPE90" s="208"/>
      <c r="UPF90" s="209"/>
      <c r="UPG90" s="207"/>
      <c r="UPH90" s="210"/>
      <c r="UPI90" s="209"/>
      <c r="UPJ90" s="204"/>
      <c r="UPK90" s="204"/>
      <c r="UPL90" s="204"/>
      <c r="UPM90" s="199"/>
      <c r="UPN90" s="167"/>
      <c r="UPO90" s="199"/>
      <c r="UPP90" s="200"/>
      <c r="UPQ90" s="201"/>
      <c r="UPR90" s="202"/>
      <c r="UPS90" s="202"/>
      <c r="UPT90" s="202"/>
      <c r="UPU90" s="202"/>
      <c r="UPV90" s="203"/>
      <c r="UPW90" s="204"/>
      <c r="UPX90" s="204"/>
      <c r="UPY90" s="204"/>
      <c r="UPZ90" s="205"/>
      <c r="UQA90" s="206"/>
      <c r="UQB90" s="207"/>
      <c r="UQC90" s="207"/>
      <c r="UQD90" s="208"/>
      <c r="UQE90" s="209"/>
      <c r="UQF90" s="207"/>
      <c r="UQG90" s="210"/>
      <c r="UQH90" s="209"/>
      <c r="UQI90" s="204"/>
      <c r="UQJ90" s="204"/>
      <c r="UQK90" s="204"/>
      <c r="UQL90" s="199"/>
      <c r="UQM90" s="167"/>
      <c r="UQN90" s="199"/>
      <c r="UQO90" s="200"/>
      <c r="UQP90" s="201"/>
      <c r="UQQ90" s="202"/>
      <c r="UQR90" s="202"/>
      <c r="UQS90" s="202"/>
      <c r="UQT90" s="202"/>
      <c r="UQU90" s="203"/>
      <c r="UQV90" s="204"/>
      <c r="UQW90" s="204"/>
      <c r="UQX90" s="204"/>
      <c r="UQY90" s="205"/>
      <c r="UQZ90" s="206"/>
      <c r="URA90" s="207"/>
      <c r="URB90" s="207"/>
      <c r="URC90" s="208"/>
      <c r="URD90" s="209"/>
      <c r="URE90" s="207"/>
      <c r="URF90" s="210"/>
      <c r="URG90" s="209"/>
      <c r="URH90" s="204"/>
      <c r="URI90" s="204"/>
      <c r="URJ90" s="204"/>
      <c r="URK90" s="199"/>
      <c r="URL90" s="167"/>
      <c r="URM90" s="199"/>
      <c r="URN90" s="200"/>
      <c r="URO90" s="201"/>
      <c r="URP90" s="202"/>
      <c r="URQ90" s="202"/>
      <c r="URR90" s="202"/>
      <c r="URS90" s="202"/>
      <c r="URT90" s="203"/>
      <c r="URU90" s="204"/>
      <c r="URV90" s="204"/>
      <c r="URW90" s="204"/>
      <c r="URX90" s="205"/>
      <c r="URY90" s="206"/>
      <c r="URZ90" s="207"/>
      <c r="USA90" s="207"/>
      <c r="USB90" s="208"/>
      <c r="USC90" s="209"/>
      <c r="USD90" s="207"/>
      <c r="USE90" s="210"/>
      <c r="USF90" s="209"/>
      <c r="USG90" s="204"/>
      <c r="USH90" s="204"/>
      <c r="USI90" s="204"/>
      <c r="USJ90" s="199"/>
      <c r="USK90" s="167"/>
      <c r="USL90" s="199"/>
      <c r="USM90" s="200"/>
      <c r="USN90" s="201"/>
      <c r="USO90" s="202"/>
      <c r="USP90" s="202"/>
      <c r="USQ90" s="202"/>
      <c r="USR90" s="202"/>
      <c r="USS90" s="203"/>
      <c r="UST90" s="204"/>
      <c r="USU90" s="204"/>
      <c r="USV90" s="204"/>
      <c r="USW90" s="205"/>
      <c r="USX90" s="206"/>
      <c r="USY90" s="207"/>
      <c r="USZ90" s="207"/>
      <c r="UTA90" s="208"/>
      <c r="UTB90" s="209"/>
      <c r="UTC90" s="207"/>
      <c r="UTD90" s="210"/>
      <c r="UTE90" s="209"/>
      <c r="UTF90" s="204"/>
      <c r="UTG90" s="204"/>
      <c r="UTH90" s="204"/>
      <c r="UTI90" s="199"/>
      <c r="UTJ90" s="167"/>
      <c r="UTK90" s="199"/>
      <c r="UTL90" s="200"/>
      <c r="UTM90" s="201"/>
      <c r="UTN90" s="202"/>
      <c r="UTO90" s="202"/>
      <c r="UTP90" s="202"/>
      <c r="UTQ90" s="202"/>
      <c r="UTR90" s="203"/>
      <c r="UTS90" s="204"/>
      <c r="UTT90" s="204"/>
      <c r="UTU90" s="204"/>
      <c r="UTV90" s="205"/>
      <c r="UTW90" s="206"/>
      <c r="UTX90" s="207"/>
      <c r="UTY90" s="207"/>
      <c r="UTZ90" s="208"/>
      <c r="UUA90" s="209"/>
      <c r="UUB90" s="207"/>
      <c r="UUC90" s="210"/>
      <c r="UUD90" s="209"/>
      <c r="UUE90" s="204"/>
      <c r="UUF90" s="204"/>
      <c r="UUG90" s="204"/>
      <c r="UUH90" s="199"/>
      <c r="UUI90" s="167"/>
      <c r="UUJ90" s="199"/>
      <c r="UUK90" s="200"/>
      <c r="UUL90" s="201"/>
      <c r="UUM90" s="202"/>
      <c r="UUN90" s="202"/>
      <c r="UUO90" s="202"/>
      <c r="UUP90" s="202"/>
      <c r="UUQ90" s="203"/>
      <c r="UUR90" s="204"/>
      <c r="UUS90" s="204"/>
      <c r="UUT90" s="204"/>
      <c r="UUU90" s="205"/>
      <c r="UUV90" s="206"/>
      <c r="UUW90" s="207"/>
      <c r="UUX90" s="207"/>
      <c r="UUY90" s="208"/>
      <c r="UUZ90" s="209"/>
      <c r="UVA90" s="207"/>
      <c r="UVB90" s="210"/>
      <c r="UVC90" s="209"/>
      <c r="UVD90" s="204"/>
      <c r="UVE90" s="204"/>
      <c r="UVF90" s="204"/>
      <c r="UVG90" s="199"/>
      <c r="UVH90" s="167"/>
      <c r="UVI90" s="199"/>
      <c r="UVJ90" s="200"/>
      <c r="UVK90" s="201"/>
      <c r="UVL90" s="202"/>
      <c r="UVM90" s="202"/>
      <c r="UVN90" s="202"/>
      <c r="UVO90" s="202"/>
      <c r="UVP90" s="203"/>
      <c r="UVQ90" s="204"/>
      <c r="UVR90" s="204"/>
      <c r="UVS90" s="204"/>
      <c r="UVT90" s="205"/>
      <c r="UVU90" s="206"/>
      <c r="UVV90" s="207"/>
      <c r="UVW90" s="207"/>
      <c r="UVX90" s="208"/>
      <c r="UVY90" s="209"/>
      <c r="UVZ90" s="207"/>
      <c r="UWA90" s="210"/>
      <c r="UWB90" s="209"/>
      <c r="UWC90" s="204"/>
      <c r="UWD90" s="204"/>
      <c r="UWE90" s="204"/>
      <c r="UWF90" s="199"/>
      <c r="UWG90" s="167"/>
      <c r="UWH90" s="199"/>
      <c r="UWI90" s="200"/>
      <c r="UWJ90" s="201"/>
      <c r="UWK90" s="202"/>
      <c r="UWL90" s="202"/>
      <c r="UWM90" s="202"/>
      <c r="UWN90" s="202"/>
      <c r="UWO90" s="203"/>
      <c r="UWP90" s="204"/>
      <c r="UWQ90" s="204"/>
      <c r="UWR90" s="204"/>
      <c r="UWS90" s="205"/>
      <c r="UWT90" s="206"/>
      <c r="UWU90" s="207"/>
      <c r="UWV90" s="207"/>
      <c r="UWW90" s="208"/>
      <c r="UWX90" s="209"/>
      <c r="UWY90" s="207"/>
      <c r="UWZ90" s="210"/>
      <c r="UXA90" s="209"/>
      <c r="UXB90" s="204"/>
      <c r="UXC90" s="204"/>
      <c r="UXD90" s="204"/>
      <c r="UXE90" s="199"/>
      <c r="UXF90" s="167"/>
      <c r="UXG90" s="199"/>
      <c r="UXH90" s="200"/>
      <c r="UXI90" s="201"/>
      <c r="UXJ90" s="202"/>
      <c r="UXK90" s="202"/>
      <c r="UXL90" s="202"/>
      <c r="UXM90" s="202"/>
      <c r="UXN90" s="203"/>
      <c r="UXO90" s="204"/>
      <c r="UXP90" s="204"/>
      <c r="UXQ90" s="204"/>
      <c r="UXR90" s="205"/>
      <c r="UXS90" s="206"/>
      <c r="UXT90" s="207"/>
      <c r="UXU90" s="207"/>
      <c r="UXV90" s="208"/>
      <c r="UXW90" s="209"/>
      <c r="UXX90" s="207"/>
      <c r="UXY90" s="210"/>
      <c r="UXZ90" s="209"/>
      <c r="UYA90" s="204"/>
      <c r="UYB90" s="204"/>
      <c r="UYC90" s="204"/>
      <c r="UYD90" s="199"/>
      <c r="UYE90" s="167"/>
      <c r="UYF90" s="199"/>
      <c r="UYG90" s="200"/>
      <c r="UYH90" s="201"/>
      <c r="UYI90" s="202"/>
      <c r="UYJ90" s="202"/>
      <c r="UYK90" s="202"/>
      <c r="UYL90" s="202"/>
      <c r="UYM90" s="203"/>
      <c r="UYN90" s="204"/>
      <c r="UYO90" s="204"/>
      <c r="UYP90" s="204"/>
      <c r="UYQ90" s="205"/>
      <c r="UYR90" s="206"/>
      <c r="UYS90" s="207"/>
      <c r="UYT90" s="207"/>
      <c r="UYU90" s="208"/>
      <c r="UYV90" s="209"/>
      <c r="UYW90" s="207"/>
      <c r="UYX90" s="210"/>
      <c r="UYY90" s="209"/>
      <c r="UYZ90" s="204"/>
      <c r="UZA90" s="204"/>
      <c r="UZB90" s="204"/>
      <c r="UZC90" s="199"/>
      <c r="UZD90" s="167"/>
      <c r="UZE90" s="199"/>
      <c r="UZF90" s="200"/>
      <c r="UZG90" s="201"/>
      <c r="UZH90" s="202"/>
      <c r="UZI90" s="202"/>
      <c r="UZJ90" s="202"/>
      <c r="UZK90" s="202"/>
      <c r="UZL90" s="203"/>
      <c r="UZM90" s="204"/>
      <c r="UZN90" s="204"/>
      <c r="UZO90" s="204"/>
      <c r="UZP90" s="205"/>
      <c r="UZQ90" s="206"/>
      <c r="UZR90" s="207"/>
      <c r="UZS90" s="207"/>
      <c r="UZT90" s="208"/>
      <c r="UZU90" s="209"/>
      <c r="UZV90" s="207"/>
      <c r="UZW90" s="210"/>
      <c r="UZX90" s="209"/>
      <c r="UZY90" s="204"/>
      <c r="UZZ90" s="204"/>
      <c r="VAA90" s="204"/>
      <c r="VAB90" s="199"/>
      <c r="VAC90" s="167"/>
      <c r="VAD90" s="199"/>
      <c r="VAE90" s="200"/>
      <c r="VAF90" s="201"/>
      <c r="VAG90" s="202"/>
      <c r="VAH90" s="202"/>
      <c r="VAI90" s="202"/>
      <c r="VAJ90" s="202"/>
      <c r="VAK90" s="203"/>
      <c r="VAL90" s="204"/>
      <c r="VAM90" s="204"/>
      <c r="VAN90" s="204"/>
      <c r="VAO90" s="205"/>
      <c r="VAP90" s="206"/>
      <c r="VAQ90" s="207"/>
      <c r="VAR90" s="207"/>
      <c r="VAS90" s="208"/>
      <c r="VAT90" s="209"/>
      <c r="VAU90" s="207"/>
      <c r="VAV90" s="210"/>
      <c r="VAW90" s="209"/>
      <c r="VAX90" s="204"/>
      <c r="VAY90" s="204"/>
      <c r="VAZ90" s="204"/>
      <c r="VBA90" s="199"/>
      <c r="VBB90" s="167"/>
      <c r="VBC90" s="199"/>
      <c r="VBD90" s="200"/>
      <c r="VBE90" s="201"/>
      <c r="VBF90" s="202"/>
      <c r="VBG90" s="202"/>
      <c r="VBH90" s="202"/>
      <c r="VBI90" s="202"/>
      <c r="VBJ90" s="203"/>
      <c r="VBK90" s="204"/>
      <c r="VBL90" s="204"/>
      <c r="VBM90" s="204"/>
      <c r="VBN90" s="205"/>
      <c r="VBO90" s="206"/>
      <c r="VBP90" s="207"/>
      <c r="VBQ90" s="207"/>
      <c r="VBR90" s="208"/>
      <c r="VBS90" s="209"/>
      <c r="VBT90" s="207"/>
      <c r="VBU90" s="210"/>
      <c r="VBV90" s="209"/>
      <c r="VBW90" s="204"/>
      <c r="VBX90" s="204"/>
      <c r="VBY90" s="204"/>
      <c r="VBZ90" s="199"/>
      <c r="VCA90" s="167"/>
      <c r="VCB90" s="199"/>
      <c r="VCC90" s="200"/>
      <c r="VCD90" s="201"/>
      <c r="VCE90" s="202"/>
      <c r="VCF90" s="202"/>
      <c r="VCG90" s="202"/>
      <c r="VCH90" s="202"/>
      <c r="VCI90" s="203"/>
      <c r="VCJ90" s="204"/>
      <c r="VCK90" s="204"/>
      <c r="VCL90" s="204"/>
      <c r="VCM90" s="205"/>
      <c r="VCN90" s="206"/>
      <c r="VCO90" s="207"/>
      <c r="VCP90" s="207"/>
      <c r="VCQ90" s="208"/>
      <c r="VCR90" s="209"/>
      <c r="VCS90" s="207"/>
      <c r="VCT90" s="210"/>
      <c r="VCU90" s="209"/>
      <c r="VCV90" s="204"/>
      <c r="VCW90" s="204"/>
      <c r="VCX90" s="204"/>
      <c r="VCY90" s="199"/>
      <c r="VCZ90" s="167"/>
      <c r="VDA90" s="199"/>
      <c r="VDB90" s="200"/>
      <c r="VDC90" s="201"/>
      <c r="VDD90" s="202"/>
      <c r="VDE90" s="202"/>
      <c r="VDF90" s="202"/>
      <c r="VDG90" s="202"/>
      <c r="VDH90" s="203"/>
      <c r="VDI90" s="204"/>
      <c r="VDJ90" s="204"/>
      <c r="VDK90" s="204"/>
      <c r="VDL90" s="205"/>
      <c r="VDM90" s="206"/>
      <c r="VDN90" s="207"/>
      <c r="VDO90" s="207"/>
      <c r="VDP90" s="208"/>
      <c r="VDQ90" s="209"/>
      <c r="VDR90" s="207"/>
      <c r="VDS90" s="210"/>
      <c r="VDT90" s="209"/>
      <c r="VDU90" s="204"/>
      <c r="VDV90" s="204"/>
      <c r="VDW90" s="204"/>
      <c r="VDX90" s="199"/>
      <c r="VDY90" s="167"/>
      <c r="VDZ90" s="199"/>
      <c r="VEA90" s="200"/>
      <c r="VEB90" s="201"/>
      <c r="VEC90" s="202"/>
      <c r="VED90" s="202"/>
      <c r="VEE90" s="202"/>
      <c r="VEF90" s="202"/>
      <c r="VEG90" s="203"/>
      <c r="VEH90" s="204"/>
      <c r="VEI90" s="204"/>
      <c r="VEJ90" s="204"/>
      <c r="VEK90" s="205"/>
      <c r="VEL90" s="206"/>
      <c r="VEM90" s="207"/>
      <c r="VEN90" s="207"/>
      <c r="VEO90" s="208"/>
      <c r="VEP90" s="209"/>
      <c r="VEQ90" s="207"/>
      <c r="VER90" s="210"/>
      <c r="VES90" s="209"/>
      <c r="VET90" s="204"/>
      <c r="VEU90" s="204"/>
      <c r="VEV90" s="204"/>
      <c r="VEW90" s="199"/>
      <c r="VEX90" s="167"/>
      <c r="VEY90" s="199"/>
      <c r="VEZ90" s="200"/>
      <c r="VFA90" s="201"/>
      <c r="VFB90" s="202"/>
      <c r="VFC90" s="202"/>
      <c r="VFD90" s="202"/>
      <c r="VFE90" s="202"/>
      <c r="VFF90" s="203"/>
      <c r="VFG90" s="204"/>
      <c r="VFH90" s="204"/>
      <c r="VFI90" s="204"/>
      <c r="VFJ90" s="205"/>
      <c r="VFK90" s="206"/>
      <c r="VFL90" s="207"/>
      <c r="VFM90" s="207"/>
      <c r="VFN90" s="208"/>
      <c r="VFO90" s="209"/>
      <c r="VFP90" s="207"/>
      <c r="VFQ90" s="210"/>
      <c r="VFR90" s="209"/>
      <c r="VFS90" s="204"/>
      <c r="VFT90" s="204"/>
      <c r="VFU90" s="204"/>
      <c r="VFV90" s="199"/>
      <c r="VFW90" s="167"/>
      <c r="VFX90" s="199"/>
      <c r="VFY90" s="200"/>
      <c r="VFZ90" s="201"/>
      <c r="VGA90" s="202"/>
      <c r="VGB90" s="202"/>
      <c r="VGC90" s="202"/>
      <c r="VGD90" s="202"/>
      <c r="VGE90" s="203"/>
      <c r="VGF90" s="204"/>
      <c r="VGG90" s="204"/>
      <c r="VGH90" s="204"/>
      <c r="VGI90" s="205"/>
      <c r="VGJ90" s="206"/>
      <c r="VGK90" s="207"/>
      <c r="VGL90" s="207"/>
      <c r="VGM90" s="208"/>
      <c r="VGN90" s="209"/>
      <c r="VGO90" s="207"/>
      <c r="VGP90" s="210"/>
      <c r="VGQ90" s="209"/>
      <c r="VGR90" s="204"/>
      <c r="VGS90" s="204"/>
      <c r="VGT90" s="204"/>
      <c r="VGU90" s="199"/>
      <c r="VGV90" s="167"/>
      <c r="VGW90" s="199"/>
      <c r="VGX90" s="200"/>
      <c r="VGY90" s="201"/>
      <c r="VGZ90" s="202"/>
      <c r="VHA90" s="202"/>
      <c r="VHB90" s="202"/>
      <c r="VHC90" s="202"/>
      <c r="VHD90" s="203"/>
      <c r="VHE90" s="204"/>
      <c r="VHF90" s="204"/>
      <c r="VHG90" s="204"/>
      <c r="VHH90" s="205"/>
      <c r="VHI90" s="206"/>
      <c r="VHJ90" s="207"/>
      <c r="VHK90" s="207"/>
      <c r="VHL90" s="208"/>
      <c r="VHM90" s="209"/>
      <c r="VHN90" s="207"/>
      <c r="VHO90" s="210"/>
      <c r="VHP90" s="209"/>
      <c r="VHQ90" s="204"/>
      <c r="VHR90" s="204"/>
      <c r="VHS90" s="204"/>
      <c r="VHT90" s="199"/>
      <c r="VHU90" s="167"/>
      <c r="VHV90" s="199"/>
      <c r="VHW90" s="200"/>
      <c r="VHX90" s="201"/>
      <c r="VHY90" s="202"/>
      <c r="VHZ90" s="202"/>
      <c r="VIA90" s="202"/>
      <c r="VIB90" s="202"/>
      <c r="VIC90" s="203"/>
      <c r="VID90" s="204"/>
      <c r="VIE90" s="204"/>
      <c r="VIF90" s="204"/>
      <c r="VIG90" s="205"/>
      <c r="VIH90" s="206"/>
      <c r="VII90" s="207"/>
      <c r="VIJ90" s="207"/>
      <c r="VIK90" s="208"/>
      <c r="VIL90" s="209"/>
      <c r="VIM90" s="207"/>
      <c r="VIN90" s="210"/>
      <c r="VIO90" s="209"/>
      <c r="VIP90" s="204"/>
      <c r="VIQ90" s="204"/>
      <c r="VIR90" s="204"/>
      <c r="VIS90" s="199"/>
      <c r="VIT90" s="167"/>
      <c r="VIU90" s="199"/>
      <c r="VIV90" s="200"/>
      <c r="VIW90" s="201"/>
      <c r="VIX90" s="202"/>
      <c r="VIY90" s="202"/>
      <c r="VIZ90" s="202"/>
      <c r="VJA90" s="202"/>
      <c r="VJB90" s="203"/>
      <c r="VJC90" s="204"/>
      <c r="VJD90" s="204"/>
      <c r="VJE90" s="204"/>
      <c r="VJF90" s="205"/>
      <c r="VJG90" s="206"/>
      <c r="VJH90" s="207"/>
      <c r="VJI90" s="207"/>
      <c r="VJJ90" s="208"/>
      <c r="VJK90" s="209"/>
      <c r="VJL90" s="207"/>
      <c r="VJM90" s="210"/>
      <c r="VJN90" s="209"/>
      <c r="VJO90" s="204"/>
      <c r="VJP90" s="204"/>
      <c r="VJQ90" s="204"/>
      <c r="VJR90" s="199"/>
      <c r="VJS90" s="167"/>
      <c r="VJT90" s="199"/>
      <c r="VJU90" s="200"/>
      <c r="VJV90" s="201"/>
      <c r="VJW90" s="202"/>
      <c r="VJX90" s="202"/>
      <c r="VJY90" s="202"/>
      <c r="VJZ90" s="202"/>
      <c r="VKA90" s="203"/>
      <c r="VKB90" s="204"/>
      <c r="VKC90" s="204"/>
      <c r="VKD90" s="204"/>
      <c r="VKE90" s="205"/>
      <c r="VKF90" s="206"/>
      <c r="VKG90" s="207"/>
      <c r="VKH90" s="207"/>
      <c r="VKI90" s="208"/>
      <c r="VKJ90" s="209"/>
      <c r="VKK90" s="207"/>
      <c r="VKL90" s="210"/>
      <c r="VKM90" s="209"/>
      <c r="VKN90" s="204"/>
      <c r="VKO90" s="204"/>
      <c r="VKP90" s="204"/>
      <c r="VKQ90" s="199"/>
      <c r="VKR90" s="167"/>
      <c r="VKS90" s="199"/>
      <c r="VKT90" s="200"/>
      <c r="VKU90" s="201"/>
      <c r="VKV90" s="202"/>
      <c r="VKW90" s="202"/>
      <c r="VKX90" s="202"/>
      <c r="VKY90" s="202"/>
      <c r="VKZ90" s="203"/>
      <c r="VLA90" s="204"/>
      <c r="VLB90" s="204"/>
      <c r="VLC90" s="204"/>
      <c r="VLD90" s="205"/>
      <c r="VLE90" s="206"/>
      <c r="VLF90" s="207"/>
      <c r="VLG90" s="207"/>
      <c r="VLH90" s="208"/>
      <c r="VLI90" s="209"/>
      <c r="VLJ90" s="207"/>
      <c r="VLK90" s="210"/>
      <c r="VLL90" s="209"/>
      <c r="VLM90" s="204"/>
      <c r="VLN90" s="204"/>
      <c r="VLO90" s="204"/>
      <c r="VLP90" s="199"/>
      <c r="VLQ90" s="167"/>
      <c r="VLR90" s="199"/>
      <c r="VLS90" s="200"/>
      <c r="VLT90" s="201"/>
      <c r="VLU90" s="202"/>
      <c r="VLV90" s="202"/>
      <c r="VLW90" s="202"/>
      <c r="VLX90" s="202"/>
      <c r="VLY90" s="203"/>
      <c r="VLZ90" s="204"/>
      <c r="VMA90" s="204"/>
      <c r="VMB90" s="204"/>
      <c r="VMC90" s="205"/>
      <c r="VMD90" s="206"/>
      <c r="VME90" s="207"/>
      <c r="VMF90" s="207"/>
      <c r="VMG90" s="208"/>
      <c r="VMH90" s="209"/>
      <c r="VMI90" s="207"/>
      <c r="VMJ90" s="210"/>
      <c r="VMK90" s="209"/>
      <c r="VML90" s="204"/>
      <c r="VMM90" s="204"/>
      <c r="VMN90" s="204"/>
      <c r="VMO90" s="199"/>
      <c r="VMP90" s="167"/>
      <c r="VMQ90" s="199"/>
      <c r="VMR90" s="200"/>
      <c r="VMS90" s="201"/>
      <c r="VMT90" s="202"/>
      <c r="VMU90" s="202"/>
      <c r="VMV90" s="202"/>
      <c r="VMW90" s="202"/>
      <c r="VMX90" s="203"/>
      <c r="VMY90" s="204"/>
      <c r="VMZ90" s="204"/>
      <c r="VNA90" s="204"/>
      <c r="VNB90" s="205"/>
      <c r="VNC90" s="206"/>
      <c r="VND90" s="207"/>
      <c r="VNE90" s="207"/>
      <c r="VNF90" s="208"/>
      <c r="VNG90" s="209"/>
      <c r="VNH90" s="207"/>
      <c r="VNI90" s="210"/>
      <c r="VNJ90" s="209"/>
      <c r="VNK90" s="204"/>
      <c r="VNL90" s="204"/>
      <c r="VNM90" s="204"/>
      <c r="VNN90" s="199"/>
      <c r="VNO90" s="167"/>
      <c r="VNP90" s="199"/>
      <c r="VNQ90" s="200"/>
      <c r="VNR90" s="201"/>
      <c r="VNS90" s="202"/>
      <c r="VNT90" s="202"/>
      <c r="VNU90" s="202"/>
      <c r="VNV90" s="202"/>
      <c r="VNW90" s="203"/>
      <c r="VNX90" s="204"/>
      <c r="VNY90" s="204"/>
      <c r="VNZ90" s="204"/>
      <c r="VOA90" s="205"/>
      <c r="VOB90" s="206"/>
      <c r="VOC90" s="207"/>
      <c r="VOD90" s="207"/>
      <c r="VOE90" s="208"/>
      <c r="VOF90" s="209"/>
      <c r="VOG90" s="207"/>
      <c r="VOH90" s="210"/>
      <c r="VOI90" s="209"/>
      <c r="VOJ90" s="204"/>
      <c r="VOK90" s="204"/>
      <c r="VOL90" s="204"/>
      <c r="VOM90" s="199"/>
      <c r="VON90" s="167"/>
      <c r="VOO90" s="199"/>
      <c r="VOP90" s="200"/>
      <c r="VOQ90" s="201"/>
      <c r="VOR90" s="202"/>
      <c r="VOS90" s="202"/>
      <c r="VOT90" s="202"/>
      <c r="VOU90" s="202"/>
      <c r="VOV90" s="203"/>
      <c r="VOW90" s="204"/>
      <c r="VOX90" s="204"/>
      <c r="VOY90" s="204"/>
      <c r="VOZ90" s="205"/>
      <c r="VPA90" s="206"/>
      <c r="VPB90" s="207"/>
      <c r="VPC90" s="207"/>
      <c r="VPD90" s="208"/>
      <c r="VPE90" s="209"/>
      <c r="VPF90" s="207"/>
      <c r="VPG90" s="210"/>
      <c r="VPH90" s="209"/>
      <c r="VPI90" s="204"/>
      <c r="VPJ90" s="204"/>
      <c r="VPK90" s="204"/>
      <c r="VPL90" s="199"/>
      <c r="VPM90" s="167"/>
      <c r="VPN90" s="199"/>
      <c r="VPO90" s="200"/>
      <c r="VPP90" s="201"/>
      <c r="VPQ90" s="202"/>
      <c r="VPR90" s="202"/>
      <c r="VPS90" s="202"/>
      <c r="VPT90" s="202"/>
      <c r="VPU90" s="203"/>
      <c r="VPV90" s="204"/>
      <c r="VPW90" s="204"/>
      <c r="VPX90" s="204"/>
      <c r="VPY90" s="205"/>
      <c r="VPZ90" s="206"/>
      <c r="VQA90" s="207"/>
      <c r="VQB90" s="207"/>
      <c r="VQC90" s="208"/>
      <c r="VQD90" s="209"/>
      <c r="VQE90" s="207"/>
      <c r="VQF90" s="210"/>
      <c r="VQG90" s="209"/>
      <c r="VQH90" s="204"/>
      <c r="VQI90" s="204"/>
      <c r="VQJ90" s="204"/>
      <c r="VQK90" s="199"/>
      <c r="VQL90" s="167"/>
      <c r="VQM90" s="199"/>
      <c r="VQN90" s="200"/>
      <c r="VQO90" s="201"/>
      <c r="VQP90" s="202"/>
      <c r="VQQ90" s="202"/>
      <c r="VQR90" s="202"/>
      <c r="VQS90" s="202"/>
      <c r="VQT90" s="203"/>
      <c r="VQU90" s="204"/>
      <c r="VQV90" s="204"/>
      <c r="VQW90" s="204"/>
      <c r="VQX90" s="205"/>
      <c r="VQY90" s="206"/>
      <c r="VQZ90" s="207"/>
      <c r="VRA90" s="207"/>
      <c r="VRB90" s="208"/>
      <c r="VRC90" s="209"/>
      <c r="VRD90" s="207"/>
      <c r="VRE90" s="210"/>
      <c r="VRF90" s="209"/>
      <c r="VRG90" s="204"/>
      <c r="VRH90" s="204"/>
      <c r="VRI90" s="204"/>
      <c r="VRJ90" s="199"/>
      <c r="VRK90" s="167"/>
      <c r="VRL90" s="199"/>
      <c r="VRM90" s="200"/>
      <c r="VRN90" s="201"/>
      <c r="VRO90" s="202"/>
      <c r="VRP90" s="202"/>
      <c r="VRQ90" s="202"/>
      <c r="VRR90" s="202"/>
      <c r="VRS90" s="203"/>
      <c r="VRT90" s="204"/>
      <c r="VRU90" s="204"/>
      <c r="VRV90" s="204"/>
      <c r="VRW90" s="205"/>
      <c r="VRX90" s="206"/>
      <c r="VRY90" s="207"/>
      <c r="VRZ90" s="207"/>
      <c r="VSA90" s="208"/>
      <c r="VSB90" s="209"/>
      <c r="VSC90" s="207"/>
      <c r="VSD90" s="210"/>
      <c r="VSE90" s="209"/>
      <c r="VSF90" s="204"/>
      <c r="VSG90" s="204"/>
      <c r="VSH90" s="204"/>
      <c r="VSI90" s="199"/>
      <c r="VSJ90" s="167"/>
      <c r="VSK90" s="199"/>
      <c r="VSL90" s="200"/>
      <c r="VSM90" s="201"/>
      <c r="VSN90" s="202"/>
      <c r="VSO90" s="202"/>
      <c r="VSP90" s="202"/>
      <c r="VSQ90" s="202"/>
      <c r="VSR90" s="203"/>
      <c r="VSS90" s="204"/>
      <c r="VST90" s="204"/>
      <c r="VSU90" s="204"/>
      <c r="VSV90" s="205"/>
      <c r="VSW90" s="206"/>
      <c r="VSX90" s="207"/>
      <c r="VSY90" s="207"/>
      <c r="VSZ90" s="208"/>
      <c r="VTA90" s="209"/>
      <c r="VTB90" s="207"/>
      <c r="VTC90" s="210"/>
      <c r="VTD90" s="209"/>
      <c r="VTE90" s="204"/>
      <c r="VTF90" s="204"/>
      <c r="VTG90" s="204"/>
      <c r="VTH90" s="199"/>
      <c r="VTI90" s="167"/>
      <c r="VTJ90" s="199"/>
      <c r="VTK90" s="200"/>
      <c r="VTL90" s="201"/>
      <c r="VTM90" s="202"/>
      <c r="VTN90" s="202"/>
      <c r="VTO90" s="202"/>
      <c r="VTP90" s="202"/>
      <c r="VTQ90" s="203"/>
      <c r="VTR90" s="204"/>
      <c r="VTS90" s="204"/>
      <c r="VTT90" s="204"/>
      <c r="VTU90" s="205"/>
      <c r="VTV90" s="206"/>
      <c r="VTW90" s="207"/>
      <c r="VTX90" s="207"/>
      <c r="VTY90" s="208"/>
      <c r="VTZ90" s="209"/>
      <c r="VUA90" s="207"/>
      <c r="VUB90" s="210"/>
      <c r="VUC90" s="209"/>
      <c r="VUD90" s="204"/>
      <c r="VUE90" s="204"/>
      <c r="VUF90" s="204"/>
      <c r="VUG90" s="199"/>
      <c r="VUH90" s="167"/>
      <c r="VUI90" s="199"/>
      <c r="VUJ90" s="200"/>
      <c r="VUK90" s="201"/>
      <c r="VUL90" s="202"/>
      <c r="VUM90" s="202"/>
      <c r="VUN90" s="202"/>
      <c r="VUO90" s="202"/>
      <c r="VUP90" s="203"/>
      <c r="VUQ90" s="204"/>
      <c r="VUR90" s="204"/>
      <c r="VUS90" s="204"/>
      <c r="VUT90" s="205"/>
      <c r="VUU90" s="206"/>
      <c r="VUV90" s="207"/>
      <c r="VUW90" s="207"/>
      <c r="VUX90" s="208"/>
      <c r="VUY90" s="209"/>
      <c r="VUZ90" s="207"/>
      <c r="VVA90" s="210"/>
      <c r="VVB90" s="209"/>
      <c r="VVC90" s="204"/>
      <c r="VVD90" s="204"/>
      <c r="VVE90" s="204"/>
      <c r="VVF90" s="199"/>
      <c r="VVG90" s="167"/>
      <c r="VVH90" s="199"/>
      <c r="VVI90" s="200"/>
      <c r="VVJ90" s="201"/>
      <c r="VVK90" s="202"/>
      <c r="VVL90" s="202"/>
      <c r="VVM90" s="202"/>
      <c r="VVN90" s="202"/>
      <c r="VVO90" s="203"/>
      <c r="VVP90" s="204"/>
      <c r="VVQ90" s="204"/>
      <c r="VVR90" s="204"/>
      <c r="VVS90" s="205"/>
      <c r="VVT90" s="206"/>
      <c r="VVU90" s="207"/>
      <c r="VVV90" s="207"/>
      <c r="VVW90" s="208"/>
      <c r="VVX90" s="209"/>
      <c r="VVY90" s="207"/>
      <c r="VVZ90" s="210"/>
      <c r="VWA90" s="209"/>
      <c r="VWB90" s="204"/>
      <c r="VWC90" s="204"/>
      <c r="VWD90" s="204"/>
      <c r="VWE90" s="199"/>
      <c r="VWF90" s="167"/>
      <c r="VWG90" s="199"/>
      <c r="VWH90" s="200"/>
      <c r="VWI90" s="201"/>
      <c r="VWJ90" s="202"/>
      <c r="VWK90" s="202"/>
      <c r="VWL90" s="202"/>
      <c r="VWM90" s="202"/>
      <c r="VWN90" s="203"/>
      <c r="VWO90" s="204"/>
      <c r="VWP90" s="204"/>
      <c r="VWQ90" s="204"/>
      <c r="VWR90" s="205"/>
      <c r="VWS90" s="206"/>
      <c r="VWT90" s="207"/>
      <c r="VWU90" s="207"/>
      <c r="VWV90" s="208"/>
      <c r="VWW90" s="209"/>
      <c r="VWX90" s="207"/>
      <c r="VWY90" s="210"/>
      <c r="VWZ90" s="209"/>
      <c r="VXA90" s="204"/>
      <c r="VXB90" s="204"/>
      <c r="VXC90" s="204"/>
      <c r="VXD90" s="199"/>
      <c r="VXE90" s="167"/>
      <c r="VXF90" s="199"/>
      <c r="VXG90" s="200"/>
      <c r="VXH90" s="201"/>
      <c r="VXI90" s="202"/>
      <c r="VXJ90" s="202"/>
      <c r="VXK90" s="202"/>
      <c r="VXL90" s="202"/>
      <c r="VXM90" s="203"/>
      <c r="VXN90" s="204"/>
      <c r="VXO90" s="204"/>
      <c r="VXP90" s="204"/>
      <c r="VXQ90" s="205"/>
      <c r="VXR90" s="206"/>
      <c r="VXS90" s="207"/>
      <c r="VXT90" s="207"/>
      <c r="VXU90" s="208"/>
      <c r="VXV90" s="209"/>
      <c r="VXW90" s="207"/>
      <c r="VXX90" s="210"/>
      <c r="VXY90" s="209"/>
      <c r="VXZ90" s="204"/>
      <c r="VYA90" s="204"/>
      <c r="VYB90" s="204"/>
      <c r="VYC90" s="199"/>
      <c r="VYD90" s="167"/>
      <c r="VYE90" s="199"/>
      <c r="VYF90" s="200"/>
      <c r="VYG90" s="201"/>
      <c r="VYH90" s="202"/>
      <c r="VYI90" s="202"/>
      <c r="VYJ90" s="202"/>
      <c r="VYK90" s="202"/>
      <c r="VYL90" s="203"/>
      <c r="VYM90" s="204"/>
      <c r="VYN90" s="204"/>
      <c r="VYO90" s="204"/>
      <c r="VYP90" s="205"/>
      <c r="VYQ90" s="206"/>
      <c r="VYR90" s="207"/>
      <c r="VYS90" s="207"/>
      <c r="VYT90" s="208"/>
      <c r="VYU90" s="209"/>
      <c r="VYV90" s="207"/>
      <c r="VYW90" s="210"/>
      <c r="VYX90" s="209"/>
      <c r="VYY90" s="204"/>
      <c r="VYZ90" s="204"/>
      <c r="VZA90" s="204"/>
      <c r="VZB90" s="199"/>
      <c r="VZC90" s="167"/>
      <c r="VZD90" s="199"/>
      <c r="VZE90" s="200"/>
      <c r="VZF90" s="201"/>
      <c r="VZG90" s="202"/>
      <c r="VZH90" s="202"/>
      <c r="VZI90" s="202"/>
      <c r="VZJ90" s="202"/>
      <c r="VZK90" s="203"/>
      <c r="VZL90" s="204"/>
      <c r="VZM90" s="204"/>
      <c r="VZN90" s="204"/>
      <c r="VZO90" s="205"/>
      <c r="VZP90" s="206"/>
      <c r="VZQ90" s="207"/>
      <c r="VZR90" s="207"/>
      <c r="VZS90" s="208"/>
      <c r="VZT90" s="209"/>
      <c r="VZU90" s="207"/>
      <c r="VZV90" s="210"/>
      <c r="VZW90" s="209"/>
      <c r="VZX90" s="204"/>
      <c r="VZY90" s="204"/>
      <c r="VZZ90" s="204"/>
      <c r="WAA90" s="199"/>
      <c r="WAB90" s="167"/>
      <c r="WAC90" s="199"/>
      <c r="WAD90" s="200"/>
      <c r="WAE90" s="201"/>
      <c r="WAF90" s="202"/>
      <c r="WAG90" s="202"/>
      <c r="WAH90" s="202"/>
      <c r="WAI90" s="202"/>
      <c r="WAJ90" s="203"/>
      <c r="WAK90" s="204"/>
      <c r="WAL90" s="204"/>
      <c r="WAM90" s="204"/>
      <c r="WAN90" s="205"/>
      <c r="WAO90" s="206"/>
      <c r="WAP90" s="207"/>
      <c r="WAQ90" s="207"/>
      <c r="WAR90" s="208"/>
      <c r="WAS90" s="209"/>
      <c r="WAT90" s="207"/>
      <c r="WAU90" s="210"/>
      <c r="WAV90" s="209"/>
      <c r="WAW90" s="204"/>
      <c r="WAX90" s="204"/>
      <c r="WAY90" s="204"/>
      <c r="WAZ90" s="199"/>
      <c r="WBA90" s="167"/>
      <c r="WBB90" s="199"/>
      <c r="WBC90" s="200"/>
      <c r="WBD90" s="201"/>
      <c r="WBE90" s="202"/>
      <c r="WBF90" s="202"/>
      <c r="WBG90" s="202"/>
      <c r="WBH90" s="202"/>
      <c r="WBI90" s="203"/>
      <c r="WBJ90" s="204"/>
      <c r="WBK90" s="204"/>
      <c r="WBL90" s="204"/>
      <c r="WBM90" s="205"/>
      <c r="WBN90" s="206"/>
      <c r="WBO90" s="207"/>
      <c r="WBP90" s="207"/>
      <c r="WBQ90" s="208"/>
      <c r="WBR90" s="209"/>
      <c r="WBS90" s="207"/>
      <c r="WBT90" s="210"/>
      <c r="WBU90" s="209"/>
      <c r="WBV90" s="204"/>
      <c r="WBW90" s="204"/>
      <c r="WBX90" s="204"/>
      <c r="WBY90" s="199"/>
      <c r="WBZ90" s="167"/>
      <c r="WCA90" s="199"/>
      <c r="WCB90" s="200"/>
      <c r="WCC90" s="201"/>
      <c r="WCD90" s="202"/>
      <c r="WCE90" s="202"/>
      <c r="WCF90" s="202"/>
      <c r="WCG90" s="202"/>
      <c r="WCH90" s="203"/>
      <c r="WCI90" s="204"/>
      <c r="WCJ90" s="204"/>
      <c r="WCK90" s="204"/>
      <c r="WCL90" s="205"/>
      <c r="WCM90" s="206"/>
      <c r="WCN90" s="207"/>
      <c r="WCO90" s="207"/>
      <c r="WCP90" s="208"/>
      <c r="WCQ90" s="209"/>
      <c r="WCR90" s="207"/>
      <c r="WCS90" s="210"/>
      <c r="WCT90" s="209"/>
      <c r="WCU90" s="204"/>
      <c r="WCV90" s="204"/>
      <c r="WCW90" s="204"/>
      <c r="WCX90" s="199"/>
      <c r="WCY90" s="167"/>
      <c r="WCZ90" s="199"/>
      <c r="WDA90" s="200"/>
      <c r="WDB90" s="201"/>
      <c r="WDC90" s="202"/>
      <c r="WDD90" s="202"/>
      <c r="WDE90" s="202"/>
      <c r="WDF90" s="202"/>
      <c r="WDG90" s="203"/>
      <c r="WDH90" s="204"/>
      <c r="WDI90" s="204"/>
      <c r="WDJ90" s="204"/>
      <c r="WDK90" s="205"/>
      <c r="WDL90" s="206"/>
      <c r="WDM90" s="207"/>
      <c r="WDN90" s="207"/>
      <c r="WDO90" s="208"/>
      <c r="WDP90" s="209"/>
      <c r="WDQ90" s="207"/>
      <c r="WDR90" s="210"/>
      <c r="WDS90" s="209"/>
      <c r="WDT90" s="204"/>
      <c r="WDU90" s="204"/>
      <c r="WDV90" s="204"/>
      <c r="WDW90" s="199"/>
      <c r="WDX90" s="167"/>
      <c r="WDY90" s="199"/>
      <c r="WDZ90" s="200"/>
      <c r="WEA90" s="201"/>
      <c r="WEB90" s="202"/>
      <c r="WEC90" s="202"/>
      <c r="WED90" s="202"/>
      <c r="WEE90" s="202"/>
      <c r="WEF90" s="203"/>
      <c r="WEG90" s="204"/>
      <c r="WEH90" s="204"/>
      <c r="WEI90" s="204"/>
      <c r="WEJ90" s="205"/>
      <c r="WEK90" s="206"/>
      <c r="WEL90" s="207"/>
      <c r="WEM90" s="207"/>
      <c r="WEN90" s="208"/>
      <c r="WEO90" s="209"/>
      <c r="WEP90" s="207"/>
      <c r="WEQ90" s="210"/>
      <c r="WER90" s="209"/>
      <c r="WES90" s="204"/>
      <c r="WET90" s="204"/>
      <c r="WEU90" s="204"/>
      <c r="WEV90" s="199"/>
      <c r="WEW90" s="167"/>
      <c r="WEX90" s="199"/>
      <c r="WEY90" s="200"/>
      <c r="WEZ90" s="201"/>
      <c r="WFA90" s="202"/>
      <c r="WFB90" s="202"/>
      <c r="WFC90" s="202"/>
      <c r="WFD90" s="202"/>
      <c r="WFE90" s="203"/>
      <c r="WFF90" s="204"/>
      <c r="WFG90" s="204"/>
      <c r="WFH90" s="204"/>
      <c r="WFI90" s="205"/>
      <c r="WFJ90" s="206"/>
      <c r="WFK90" s="207"/>
      <c r="WFL90" s="207"/>
      <c r="WFM90" s="208"/>
      <c r="WFN90" s="209"/>
      <c r="WFO90" s="207"/>
      <c r="WFP90" s="210"/>
      <c r="WFQ90" s="209"/>
      <c r="WFR90" s="204"/>
      <c r="WFS90" s="204"/>
      <c r="WFT90" s="204"/>
      <c r="WFU90" s="199"/>
      <c r="WFV90" s="167"/>
      <c r="WFW90" s="199"/>
      <c r="WFX90" s="200"/>
      <c r="WFY90" s="201"/>
      <c r="WFZ90" s="202"/>
      <c r="WGA90" s="202"/>
      <c r="WGB90" s="202"/>
      <c r="WGC90" s="202"/>
      <c r="WGD90" s="203"/>
      <c r="WGE90" s="204"/>
      <c r="WGF90" s="204"/>
      <c r="WGG90" s="204"/>
      <c r="WGH90" s="205"/>
      <c r="WGI90" s="206"/>
      <c r="WGJ90" s="207"/>
      <c r="WGK90" s="207"/>
      <c r="WGL90" s="208"/>
      <c r="WGM90" s="209"/>
      <c r="WGN90" s="207"/>
      <c r="WGO90" s="210"/>
      <c r="WGP90" s="209"/>
      <c r="WGQ90" s="204"/>
      <c r="WGR90" s="204"/>
      <c r="WGS90" s="204"/>
      <c r="WGT90" s="199"/>
      <c r="WGU90" s="167"/>
      <c r="WGV90" s="199"/>
      <c r="WGW90" s="200"/>
      <c r="WGX90" s="201"/>
      <c r="WGY90" s="202"/>
      <c r="WGZ90" s="202"/>
      <c r="WHA90" s="202"/>
      <c r="WHB90" s="202"/>
      <c r="WHC90" s="203"/>
      <c r="WHD90" s="204"/>
      <c r="WHE90" s="204"/>
      <c r="WHF90" s="204"/>
      <c r="WHG90" s="205"/>
      <c r="WHH90" s="206"/>
      <c r="WHI90" s="207"/>
      <c r="WHJ90" s="207"/>
      <c r="WHK90" s="208"/>
      <c r="WHL90" s="209"/>
      <c r="WHM90" s="207"/>
      <c r="WHN90" s="210"/>
      <c r="WHO90" s="209"/>
      <c r="WHP90" s="204"/>
      <c r="WHQ90" s="204"/>
      <c r="WHR90" s="204"/>
      <c r="WHS90" s="199"/>
      <c r="WHT90" s="167"/>
      <c r="WHU90" s="199"/>
      <c r="WHV90" s="200"/>
      <c r="WHW90" s="201"/>
      <c r="WHX90" s="202"/>
      <c r="WHY90" s="202"/>
      <c r="WHZ90" s="202"/>
      <c r="WIA90" s="202"/>
      <c r="WIB90" s="203"/>
      <c r="WIC90" s="204"/>
      <c r="WID90" s="204"/>
      <c r="WIE90" s="204"/>
      <c r="WIF90" s="205"/>
      <c r="WIG90" s="206"/>
      <c r="WIH90" s="207"/>
      <c r="WII90" s="207"/>
      <c r="WIJ90" s="208"/>
      <c r="WIK90" s="209"/>
      <c r="WIL90" s="207"/>
      <c r="WIM90" s="210"/>
      <c r="WIN90" s="209"/>
      <c r="WIO90" s="204"/>
      <c r="WIP90" s="204"/>
      <c r="WIQ90" s="204"/>
      <c r="WIR90" s="199"/>
      <c r="WIS90" s="167"/>
      <c r="WIT90" s="199"/>
      <c r="WIU90" s="200"/>
      <c r="WIV90" s="201"/>
      <c r="WIW90" s="202"/>
      <c r="WIX90" s="202"/>
      <c r="WIY90" s="202"/>
      <c r="WIZ90" s="202"/>
      <c r="WJA90" s="203"/>
      <c r="WJB90" s="204"/>
      <c r="WJC90" s="204"/>
      <c r="WJD90" s="204"/>
      <c r="WJE90" s="205"/>
      <c r="WJF90" s="206"/>
      <c r="WJG90" s="207"/>
      <c r="WJH90" s="207"/>
      <c r="WJI90" s="208"/>
      <c r="WJJ90" s="209"/>
      <c r="WJK90" s="207"/>
      <c r="WJL90" s="210"/>
      <c r="WJM90" s="209"/>
      <c r="WJN90" s="204"/>
      <c r="WJO90" s="204"/>
      <c r="WJP90" s="204"/>
      <c r="WJQ90" s="199"/>
      <c r="WJR90" s="167"/>
      <c r="WJS90" s="199"/>
      <c r="WJT90" s="200"/>
      <c r="WJU90" s="201"/>
      <c r="WJV90" s="202"/>
      <c r="WJW90" s="202"/>
      <c r="WJX90" s="202"/>
      <c r="WJY90" s="202"/>
      <c r="WJZ90" s="203"/>
      <c r="WKA90" s="204"/>
      <c r="WKB90" s="204"/>
      <c r="WKC90" s="204"/>
      <c r="WKD90" s="205"/>
      <c r="WKE90" s="206"/>
      <c r="WKF90" s="207"/>
      <c r="WKG90" s="207"/>
      <c r="WKH90" s="208"/>
      <c r="WKI90" s="209"/>
      <c r="WKJ90" s="207"/>
      <c r="WKK90" s="210"/>
      <c r="WKL90" s="209"/>
      <c r="WKM90" s="204"/>
      <c r="WKN90" s="204"/>
      <c r="WKO90" s="204"/>
      <c r="WKP90" s="199"/>
      <c r="WKQ90" s="167"/>
      <c r="WKR90" s="199"/>
      <c r="WKS90" s="200"/>
      <c r="WKT90" s="201"/>
      <c r="WKU90" s="202"/>
      <c r="WKV90" s="202"/>
      <c r="WKW90" s="202"/>
      <c r="WKX90" s="202"/>
      <c r="WKY90" s="203"/>
      <c r="WKZ90" s="204"/>
      <c r="WLA90" s="204"/>
      <c r="WLB90" s="204"/>
      <c r="WLC90" s="205"/>
      <c r="WLD90" s="206"/>
      <c r="WLE90" s="207"/>
      <c r="WLF90" s="207"/>
      <c r="WLG90" s="208"/>
      <c r="WLH90" s="209"/>
      <c r="WLI90" s="207"/>
      <c r="WLJ90" s="210"/>
      <c r="WLK90" s="209"/>
      <c r="WLL90" s="204"/>
      <c r="WLM90" s="204"/>
      <c r="WLN90" s="204"/>
      <c r="WLO90" s="199"/>
      <c r="WLP90" s="167"/>
      <c r="WLQ90" s="199"/>
      <c r="WLR90" s="200"/>
      <c r="WLS90" s="201"/>
      <c r="WLT90" s="202"/>
      <c r="WLU90" s="202"/>
      <c r="WLV90" s="202"/>
      <c r="WLW90" s="202"/>
      <c r="WLX90" s="203"/>
      <c r="WLY90" s="204"/>
      <c r="WLZ90" s="204"/>
      <c r="WMA90" s="204"/>
      <c r="WMB90" s="205"/>
      <c r="WMC90" s="206"/>
      <c r="WMD90" s="207"/>
      <c r="WME90" s="207"/>
      <c r="WMF90" s="208"/>
      <c r="WMG90" s="209"/>
      <c r="WMH90" s="207"/>
      <c r="WMI90" s="210"/>
      <c r="WMJ90" s="209"/>
      <c r="WMK90" s="204"/>
      <c r="WML90" s="204"/>
      <c r="WMM90" s="204"/>
      <c r="WMN90" s="199"/>
      <c r="WMO90" s="167"/>
      <c r="WMP90" s="199"/>
      <c r="WMQ90" s="200"/>
      <c r="WMR90" s="201"/>
      <c r="WMS90" s="202"/>
      <c r="WMT90" s="202"/>
      <c r="WMU90" s="202"/>
      <c r="WMV90" s="202"/>
      <c r="WMW90" s="203"/>
      <c r="WMX90" s="204"/>
      <c r="WMY90" s="204"/>
      <c r="WMZ90" s="204"/>
      <c r="WNA90" s="205"/>
      <c r="WNB90" s="206"/>
      <c r="WNC90" s="207"/>
      <c r="WND90" s="207"/>
      <c r="WNE90" s="208"/>
      <c r="WNF90" s="209"/>
      <c r="WNG90" s="207"/>
      <c r="WNH90" s="210"/>
      <c r="WNI90" s="209"/>
      <c r="WNJ90" s="204"/>
      <c r="WNK90" s="204"/>
      <c r="WNL90" s="204"/>
      <c r="WNM90" s="199"/>
      <c r="WNN90" s="167"/>
      <c r="WNO90" s="199"/>
      <c r="WNP90" s="200"/>
      <c r="WNQ90" s="201"/>
      <c r="WNR90" s="202"/>
      <c r="WNS90" s="202"/>
      <c r="WNT90" s="202"/>
      <c r="WNU90" s="202"/>
      <c r="WNV90" s="203"/>
      <c r="WNW90" s="204"/>
      <c r="WNX90" s="204"/>
      <c r="WNY90" s="204"/>
      <c r="WNZ90" s="205"/>
      <c r="WOA90" s="206"/>
      <c r="WOB90" s="207"/>
      <c r="WOC90" s="207"/>
      <c r="WOD90" s="208"/>
      <c r="WOE90" s="209"/>
      <c r="WOF90" s="207"/>
      <c r="WOG90" s="210"/>
      <c r="WOH90" s="209"/>
      <c r="WOI90" s="204"/>
      <c r="WOJ90" s="204"/>
      <c r="WOK90" s="204"/>
      <c r="WOL90" s="199"/>
      <c r="WOM90" s="167"/>
      <c r="WON90" s="199"/>
      <c r="WOO90" s="200"/>
      <c r="WOP90" s="201"/>
      <c r="WOQ90" s="202"/>
      <c r="WOR90" s="202"/>
      <c r="WOS90" s="202"/>
      <c r="WOT90" s="202"/>
      <c r="WOU90" s="203"/>
      <c r="WOV90" s="204"/>
      <c r="WOW90" s="204"/>
      <c r="WOX90" s="204"/>
      <c r="WOY90" s="205"/>
      <c r="WOZ90" s="206"/>
      <c r="WPA90" s="207"/>
      <c r="WPB90" s="207"/>
      <c r="WPC90" s="208"/>
      <c r="WPD90" s="209"/>
      <c r="WPE90" s="207"/>
      <c r="WPF90" s="210"/>
      <c r="WPG90" s="209"/>
      <c r="WPH90" s="204"/>
      <c r="WPI90" s="204"/>
      <c r="WPJ90" s="204"/>
      <c r="WPK90" s="199"/>
      <c r="WPL90" s="167"/>
      <c r="WPM90" s="199"/>
      <c r="WPN90" s="200"/>
      <c r="WPO90" s="201"/>
      <c r="WPP90" s="202"/>
      <c r="WPQ90" s="202"/>
      <c r="WPR90" s="202"/>
      <c r="WPS90" s="202"/>
      <c r="WPT90" s="203"/>
      <c r="WPU90" s="204"/>
      <c r="WPV90" s="204"/>
      <c r="WPW90" s="204"/>
      <c r="WPX90" s="205"/>
      <c r="WPY90" s="206"/>
      <c r="WPZ90" s="207"/>
      <c r="WQA90" s="207"/>
      <c r="WQB90" s="208"/>
      <c r="WQC90" s="209"/>
      <c r="WQD90" s="207"/>
      <c r="WQE90" s="210"/>
      <c r="WQF90" s="209"/>
      <c r="WQG90" s="204"/>
      <c r="WQH90" s="204"/>
      <c r="WQI90" s="204"/>
      <c r="WQJ90" s="199"/>
      <c r="WQK90" s="167"/>
      <c r="WQL90" s="199"/>
      <c r="WQM90" s="200"/>
      <c r="WQN90" s="201"/>
      <c r="WQO90" s="202"/>
      <c r="WQP90" s="202"/>
      <c r="WQQ90" s="202"/>
      <c r="WQR90" s="202"/>
      <c r="WQS90" s="203"/>
      <c r="WQT90" s="204"/>
      <c r="WQU90" s="204"/>
      <c r="WQV90" s="204"/>
      <c r="WQW90" s="205"/>
      <c r="WQX90" s="206"/>
      <c r="WQY90" s="207"/>
      <c r="WQZ90" s="207"/>
      <c r="WRA90" s="208"/>
      <c r="WRB90" s="209"/>
      <c r="WRC90" s="207"/>
      <c r="WRD90" s="210"/>
      <c r="WRE90" s="209"/>
      <c r="WRF90" s="204"/>
      <c r="WRG90" s="204"/>
      <c r="WRH90" s="204"/>
      <c r="WRI90" s="199"/>
      <c r="WRJ90" s="167"/>
      <c r="WRK90" s="199"/>
      <c r="WRL90" s="200"/>
      <c r="WRM90" s="201"/>
      <c r="WRN90" s="202"/>
      <c r="WRO90" s="202"/>
      <c r="WRP90" s="202"/>
      <c r="WRQ90" s="202"/>
      <c r="WRR90" s="203"/>
      <c r="WRS90" s="204"/>
      <c r="WRT90" s="204"/>
      <c r="WRU90" s="204"/>
      <c r="WRV90" s="205"/>
      <c r="WRW90" s="206"/>
      <c r="WRX90" s="207"/>
      <c r="WRY90" s="207"/>
      <c r="WRZ90" s="208"/>
      <c r="WSA90" s="209"/>
      <c r="WSB90" s="207"/>
      <c r="WSC90" s="210"/>
      <c r="WSD90" s="209"/>
      <c r="WSE90" s="204"/>
      <c r="WSF90" s="204"/>
      <c r="WSG90" s="204"/>
      <c r="WSH90" s="199"/>
      <c r="WSI90" s="167"/>
      <c r="WSJ90" s="199"/>
      <c r="WSK90" s="200"/>
      <c r="WSL90" s="201"/>
      <c r="WSM90" s="202"/>
      <c r="WSN90" s="202"/>
      <c r="WSO90" s="202"/>
      <c r="WSP90" s="202"/>
      <c r="WSQ90" s="203"/>
      <c r="WSR90" s="204"/>
      <c r="WSS90" s="204"/>
      <c r="WST90" s="204"/>
      <c r="WSU90" s="205"/>
      <c r="WSV90" s="206"/>
      <c r="WSW90" s="207"/>
      <c r="WSX90" s="207"/>
      <c r="WSY90" s="208"/>
      <c r="WSZ90" s="209"/>
      <c r="WTA90" s="207"/>
      <c r="WTB90" s="210"/>
      <c r="WTC90" s="209"/>
      <c r="WTD90" s="204"/>
      <c r="WTE90" s="204"/>
      <c r="WTF90" s="204"/>
      <c r="WTG90" s="199"/>
      <c r="WTH90" s="167"/>
      <c r="WTI90" s="199"/>
      <c r="WTJ90" s="200"/>
      <c r="WTK90" s="201"/>
      <c r="WTL90" s="202"/>
      <c r="WTM90" s="202"/>
      <c r="WTN90" s="202"/>
      <c r="WTO90" s="202"/>
      <c r="WTP90" s="203"/>
      <c r="WTQ90" s="204"/>
      <c r="WTR90" s="204"/>
      <c r="WTS90" s="204"/>
      <c r="WTT90" s="205"/>
      <c r="WTU90" s="206"/>
      <c r="WTV90" s="207"/>
      <c r="WTW90" s="207"/>
      <c r="WTX90" s="208"/>
      <c r="WTY90" s="209"/>
      <c r="WTZ90" s="207"/>
      <c r="WUA90" s="210"/>
      <c r="WUB90" s="209"/>
      <c r="WUC90" s="204"/>
      <c r="WUD90" s="204"/>
      <c r="WUE90" s="204"/>
      <c r="WUF90" s="199"/>
      <c r="WUG90" s="167"/>
      <c r="WUH90" s="199"/>
      <c r="WUI90" s="200"/>
      <c r="WUJ90" s="201"/>
      <c r="WUK90" s="202"/>
      <c r="WUL90" s="202"/>
      <c r="WUM90" s="202"/>
      <c r="WUN90" s="202"/>
      <c r="WUO90" s="203"/>
      <c r="WUP90" s="204"/>
      <c r="WUQ90" s="204"/>
      <c r="WUR90" s="204"/>
      <c r="WUS90" s="205"/>
      <c r="WUT90" s="206"/>
      <c r="WUU90" s="207"/>
      <c r="WUV90" s="207"/>
      <c r="WUW90" s="208"/>
      <c r="WUX90" s="209"/>
      <c r="WUY90" s="207"/>
      <c r="WUZ90" s="210"/>
      <c r="WVA90" s="209"/>
      <c r="WVB90" s="204"/>
      <c r="WVC90" s="204"/>
      <c r="WVD90" s="204"/>
      <c r="WVE90" s="199"/>
      <c r="WVF90" s="167"/>
      <c r="WVG90" s="199"/>
      <c r="WVH90" s="200"/>
      <c r="WVI90" s="201"/>
      <c r="WVJ90" s="202"/>
      <c r="WVK90" s="202"/>
      <c r="WVL90" s="202"/>
      <c r="WVM90" s="202"/>
      <c r="WVN90" s="203"/>
      <c r="WVO90" s="204"/>
      <c r="WVP90" s="204"/>
      <c r="WVQ90" s="204"/>
      <c r="WVR90" s="205"/>
      <c r="WVS90" s="206"/>
      <c r="WVT90" s="207"/>
      <c r="WVU90" s="207"/>
      <c r="WVV90" s="208"/>
      <c r="WVW90" s="209"/>
      <c r="WVX90" s="207"/>
      <c r="WVY90" s="210"/>
      <c r="WVZ90" s="209"/>
      <c r="WWA90" s="204"/>
      <c r="WWB90" s="204"/>
      <c r="WWC90" s="204"/>
      <c r="WWD90" s="199"/>
      <c r="WWE90" s="167"/>
      <c r="WWF90" s="199"/>
      <c r="WWG90" s="200"/>
      <c r="WWH90" s="201"/>
      <c r="WWI90" s="202"/>
      <c r="WWJ90" s="202"/>
      <c r="WWK90" s="202"/>
      <c r="WWL90" s="202"/>
      <c r="WWM90" s="203"/>
      <c r="WWN90" s="204"/>
      <c r="WWO90" s="204"/>
      <c r="WWP90" s="204"/>
      <c r="WWQ90" s="205"/>
      <c r="WWR90" s="206"/>
      <c r="WWS90" s="207"/>
      <c r="WWT90" s="207"/>
      <c r="WWU90" s="208"/>
      <c r="WWV90" s="209"/>
      <c r="WWW90" s="207"/>
      <c r="WWX90" s="210"/>
      <c r="WWY90" s="209"/>
      <c r="WWZ90" s="204"/>
      <c r="WXA90" s="204"/>
      <c r="WXB90" s="204"/>
      <c r="WXC90" s="199"/>
      <c r="WXD90" s="167"/>
      <c r="WXE90" s="199"/>
      <c r="WXF90" s="200"/>
      <c r="WXG90" s="201"/>
      <c r="WXH90" s="202"/>
      <c r="WXI90" s="202"/>
      <c r="WXJ90" s="202"/>
      <c r="WXK90" s="202"/>
      <c r="WXL90" s="203"/>
      <c r="WXM90" s="204"/>
      <c r="WXN90" s="204"/>
      <c r="WXO90" s="204"/>
      <c r="WXP90" s="205"/>
      <c r="WXQ90" s="206"/>
      <c r="WXR90" s="207"/>
      <c r="WXS90" s="207"/>
      <c r="WXT90" s="208"/>
      <c r="WXU90" s="209"/>
      <c r="WXV90" s="207"/>
      <c r="WXW90" s="210"/>
      <c r="WXX90" s="209"/>
      <c r="WXY90" s="204"/>
      <c r="WXZ90" s="204"/>
      <c r="WYA90" s="204"/>
      <c r="WYB90" s="199"/>
      <c r="WYC90" s="167"/>
      <c r="WYD90" s="199"/>
      <c r="WYE90" s="200"/>
      <c r="WYF90" s="201"/>
      <c r="WYG90" s="202"/>
      <c r="WYH90" s="202"/>
      <c r="WYI90" s="202"/>
      <c r="WYJ90" s="202"/>
      <c r="WYK90" s="203"/>
      <c r="WYL90" s="204"/>
      <c r="WYM90" s="204"/>
      <c r="WYN90" s="204"/>
      <c r="WYO90" s="205"/>
      <c r="WYP90" s="206"/>
      <c r="WYQ90" s="207"/>
      <c r="WYR90" s="207"/>
      <c r="WYS90" s="208"/>
      <c r="WYT90" s="209"/>
      <c r="WYU90" s="207"/>
      <c r="WYV90" s="210"/>
      <c r="WYW90" s="209"/>
      <c r="WYX90" s="204"/>
      <c r="WYY90" s="204"/>
      <c r="WYZ90" s="204"/>
      <c r="WZA90" s="199"/>
      <c r="WZB90" s="167"/>
      <c r="WZC90" s="199"/>
      <c r="WZD90" s="200"/>
      <c r="WZE90" s="201"/>
      <c r="WZF90" s="202"/>
      <c r="WZG90" s="202"/>
      <c r="WZH90" s="202"/>
      <c r="WZI90" s="202"/>
      <c r="WZJ90" s="203"/>
      <c r="WZK90" s="204"/>
      <c r="WZL90" s="204"/>
      <c r="WZM90" s="204"/>
      <c r="WZN90" s="205"/>
      <c r="WZO90" s="206"/>
      <c r="WZP90" s="207"/>
      <c r="WZQ90" s="207"/>
      <c r="WZR90" s="208"/>
      <c r="WZS90" s="209"/>
      <c r="WZT90" s="207"/>
      <c r="WZU90" s="210"/>
      <c r="WZV90" s="209"/>
      <c r="WZW90" s="204"/>
      <c r="WZX90" s="204"/>
      <c r="WZY90" s="204"/>
      <c r="WZZ90" s="199"/>
      <c r="XAA90" s="167"/>
      <c r="XAB90" s="199"/>
      <c r="XAC90" s="200"/>
      <c r="XAD90" s="201"/>
      <c r="XAE90" s="202"/>
      <c r="XAF90" s="202"/>
      <c r="XAG90" s="202"/>
      <c r="XAH90" s="202"/>
      <c r="XAI90" s="203"/>
      <c r="XAJ90" s="204"/>
      <c r="XAK90" s="204"/>
      <c r="XAL90" s="204"/>
      <c r="XAM90" s="205"/>
      <c r="XAN90" s="206"/>
      <c r="XAO90" s="207"/>
      <c r="XAP90" s="207"/>
      <c r="XAQ90" s="208"/>
      <c r="XAR90" s="209"/>
      <c r="XAS90" s="207"/>
      <c r="XAT90" s="210"/>
      <c r="XAU90" s="209"/>
      <c r="XAV90" s="204"/>
      <c r="XAW90" s="204"/>
      <c r="XAX90" s="204"/>
      <c r="XAY90" s="199"/>
      <c r="XAZ90" s="167"/>
      <c r="XBA90" s="199"/>
      <c r="XBB90" s="200"/>
      <c r="XBC90" s="201"/>
      <c r="XBD90" s="202"/>
      <c r="XBE90" s="202"/>
      <c r="XBF90" s="202"/>
      <c r="XBG90" s="202"/>
      <c r="XBH90" s="203"/>
      <c r="XBI90" s="204"/>
      <c r="XBJ90" s="204"/>
      <c r="XBK90" s="204"/>
      <c r="XBL90" s="205"/>
      <c r="XBM90" s="206"/>
      <c r="XBN90" s="207"/>
      <c r="XBO90" s="207"/>
      <c r="XBP90" s="208"/>
      <c r="XBQ90" s="209"/>
      <c r="XBR90" s="207"/>
      <c r="XBS90" s="210"/>
      <c r="XBT90" s="209"/>
      <c r="XBU90" s="204"/>
      <c r="XBV90" s="204"/>
      <c r="XBW90" s="204"/>
      <c r="XBX90" s="199"/>
      <c r="XBY90" s="167"/>
      <c r="XBZ90" s="199"/>
      <c r="XCA90" s="200"/>
      <c r="XCB90" s="201"/>
      <c r="XCC90" s="202"/>
      <c r="XCD90" s="202"/>
      <c r="XCE90" s="202"/>
      <c r="XCF90" s="202"/>
      <c r="XCG90" s="203"/>
      <c r="XCH90" s="204"/>
      <c r="XCI90" s="204"/>
      <c r="XCJ90" s="204"/>
      <c r="XCK90" s="205"/>
      <c r="XCL90" s="206"/>
      <c r="XCM90" s="207"/>
      <c r="XCN90" s="207"/>
      <c r="XCO90" s="208"/>
      <c r="XCP90" s="209"/>
      <c r="XCQ90" s="207"/>
      <c r="XCR90" s="210"/>
      <c r="XCS90" s="209"/>
      <c r="XCT90" s="204"/>
      <c r="XCU90" s="204"/>
      <c r="XCV90" s="204"/>
      <c r="XCW90" s="199"/>
      <c r="XCX90" s="167"/>
      <c r="XCY90" s="199"/>
      <c r="XCZ90" s="200"/>
      <c r="XDA90" s="201"/>
      <c r="XDB90" s="202"/>
      <c r="XDC90" s="202"/>
      <c r="XDD90" s="202"/>
      <c r="XDE90" s="202"/>
      <c r="XDF90" s="203"/>
      <c r="XDG90" s="204"/>
      <c r="XDH90" s="204"/>
      <c r="XDI90" s="204"/>
      <c r="XDJ90" s="205"/>
      <c r="XDK90" s="206"/>
      <c r="XDL90" s="207"/>
      <c r="XDM90" s="207"/>
      <c r="XDN90" s="208"/>
      <c r="XDO90" s="209"/>
      <c r="XDP90" s="207"/>
      <c r="XDQ90" s="210"/>
      <c r="XDR90" s="209"/>
      <c r="XDS90" s="204"/>
      <c r="XDT90" s="204"/>
      <c r="XDU90" s="204"/>
      <c r="XDV90" s="199"/>
      <c r="XDW90" s="167"/>
      <c r="XDX90" s="199"/>
      <c r="XDY90" s="200"/>
      <c r="XDZ90" s="201"/>
      <c r="XEA90" s="202"/>
      <c r="XEB90" s="202"/>
      <c r="XEC90" s="202"/>
      <c r="XED90" s="202"/>
      <c r="XEE90" s="203"/>
      <c r="XEF90" s="204"/>
      <c r="XEG90" s="204"/>
      <c r="XEH90" s="204"/>
      <c r="XEI90" s="205"/>
      <c r="XEJ90" s="206"/>
      <c r="XEK90" s="207"/>
      <c r="XEL90" s="207"/>
      <c r="XEM90" s="208"/>
      <c r="XEN90" s="209"/>
      <c r="XEO90" s="207"/>
      <c r="XEP90" s="210"/>
      <c r="XEQ90" s="209"/>
      <c r="XER90" s="204"/>
      <c r="XES90" s="204"/>
      <c r="XET90" s="204"/>
      <c r="XEU90" s="199"/>
      <c r="XEV90" s="167"/>
      <c r="XEW90" s="199"/>
      <c r="XEX90" s="200"/>
      <c r="XEY90" s="201"/>
      <c r="XEZ90" s="202"/>
      <c r="XFA90" s="202"/>
      <c r="XFB90" s="202"/>
      <c r="XFC90" s="202"/>
    </row>
    <row r="91" spans="1:16383" ht="20" thickBot="1" x14ac:dyDescent="0.25">
      <c r="A91" s="49">
        <v>1</v>
      </c>
      <c r="B91" s="193"/>
      <c r="C91" s="193"/>
      <c r="D91" s="69"/>
      <c r="E91" s="50"/>
      <c r="F91" s="400" t="s">
        <v>232</v>
      </c>
      <c r="G91" s="30"/>
      <c r="H91" s="30"/>
      <c r="I91" s="30"/>
      <c r="J91" s="30"/>
      <c r="K91" s="109"/>
      <c r="L91" s="110"/>
      <c r="M91" s="110"/>
      <c r="N91" s="110"/>
      <c r="O91" s="109"/>
      <c r="P91" s="110"/>
      <c r="Q91" s="194"/>
      <c r="R91" s="194"/>
      <c r="S91" s="195"/>
      <c r="T91" s="196"/>
      <c r="U91" s="194"/>
      <c r="V91" s="197"/>
      <c r="W91" s="196"/>
      <c r="X91" s="593"/>
      <c r="Y91" s="593"/>
      <c r="Z91" s="594"/>
      <c r="AA91" s="199"/>
      <c r="AB91" s="200"/>
      <c r="AC91" s="201"/>
      <c r="AD91" s="202"/>
      <c r="AE91" s="202"/>
      <c r="AF91" s="202"/>
      <c r="AG91" s="202"/>
      <c r="AH91" s="203"/>
      <c r="AI91" s="204"/>
      <c r="AJ91" s="204"/>
      <c r="AK91" s="204"/>
      <c r="AL91" s="205"/>
      <c r="AM91" s="206"/>
      <c r="AN91" s="207"/>
      <c r="AO91" s="207"/>
      <c r="AP91" s="208"/>
      <c r="AQ91" s="209"/>
      <c r="AR91" s="207"/>
      <c r="AS91" s="210"/>
      <c r="AT91" s="209"/>
      <c r="AU91" s="204"/>
      <c r="AV91" s="204"/>
      <c r="AW91" s="204"/>
      <c r="AX91" s="199"/>
      <c r="AY91" s="167"/>
      <c r="AZ91" s="199"/>
      <c r="BA91" s="200"/>
      <c r="BB91" s="201"/>
      <c r="BC91" s="202"/>
      <c r="BD91" s="202"/>
      <c r="BE91" s="202"/>
      <c r="BF91" s="202"/>
      <c r="BG91" s="203"/>
      <c r="BH91" s="204"/>
      <c r="BI91" s="204"/>
      <c r="BJ91" s="204"/>
      <c r="BK91" s="205"/>
      <c r="BL91" s="206"/>
      <c r="BM91" s="207"/>
      <c r="BN91" s="207"/>
      <c r="BO91" s="208"/>
      <c r="BP91" s="209"/>
      <c r="BQ91" s="207"/>
      <c r="BR91" s="210"/>
      <c r="BS91" s="209"/>
      <c r="BT91" s="204"/>
      <c r="BU91" s="204"/>
      <c r="BV91" s="204"/>
      <c r="BW91" s="199"/>
      <c r="BX91" s="167"/>
      <c r="BY91" s="199"/>
      <c r="BZ91" s="200"/>
      <c r="CA91" s="201"/>
      <c r="CB91" s="202"/>
      <c r="CC91" s="202"/>
      <c r="CD91" s="202"/>
      <c r="CE91" s="202"/>
      <c r="CF91" s="203"/>
      <c r="CG91" s="204"/>
      <c r="CH91" s="204"/>
      <c r="CI91" s="204"/>
      <c r="CJ91" s="205"/>
      <c r="CK91" s="206"/>
      <c r="CL91" s="207"/>
      <c r="CM91" s="207"/>
      <c r="CN91" s="208"/>
      <c r="CO91" s="209"/>
      <c r="CP91" s="207"/>
      <c r="CQ91" s="210"/>
      <c r="CR91" s="209"/>
      <c r="CS91" s="204"/>
      <c r="CT91" s="204"/>
      <c r="CU91" s="204"/>
      <c r="CV91" s="199"/>
      <c r="CW91" s="167"/>
      <c r="CX91" s="199"/>
      <c r="CY91" s="200"/>
      <c r="CZ91" s="201"/>
      <c r="DA91" s="202"/>
      <c r="DB91" s="202"/>
      <c r="DC91" s="202"/>
      <c r="DD91" s="202"/>
      <c r="DE91" s="203"/>
      <c r="DF91" s="204"/>
      <c r="DG91" s="204"/>
      <c r="DH91" s="204"/>
      <c r="DI91" s="205"/>
      <c r="DJ91" s="206"/>
      <c r="DK91" s="207"/>
      <c r="DL91" s="207"/>
      <c r="DM91" s="208"/>
      <c r="DN91" s="209"/>
      <c r="DO91" s="207"/>
      <c r="DP91" s="210"/>
      <c r="DQ91" s="209"/>
      <c r="DR91" s="204"/>
      <c r="DS91" s="204"/>
      <c r="DT91" s="204"/>
      <c r="DU91" s="199"/>
      <c r="DV91" s="167"/>
      <c r="DW91" s="199"/>
      <c r="DX91" s="200"/>
      <c r="DY91" s="201"/>
      <c r="DZ91" s="202"/>
      <c r="EA91" s="202"/>
      <c r="EB91" s="202"/>
      <c r="EC91" s="202"/>
      <c r="ED91" s="203"/>
      <c r="EE91" s="204"/>
      <c r="EF91" s="204"/>
      <c r="EG91" s="204"/>
      <c r="EH91" s="205"/>
      <c r="EI91" s="206"/>
      <c r="EJ91" s="207"/>
      <c r="EK91" s="207"/>
      <c r="EL91" s="208"/>
      <c r="EM91" s="209"/>
      <c r="EN91" s="207"/>
      <c r="EO91" s="210"/>
      <c r="EP91" s="209"/>
      <c r="EQ91" s="204"/>
      <c r="ER91" s="204"/>
      <c r="ES91" s="204"/>
      <c r="ET91" s="199"/>
      <c r="EU91" s="167"/>
      <c r="EV91" s="199"/>
      <c r="EW91" s="200"/>
      <c r="EX91" s="201"/>
      <c r="EY91" s="202"/>
      <c r="EZ91" s="202"/>
      <c r="FA91" s="202"/>
      <c r="FB91" s="202"/>
      <c r="FC91" s="203"/>
      <c r="FD91" s="204"/>
      <c r="FE91" s="204"/>
      <c r="FF91" s="204"/>
      <c r="FG91" s="205"/>
      <c r="FH91" s="206"/>
      <c r="FI91" s="207"/>
      <c r="FJ91" s="207"/>
      <c r="FK91" s="208"/>
      <c r="FL91" s="209"/>
      <c r="FM91" s="207"/>
      <c r="FN91" s="210"/>
      <c r="FO91" s="209"/>
      <c r="FP91" s="204"/>
      <c r="FQ91" s="204"/>
      <c r="FR91" s="204"/>
      <c r="FS91" s="199"/>
      <c r="FT91" s="167"/>
      <c r="FU91" s="199"/>
      <c r="FV91" s="200"/>
      <c r="FW91" s="201"/>
      <c r="FX91" s="202"/>
      <c r="FY91" s="202"/>
      <c r="FZ91" s="202"/>
      <c r="GA91" s="202"/>
      <c r="GB91" s="203"/>
      <c r="GC91" s="204"/>
      <c r="GD91" s="204"/>
      <c r="GE91" s="204"/>
      <c r="GF91" s="205"/>
      <c r="GG91" s="206"/>
      <c r="GH91" s="207"/>
      <c r="GI91" s="207"/>
      <c r="GJ91" s="208"/>
      <c r="GK91" s="209"/>
      <c r="GL91" s="207"/>
      <c r="GM91" s="210"/>
      <c r="GN91" s="209"/>
      <c r="GO91" s="204"/>
      <c r="GP91" s="204"/>
      <c r="GQ91" s="204"/>
      <c r="GR91" s="199"/>
      <c r="GS91" s="167"/>
      <c r="GT91" s="199"/>
      <c r="GU91" s="200"/>
      <c r="GV91" s="201"/>
      <c r="GW91" s="202"/>
      <c r="GX91" s="202"/>
      <c r="GY91" s="202"/>
      <c r="GZ91" s="202"/>
      <c r="HA91" s="203"/>
      <c r="HB91" s="204"/>
      <c r="HC91" s="204"/>
      <c r="HD91" s="204"/>
      <c r="HE91" s="205"/>
      <c r="HF91" s="206"/>
      <c r="HG91" s="207"/>
      <c r="HH91" s="207"/>
      <c r="HI91" s="208"/>
      <c r="HJ91" s="209"/>
      <c r="HK91" s="207"/>
      <c r="HL91" s="210"/>
      <c r="HM91" s="209"/>
      <c r="HN91" s="204"/>
      <c r="HO91" s="204"/>
      <c r="HP91" s="204"/>
      <c r="HQ91" s="199"/>
      <c r="HR91" s="167"/>
      <c r="HS91" s="199"/>
      <c r="HT91" s="200"/>
      <c r="HU91" s="201"/>
      <c r="HV91" s="202"/>
      <c r="HW91" s="202"/>
      <c r="HX91" s="202"/>
      <c r="HY91" s="202"/>
      <c r="HZ91" s="203"/>
      <c r="IA91" s="204"/>
      <c r="IB91" s="204"/>
      <c r="IC91" s="204"/>
      <c r="ID91" s="205"/>
      <c r="IE91" s="206"/>
      <c r="IF91" s="207"/>
      <c r="IG91" s="207"/>
      <c r="IH91" s="208"/>
      <c r="II91" s="209"/>
      <c r="IJ91" s="207"/>
      <c r="IK91" s="210"/>
      <c r="IL91" s="209"/>
      <c r="IM91" s="204"/>
      <c r="IN91" s="204"/>
      <c r="IO91" s="204"/>
      <c r="IP91" s="199"/>
      <c r="IQ91" s="167"/>
      <c r="IR91" s="199"/>
      <c r="IS91" s="200"/>
      <c r="IT91" s="201"/>
      <c r="IU91" s="202"/>
      <c r="IV91" s="202"/>
      <c r="IW91" s="202"/>
      <c r="IX91" s="202"/>
      <c r="IY91" s="203"/>
      <c r="IZ91" s="204"/>
      <c r="JA91" s="204"/>
      <c r="JB91" s="204"/>
      <c r="JC91" s="205"/>
      <c r="JD91" s="206"/>
      <c r="JE91" s="207"/>
      <c r="JF91" s="207"/>
      <c r="JG91" s="208"/>
      <c r="JH91" s="209"/>
      <c r="JI91" s="207"/>
      <c r="JJ91" s="210"/>
      <c r="JK91" s="209"/>
      <c r="JL91" s="204"/>
      <c r="JM91" s="204"/>
      <c r="JN91" s="204"/>
      <c r="JO91" s="199"/>
      <c r="JP91" s="167"/>
      <c r="JQ91" s="199"/>
      <c r="JR91" s="200"/>
      <c r="JS91" s="201"/>
      <c r="JT91" s="202"/>
      <c r="JU91" s="202"/>
      <c r="JV91" s="202"/>
      <c r="JW91" s="202"/>
      <c r="JX91" s="203"/>
      <c r="JY91" s="204"/>
      <c r="JZ91" s="204"/>
      <c r="KA91" s="204"/>
      <c r="KB91" s="205"/>
      <c r="KC91" s="206"/>
      <c r="KD91" s="207"/>
      <c r="KE91" s="207"/>
      <c r="KF91" s="208"/>
      <c r="KG91" s="209"/>
      <c r="KH91" s="207"/>
      <c r="KI91" s="210"/>
      <c r="KJ91" s="209"/>
      <c r="KK91" s="204"/>
      <c r="KL91" s="204"/>
      <c r="KM91" s="204"/>
      <c r="KN91" s="199"/>
      <c r="KO91" s="167"/>
      <c r="KP91" s="199"/>
      <c r="KQ91" s="200"/>
      <c r="KR91" s="201"/>
      <c r="KS91" s="202"/>
      <c r="KT91" s="202"/>
      <c r="KU91" s="202"/>
      <c r="KV91" s="202"/>
      <c r="KW91" s="203"/>
      <c r="KX91" s="204"/>
      <c r="KY91" s="204"/>
      <c r="KZ91" s="204"/>
      <c r="LA91" s="205"/>
      <c r="LB91" s="206"/>
      <c r="LC91" s="207"/>
      <c r="LD91" s="207"/>
      <c r="LE91" s="208"/>
      <c r="LF91" s="209"/>
      <c r="LG91" s="207"/>
      <c r="LH91" s="210"/>
      <c r="LI91" s="209"/>
      <c r="LJ91" s="204"/>
      <c r="LK91" s="204"/>
      <c r="LL91" s="204"/>
      <c r="LM91" s="199"/>
      <c r="LN91" s="167"/>
      <c r="LO91" s="199"/>
      <c r="LP91" s="200"/>
      <c r="LQ91" s="201"/>
      <c r="LR91" s="202"/>
      <c r="LS91" s="202"/>
      <c r="LT91" s="202"/>
      <c r="LU91" s="202"/>
      <c r="LV91" s="203"/>
      <c r="LW91" s="204"/>
      <c r="LX91" s="204"/>
      <c r="LY91" s="204"/>
      <c r="LZ91" s="205"/>
      <c r="MA91" s="206"/>
      <c r="MB91" s="207"/>
      <c r="MC91" s="207"/>
      <c r="MD91" s="208"/>
      <c r="ME91" s="209"/>
      <c r="MF91" s="207"/>
      <c r="MG91" s="210"/>
      <c r="MH91" s="209"/>
      <c r="MI91" s="204"/>
      <c r="MJ91" s="204"/>
      <c r="MK91" s="204"/>
      <c r="ML91" s="199"/>
      <c r="MM91" s="167"/>
      <c r="MN91" s="199"/>
      <c r="MO91" s="200"/>
      <c r="MP91" s="201"/>
      <c r="MQ91" s="202"/>
      <c r="MR91" s="202"/>
      <c r="MS91" s="202"/>
      <c r="MT91" s="202"/>
      <c r="MU91" s="203"/>
      <c r="MV91" s="204"/>
      <c r="MW91" s="204"/>
      <c r="MX91" s="204"/>
      <c r="MY91" s="205"/>
      <c r="MZ91" s="206"/>
      <c r="NA91" s="207"/>
      <c r="NB91" s="207"/>
      <c r="NC91" s="208"/>
      <c r="ND91" s="209"/>
      <c r="NE91" s="207"/>
      <c r="NF91" s="210"/>
      <c r="NG91" s="209"/>
      <c r="NH91" s="204"/>
      <c r="NI91" s="204"/>
      <c r="NJ91" s="204"/>
      <c r="NK91" s="199"/>
      <c r="NL91" s="167"/>
      <c r="NM91" s="199"/>
      <c r="NN91" s="200"/>
      <c r="NO91" s="201"/>
      <c r="NP91" s="202"/>
      <c r="NQ91" s="202"/>
      <c r="NR91" s="202"/>
      <c r="NS91" s="202"/>
      <c r="NT91" s="203"/>
      <c r="NU91" s="204"/>
      <c r="NV91" s="204"/>
      <c r="NW91" s="204"/>
      <c r="NX91" s="205"/>
      <c r="NY91" s="206"/>
      <c r="NZ91" s="207"/>
      <c r="OA91" s="207"/>
      <c r="OB91" s="208"/>
      <c r="OC91" s="209"/>
      <c r="OD91" s="207"/>
      <c r="OE91" s="210"/>
      <c r="OF91" s="209"/>
      <c r="OG91" s="204"/>
      <c r="OH91" s="204"/>
      <c r="OI91" s="204"/>
      <c r="OJ91" s="199"/>
      <c r="OK91" s="167"/>
      <c r="OL91" s="199"/>
      <c r="OM91" s="200"/>
      <c r="ON91" s="201"/>
      <c r="OO91" s="202"/>
      <c r="OP91" s="202"/>
      <c r="OQ91" s="202"/>
      <c r="OR91" s="202"/>
      <c r="OS91" s="203"/>
      <c r="OT91" s="204"/>
      <c r="OU91" s="204"/>
      <c r="OV91" s="204"/>
      <c r="OW91" s="205"/>
      <c r="OX91" s="206"/>
      <c r="OY91" s="207"/>
      <c r="OZ91" s="207"/>
      <c r="PA91" s="208"/>
      <c r="PB91" s="209"/>
      <c r="PC91" s="207"/>
      <c r="PD91" s="210"/>
      <c r="PE91" s="209"/>
      <c r="PF91" s="204"/>
      <c r="PG91" s="204"/>
      <c r="PH91" s="204"/>
      <c r="PI91" s="199"/>
      <c r="PJ91" s="167"/>
      <c r="PK91" s="199"/>
      <c r="PL91" s="200"/>
      <c r="PM91" s="201"/>
      <c r="PN91" s="202"/>
      <c r="PO91" s="202"/>
      <c r="PP91" s="202"/>
      <c r="PQ91" s="202"/>
      <c r="PR91" s="203"/>
      <c r="PS91" s="204"/>
      <c r="PT91" s="204"/>
      <c r="PU91" s="204"/>
      <c r="PV91" s="205"/>
      <c r="PW91" s="206"/>
      <c r="PX91" s="207"/>
      <c r="PY91" s="207"/>
      <c r="PZ91" s="208"/>
      <c r="QA91" s="209"/>
      <c r="QB91" s="207"/>
      <c r="QC91" s="210"/>
      <c r="QD91" s="209"/>
      <c r="QE91" s="204"/>
      <c r="QF91" s="204"/>
      <c r="QG91" s="204"/>
      <c r="QH91" s="199"/>
      <c r="QI91" s="167"/>
      <c r="QJ91" s="199"/>
      <c r="QK91" s="200"/>
      <c r="QL91" s="201"/>
      <c r="QM91" s="202"/>
      <c r="QN91" s="202"/>
      <c r="QO91" s="202"/>
      <c r="QP91" s="202"/>
      <c r="QQ91" s="203"/>
      <c r="QR91" s="204"/>
      <c r="QS91" s="204"/>
      <c r="QT91" s="204"/>
      <c r="QU91" s="205"/>
      <c r="QV91" s="206"/>
      <c r="QW91" s="207"/>
      <c r="QX91" s="207"/>
      <c r="QY91" s="208"/>
      <c r="QZ91" s="209"/>
      <c r="RA91" s="207"/>
      <c r="RB91" s="210"/>
      <c r="RC91" s="209"/>
      <c r="RD91" s="204"/>
      <c r="RE91" s="204"/>
      <c r="RF91" s="204"/>
      <c r="RG91" s="199"/>
      <c r="RH91" s="167"/>
      <c r="RI91" s="199"/>
      <c r="RJ91" s="200"/>
      <c r="RK91" s="201"/>
      <c r="RL91" s="202"/>
      <c r="RM91" s="202"/>
      <c r="RN91" s="202"/>
      <c r="RO91" s="202"/>
      <c r="RP91" s="203"/>
      <c r="RQ91" s="204"/>
      <c r="RR91" s="204"/>
      <c r="RS91" s="204"/>
      <c r="RT91" s="205"/>
      <c r="RU91" s="206"/>
      <c r="RV91" s="207"/>
      <c r="RW91" s="207"/>
      <c r="RX91" s="208"/>
      <c r="RY91" s="209"/>
      <c r="RZ91" s="207"/>
      <c r="SA91" s="210"/>
      <c r="SB91" s="209"/>
      <c r="SC91" s="204"/>
      <c r="SD91" s="204"/>
      <c r="SE91" s="204"/>
      <c r="SF91" s="199"/>
      <c r="SG91" s="167"/>
      <c r="SH91" s="199"/>
      <c r="SI91" s="200"/>
      <c r="SJ91" s="201"/>
      <c r="SK91" s="202"/>
      <c r="SL91" s="202"/>
      <c r="SM91" s="202"/>
      <c r="SN91" s="202"/>
      <c r="SO91" s="203"/>
      <c r="SP91" s="204"/>
      <c r="SQ91" s="204"/>
      <c r="SR91" s="204"/>
      <c r="SS91" s="205"/>
      <c r="ST91" s="206"/>
      <c r="SU91" s="207"/>
      <c r="SV91" s="207"/>
      <c r="SW91" s="208"/>
      <c r="SX91" s="209"/>
      <c r="SY91" s="207"/>
      <c r="SZ91" s="210"/>
      <c r="TA91" s="209"/>
      <c r="TB91" s="204"/>
      <c r="TC91" s="204"/>
      <c r="TD91" s="204"/>
      <c r="TE91" s="199"/>
      <c r="TF91" s="167"/>
      <c r="TG91" s="199"/>
      <c r="TH91" s="200"/>
      <c r="TI91" s="201"/>
      <c r="TJ91" s="202"/>
      <c r="TK91" s="202"/>
      <c r="TL91" s="202"/>
      <c r="TM91" s="202"/>
      <c r="TN91" s="203"/>
      <c r="TO91" s="204"/>
      <c r="TP91" s="204"/>
      <c r="TQ91" s="204"/>
      <c r="TR91" s="205"/>
      <c r="TS91" s="206"/>
      <c r="TT91" s="207"/>
      <c r="TU91" s="207"/>
      <c r="TV91" s="208"/>
      <c r="TW91" s="209"/>
      <c r="TX91" s="207"/>
      <c r="TY91" s="210"/>
      <c r="TZ91" s="209"/>
      <c r="UA91" s="204"/>
      <c r="UB91" s="204"/>
      <c r="UC91" s="204"/>
      <c r="UD91" s="199"/>
      <c r="UE91" s="167"/>
      <c r="UF91" s="199"/>
      <c r="UG91" s="200"/>
      <c r="UH91" s="201"/>
      <c r="UI91" s="202"/>
      <c r="UJ91" s="202"/>
      <c r="UK91" s="202"/>
      <c r="UL91" s="202"/>
      <c r="UM91" s="203"/>
      <c r="UN91" s="204"/>
      <c r="UO91" s="204"/>
      <c r="UP91" s="204"/>
      <c r="UQ91" s="205"/>
      <c r="UR91" s="206"/>
      <c r="US91" s="207"/>
      <c r="UT91" s="207"/>
      <c r="UU91" s="208"/>
      <c r="UV91" s="209"/>
      <c r="UW91" s="207"/>
      <c r="UX91" s="210"/>
      <c r="UY91" s="209"/>
      <c r="UZ91" s="204"/>
      <c r="VA91" s="204"/>
      <c r="VB91" s="204"/>
      <c r="VC91" s="199"/>
      <c r="VD91" s="167"/>
      <c r="VE91" s="199"/>
      <c r="VF91" s="200"/>
      <c r="VG91" s="201"/>
      <c r="VH91" s="202"/>
      <c r="VI91" s="202"/>
      <c r="VJ91" s="202"/>
      <c r="VK91" s="202"/>
      <c r="VL91" s="203"/>
      <c r="VM91" s="204"/>
      <c r="VN91" s="204"/>
      <c r="VO91" s="204"/>
      <c r="VP91" s="205"/>
      <c r="VQ91" s="206"/>
      <c r="VR91" s="207"/>
      <c r="VS91" s="207"/>
      <c r="VT91" s="208"/>
      <c r="VU91" s="209"/>
      <c r="VV91" s="207"/>
      <c r="VW91" s="210"/>
      <c r="VX91" s="209"/>
      <c r="VY91" s="204"/>
      <c r="VZ91" s="204"/>
      <c r="WA91" s="204"/>
      <c r="WB91" s="199"/>
      <c r="WC91" s="167"/>
      <c r="WD91" s="199"/>
      <c r="WE91" s="200"/>
      <c r="WF91" s="201"/>
      <c r="WG91" s="202"/>
      <c r="WH91" s="202"/>
      <c r="WI91" s="202"/>
      <c r="WJ91" s="202"/>
      <c r="WK91" s="203"/>
      <c r="WL91" s="204"/>
      <c r="WM91" s="204"/>
      <c r="WN91" s="204"/>
      <c r="WO91" s="205"/>
      <c r="WP91" s="206"/>
      <c r="WQ91" s="207"/>
      <c r="WR91" s="207"/>
      <c r="WS91" s="208"/>
      <c r="WT91" s="209"/>
      <c r="WU91" s="207"/>
      <c r="WV91" s="210"/>
      <c r="WW91" s="209"/>
      <c r="WX91" s="204"/>
      <c r="WY91" s="204"/>
      <c r="WZ91" s="204"/>
      <c r="XA91" s="199"/>
      <c r="XB91" s="167"/>
      <c r="XC91" s="199"/>
      <c r="XD91" s="200"/>
      <c r="XE91" s="201"/>
      <c r="XF91" s="202"/>
      <c r="XG91" s="202"/>
      <c r="XH91" s="202"/>
      <c r="XI91" s="202"/>
      <c r="XJ91" s="203"/>
      <c r="XK91" s="204"/>
      <c r="XL91" s="204"/>
      <c r="XM91" s="204"/>
      <c r="XN91" s="205"/>
      <c r="XO91" s="206"/>
      <c r="XP91" s="207"/>
      <c r="XQ91" s="207"/>
      <c r="XR91" s="208"/>
      <c r="XS91" s="209"/>
      <c r="XT91" s="207"/>
      <c r="XU91" s="210"/>
      <c r="XV91" s="209"/>
      <c r="XW91" s="204"/>
      <c r="XX91" s="204"/>
      <c r="XY91" s="204"/>
      <c r="XZ91" s="199"/>
      <c r="YA91" s="167"/>
      <c r="YB91" s="199"/>
      <c r="YC91" s="200"/>
      <c r="YD91" s="201"/>
      <c r="YE91" s="202"/>
      <c r="YF91" s="202"/>
      <c r="YG91" s="202"/>
      <c r="YH91" s="202"/>
      <c r="YI91" s="203"/>
      <c r="YJ91" s="204"/>
      <c r="YK91" s="204"/>
      <c r="YL91" s="204"/>
      <c r="YM91" s="205"/>
      <c r="YN91" s="206"/>
      <c r="YO91" s="207"/>
      <c r="YP91" s="207"/>
      <c r="YQ91" s="208"/>
      <c r="YR91" s="209"/>
      <c r="YS91" s="207"/>
      <c r="YT91" s="210"/>
      <c r="YU91" s="209"/>
      <c r="YV91" s="204"/>
      <c r="YW91" s="204"/>
      <c r="YX91" s="204"/>
      <c r="YY91" s="199"/>
      <c r="YZ91" s="167"/>
      <c r="ZA91" s="199"/>
      <c r="ZB91" s="200"/>
      <c r="ZC91" s="201"/>
      <c r="ZD91" s="202"/>
      <c r="ZE91" s="202"/>
      <c r="ZF91" s="202"/>
      <c r="ZG91" s="202"/>
      <c r="ZH91" s="203"/>
      <c r="ZI91" s="204"/>
      <c r="ZJ91" s="204"/>
      <c r="ZK91" s="204"/>
      <c r="ZL91" s="205"/>
      <c r="ZM91" s="206"/>
      <c r="ZN91" s="207"/>
      <c r="ZO91" s="207"/>
      <c r="ZP91" s="208"/>
      <c r="ZQ91" s="209"/>
      <c r="ZR91" s="207"/>
      <c r="ZS91" s="210"/>
      <c r="ZT91" s="209"/>
      <c r="ZU91" s="204"/>
      <c r="ZV91" s="204"/>
      <c r="ZW91" s="204"/>
      <c r="ZX91" s="199"/>
      <c r="ZY91" s="167"/>
      <c r="ZZ91" s="199"/>
      <c r="AAA91" s="200"/>
      <c r="AAB91" s="201"/>
      <c r="AAC91" s="202"/>
      <c r="AAD91" s="202"/>
      <c r="AAE91" s="202"/>
      <c r="AAF91" s="202"/>
      <c r="AAG91" s="203"/>
      <c r="AAH91" s="204"/>
      <c r="AAI91" s="204"/>
      <c r="AAJ91" s="204"/>
      <c r="AAK91" s="205"/>
      <c r="AAL91" s="206"/>
      <c r="AAM91" s="207"/>
      <c r="AAN91" s="207"/>
      <c r="AAO91" s="208"/>
      <c r="AAP91" s="209"/>
      <c r="AAQ91" s="207"/>
      <c r="AAR91" s="210"/>
      <c r="AAS91" s="209"/>
      <c r="AAT91" s="204"/>
      <c r="AAU91" s="204"/>
      <c r="AAV91" s="204"/>
      <c r="AAW91" s="199"/>
      <c r="AAX91" s="167"/>
      <c r="AAY91" s="199"/>
      <c r="AAZ91" s="200"/>
      <c r="ABA91" s="201"/>
      <c r="ABB91" s="202"/>
      <c r="ABC91" s="202"/>
      <c r="ABD91" s="202"/>
      <c r="ABE91" s="202"/>
      <c r="ABF91" s="203"/>
      <c r="ABG91" s="204"/>
      <c r="ABH91" s="204"/>
      <c r="ABI91" s="204"/>
      <c r="ABJ91" s="205"/>
      <c r="ABK91" s="206"/>
      <c r="ABL91" s="207"/>
      <c r="ABM91" s="207"/>
      <c r="ABN91" s="208"/>
      <c r="ABO91" s="209"/>
      <c r="ABP91" s="207"/>
      <c r="ABQ91" s="210"/>
      <c r="ABR91" s="209"/>
      <c r="ABS91" s="204"/>
      <c r="ABT91" s="204"/>
      <c r="ABU91" s="204"/>
      <c r="ABV91" s="199"/>
      <c r="ABW91" s="167"/>
      <c r="ABX91" s="199"/>
      <c r="ABY91" s="200"/>
      <c r="ABZ91" s="201"/>
      <c r="ACA91" s="202"/>
      <c r="ACB91" s="202"/>
      <c r="ACC91" s="202"/>
      <c r="ACD91" s="202"/>
      <c r="ACE91" s="203"/>
      <c r="ACF91" s="204"/>
      <c r="ACG91" s="204"/>
      <c r="ACH91" s="204"/>
      <c r="ACI91" s="205"/>
      <c r="ACJ91" s="206"/>
      <c r="ACK91" s="207"/>
      <c r="ACL91" s="207"/>
      <c r="ACM91" s="208"/>
      <c r="ACN91" s="209"/>
      <c r="ACO91" s="207"/>
      <c r="ACP91" s="210"/>
      <c r="ACQ91" s="209"/>
      <c r="ACR91" s="204"/>
      <c r="ACS91" s="204"/>
      <c r="ACT91" s="204"/>
      <c r="ACU91" s="199"/>
      <c r="ACV91" s="167"/>
      <c r="ACW91" s="199"/>
      <c r="ACX91" s="200"/>
      <c r="ACY91" s="201"/>
      <c r="ACZ91" s="202"/>
      <c r="ADA91" s="202"/>
      <c r="ADB91" s="202"/>
      <c r="ADC91" s="202"/>
      <c r="ADD91" s="203"/>
      <c r="ADE91" s="204"/>
      <c r="ADF91" s="204"/>
      <c r="ADG91" s="204"/>
      <c r="ADH91" s="205"/>
      <c r="ADI91" s="206"/>
      <c r="ADJ91" s="207"/>
      <c r="ADK91" s="207"/>
      <c r="ADL91" s="208"/>
      <c r="ADM91" s="209"/>
      <c r="ADN91" s="207"/>
      <c r="ADO91" s="210"/>
      <c r="ADP91" s="209"/>
      <c r="ADQ91" s="204"/>
      <c r="ADR91" s="204"/>
      <c r="ADS91" s="204"/>
      <c r="ADT91" s="199"/>
      <c r="ADU91" s="167"/>
      <c r="ADV91" s="199"/>
      <c r="ADW91" s="200"/>
      <c r="ADX91" s="201"/>
      <c r="ADY91" s="202"/>
      <c r="ADZ91" s="202"/>
      <c r="AEA91" s="202"/>
      <c r="AEB91" s="202"/>
      <c r="AEC91" s="203"/>
      <c r="AED91" s="204"/>
      <c r="AEE91" s="204"/>
      <c r="AEF91" s="204"/>
      <c r="AEG91" s="205"/>
      <c r="AEH91" s="206"/>
      <c r="AEI91" s="207"/>
      <c r="AEJ91" s="207"/>
      <c r="AEK91" s="208"/>
      <c r="AEL91" s="209"/>
      <c r="AEM91" s="207"/>
      <c r="AEN91" s="210"/>
      <c r="AEO91" s="209"/>
      <c r="AEP91" s="204"/>
      <c r="AEQ91" s="204"/>
      <c r="AER91" s="204"/>
      <c r="AES91" s="199"/>
      <c r="AET91" s="167"/>
      <c r="AEU91" s="199"/>
      <c r="AEV91" s="200"/>
      <c r="AEW91" s="201"/>
      <c r="AEX91" s="202"/>
      <c r="AEY91" s="202"/>
      <c r="AEZ91" s="202"/>
      <c r="AFA91" s="202"/>
      <c r="AFB91" s="203"/>
      <c r="AFC91" s="204"/>
      <c r="AFD91" s="204"/>
      <c r="AFE91" s="204"/>
      <c r="AFF91" s="205"/>
      <c r="AFG91" s="206"/>
      <c r="AFH91" s="207"/>
      <c r="AFI91" s="207"/>
      <c r="AFJ91" s="208"/>
      <c r="AFK91" s="209"/>
      <c r="AFL91" s="207"/>
      <c r="AFM91" s="210"/>
      <c r="AFN91" s="209"/>
      <c r="AFO91" s="204"/>
      <c r="AFP91" s="204"/>
      <c r="AFQ91" s="204"/>
      <c r="AFR91" s="199"/>
      <c r="AFS91" s="167"/>
      <c r="AFT91" s="199"/>
      <c r="AFU91" s="200"/>
      <c r="AFV91" s="201"/>
      <c r="AFW91" s="202"/>
      <c r="AFX91" s="202"/>
      <c r="AFY91" s="202"/>
      <c r="AFZ91" s="202"/>
      <c r="AGA91" s="203"/>
      <c r="AGB91" s="204"/>
      <c r="AGC91" s="204"/>
      <c r="AGD91" s="204"/>
      <c r="AGE91" s="205"/>
      <c r="AGF91" s="206"/>
      <c r="AGG91" s="207"/>
      <c r="AGH91" s="207"/>
      <c r="AGI91" s="208"/>
      <c r="AGJ91" s="209"/>
      <c r="AGK91" s="207"/>
      <c r="AGL91" s="210"/>
      <c r="AGM91" s="209"/>
      <c r="AGN91" s="204"/>
      <c r="AGO91" s="204"/>
      <c r="AGP91" s="204"/>
      <c r="AGQ91" s="199"/>
      <c r="AGR91" s="167"/>
      <c r="AGS91" s="199"/>
      <c r="AGT91" s="200"/>
      <c r="AGU91" s="201"/>
      <c r="AGV91" s="202"/>
      <c r="AGW91" s="202"/>
      <c r="AGX91" s="202"/>
      <c r="AGY91" s="202"/>
      <c r="AGZ91" s="203"/>
      <c r="AHA91" s="204"/>
      <c r="AHB91" s="204"/>
      <c r="AHC91" s="204"/>
      <c r="AHD91" s="205"/>
      <c r="AHE91" s="206"/>
      <c r="AHF91" s="207"/>
      <c r="AHG91" s="207"/>
      <c r="AHH91" s="208"/>
      <c r="AHI91" s="209"/>
      <c r="AHJ91" s="207"/>
      <c r="AHK91" s="210"/>
      <c r="AHL91" s="209"/>
      <c r="AHM91" s="204"/>
      <c r="AHN91" s="204"/>
      <c r="AHO91" s="204"/>
      <c r="AHP91" s="199"/>
      <c r="AHQ91" s="167"/>
      <c r="AHR91" s="199"/>
      <c r="AHS91" s="200"/>
      <c r="AHT91" s="201"/>
      <c r="AHU91" s="202"/>
      <c r="AHV91" s="202"/>
      <c r="AHW91" s="202"/>
      <c r="AHX91" s="202"/>
      <c r="AHY91" s="203"/>
      <c r="AHZ91" s="204"/>
      <c r="AIA91" s="204"/>
      <c r="AIB91" s="204"/>
      <c r="AIC91" s="205"/>
      <c r="AID91" s="206"/>
      <c r="AIE91" s="207"/>
      <c r="AIF91" s="207"/>
      <c r="AIG91" s="208"/>
      <c r="AIH91" s="209"/>
      <c r="AII91" s="207"/>
      <c r="AIJ91" s="210"/>
      <c r="AIK91" s="209"/>
      <c r="AIL91" s="204"/>
      <c r="AIM91" s="204"/>
      <c r="AIN91" s="204"/>
      <c r="AIO91" s="199"/>
      <c r="AIP91" s="167"/>
      <c r="AIQ91" s="199"/>
      <c r="AIR91" s="200"/>
      <c r="AIS91" s="201"/>
      <c r="AIT91" s="202"/>
      <c r="AIU91" s="202"/>
      <c r="AIV91" s="202"/>
      <c r="AIW91" s="202"/>
      <c r="AIX91" s="203"/>
      <c r="AIY91" s="204"/>
      <c r="AIZ91" s="204"/>
      <c r="AJA91" s="204"/>
      <c r="AJB91" s="205"/>
      <c r="AJC91" s="206"/>
      <c r="AJD91" s="207"/>
      <c r="AJE91" s="207"/>
      <c r="AJF91" s="208"/>
      <c r="AJG91" s="209"/>
      <c r="AJH91" s="207"/>
      <c r="AJI91" s="210"/>
      <c r="AJJ91" s="209"/>
      <c r="AJK91" s="204"/>
      <c r="AJL91" s="204"/>
      <c r="AJM91" s="204"/>
      <c r="AJN91" s="199"/>
      <c r="AJO91" s="167"/>
      <c r="AJP91" s="199"/>
      <c r="AJQ91" s="200"/>
      <c r="AJR91" s="201"/>
      <c r="AJS91" s="202"/>
      <c r="AJT91" s="202"/>
      <c r="AJU91" s="202"/>
      <c r="AJV91" s="202"/>
      <c r="AJW91" s="203"/>
      <c r="AJX91" s="204"/>
      <c r="AJY91" s="204"/>
      <c r="AJZ91" s="204"/>
      <c r="AKA91" s="205"/>
      <c r="AKB91" s="206"/>
      <c r="AKC91" s="207"/>
      <c r="AKD91" s="207"/>
      <c r="AKE91" s="208"/>
      <c r="AKF91" s="209"/>
      <c r="AKG91" s="207"/>
      <c r="AKH91" s="210"/>
      <c r="AKI91" s="209"/>
      <c r="AKJ91" s="204"/>
      <c r="AKK91" s="204"/>
      <c r="AKL91" s="204"/>
      <c r="AKM91" s="199"/>
      <c r="AKN91" s="167"/>
      <c r="AKO91" s="199"/>
      <c r="AKP91" s="200"/>
      <c r="AKQ91" s="201"/>
      <c r="AKR91" s="202"/>
      <c r="AKS91" s="202"/>
      <c r="AKT91" s="202"/>
      <c r="AKU91" s="202"/>
      <c r="AKV91" s="203"/>
      <c r="AKW91" s="204"/>
      <c r="AKX91" s="204"/>
      <c r="AKY91" s="204"/>
      <c r="AKZ91" s="205"/>
      <c r="ALA91" s="206"/>
      <c r="ALB91" s="207"/>
      <c r="ALC91" s="207"/>
      <c r="ALD91" s="208"/>
      <c r="ALE91" s="209"/>
      <c r="ALF91" s="207"/>
      <c r="ALG91" s="210"/>
      <c r="ALH91" s="209"/>
      <c r="ALI91" s="204"/>
      <c r="ALJ91" s="204"/>
      <c r="ALK91" s="204"/>
      <c r="ALL91" s="199"/>
      <c r="ALM91" s="167"/>
      <c r="ALN91" s="199"/>
      <c r="ALO91" s="200"/>
      <c r="ALP91" s="201"/>
      <c r="ALQ91" s="202"/>
      <c r="ALR91" s="202"/>
      <c r="ALS91" s="202"/>
      <c r="ALT91" s="202"/>
      <c r="ALU91" s="203"/>
      <c r="ALV91" s="204"/>
      <c r="ALW91" s="204"/>
      <c r="ALX91" s="204"/>
      <c r="ALY91" s="205"/>
      <c r="ALZ91" s="206"/>
      <c r="AMA91" s="207"/>
      <c r="AMB91" s="207"/>
      <c r="AMC91" s="208"/>
      <c r="AMD91" s="209"/>
      <c r="AME91" s="207"/>
      <c r="AMF91" s="210"/>
      <c r="AMG91" s="209"/>
      <c r="AMH91" s="204"/>
      <c r="AMI91" s="204"/>
      <c r="AMJ91" s="204"/>
      <c r="AMK91" s="199"/>
      <c r="AML91" s="167"/>
      <c r="AMM91" s="199"/>
      <c r="AMN91" s="200"/>
      <c r="AMO91" s="201"/>
      <c r="AMP91" s="202"/>
      <c r="AMQ91" s="202"/>
      <c r="AMR91" s="202"/>
      <c r="AMS91" s="202"/>
      <c r="AMT91" s="203"/>
      <c r="AMU91" s="204"/>
      <c r="AMV91" s="204"/>
      <c r="AMW91" s="204"/>
      <c r="AMX91" s="205"/>
      <c r="AMY91" s="206"/>
      <c r="AMZ91" s="207"/>
      <c r="ANA91" s="207"/>
      <c r="ANB91" s="208"/>
      <c r="ANC91" s="209"/>
      <c r="AND91" s="207"/>
      <c r="ANE91" s="210"/>
      <c r="ANF91" s="209"/>
      <c r="ANG91" s="204"/>
      <c r="ANH91" s="204"/>
      <c r="ANI91" s="204"/>
      <c r="ANJ91" s="199"/>
      <c r="ANK91" s="167"/>
      <c r="ANL91" s="199"/>
      <c r="ANM91" s="200"/>
      <c r="ANN91" s="201"/>
      <c r="ANO91" s="202"/>
      <c r="ANP91" s="202"/>
      <c r="ANQ91" s="202"/>
      <c r="ANR91" s="202"/>
      <c r="ANS91" s="203"/>
      <c r="ANT91" s="204"/>
      <c r="ANU91" s="204"/>
      <c r="ANV91" s="204"/>
      <c r="ANW91" s="205"/>
      <c r="ANX91" s="206"/>
      <c r="ANY91" s="207"/>
      <c r="ANZ91" s="207"/>
      <c r="AOA91" s="208"/>
      <c r="AOB91" s="209"/>
      <c r="AOC91" s="207"/>
      <c r="AOD91" s="210"/>
      <c r="AOE91" s="209"/>
      <c r="AOF91" s="204"/>
      <c r="AOG91" s="204"/>
      <c r="AOH91" s="204"/>
      <c r="AOI91" s="199"/>
      <c r="AOJ91" s="167"/>
      <c r="AOK91" s="199"/>
      <c r="AOL91" s="200"/>
      <c r="AOM91" s="201"/>
      <c r="AON91" s="202"/>
      <c r="AOO91" s="202"/>
      <c r="AOP91" s="202"/>
      <c r="AOQ91" s="202"/>
      <c r="AOR91" s="203"/>
      <c r="AOS91" s="204"/>
      <c r="AOT91" s="204"/>
      <c r="AOU91" s="204"/>
      <c r="AOV91" s="205"/>
      <c r="AOW91" s="206"/>
      <c r="AOX91" s="207"/>
      <c r="AOY91" s="207"/>
      <c r="AOZ91" s="208"/>
      <c r="APA91" s="209"/>
      <c r="APB91" s="207"/>
      <c r="APC91" s="210"/>
      <c r="APD91" s="209"/>
      <c r="APE91" s="204"/>
      <c r="APF91" s="204"/>
      <c r="APG91" s="204"/>
      <c r="APH91" s="199"/>
      <c r="API91" s="167"/>
      <c r="APJ91" s="199"/>
      <c r="APK91" s="200"/>
      <c r="APL91" s="201"/>
      <c r="APM91" s="202"/>
      <c r="APN91" s="202"/>
      <c r="APO91" s="202"/>
      <c r="APP91" s="202"/>
      <c r="APQ91" s="203"/>
      <c r="APR91" s="204"/>
      <c r="APS91" s="204"/>
      <c r="APT91" s="204"/>
      <c r="APU91" s="205"/>
      <c r="APV91" s="206"/>
      <c r="APW91" s="207"/>
      <c r="APX91" s="207"/>
      <c r="APY91" s="208"/>
      <c r="APZ91" s="209"/>
      <c r="AQA91" s="207"/>
      <c r="AQB91" s="210"/>
      <c r="AQC91" s="209"/>
      <c r="AQD91" s="204"/>
      <c r="AQE91" s="204"/>
      <c r="AQF91" s="204"/>
      <c r="AQG91" s="199"/>
      <c r="AQH91" s="167"/>
      <c r="AQI91" s="199"/>
      <c r="AQJ91" s="200"/>
      <c r="AQK91" s="201"/>
      <c r="AQL91" s="202"/>
      <c r="AQM91" s="202"/>
      <c r="AQN91" s="202"/>
      <c r="AQO91" s="202"/>
      <c r="AQP91" s="203"/>
      <c r="AQQ91" s="204"/>
      <c r="AQR91" s="204"/>
      <c r="AQS91" s="204"/>
      <c r="AQT91" s="205"/>
      <c r="AQU91" s="206"/>
      <c r="AQV91" s="207"/>
      <c r="AQW91" s="207"/>
      <c r="AQX91" s="208"/>
      <c r="AQY91" s="209"/>
      <c r="AQZ91" s="207"/>
      <c r="ARA91" s="210"/>
      <c r="ARB91" s="209"/>
      <c r="ARC91" s="204"/>
      <c r="ARD91" s="204"/>
      <c r="ARE91" s="204"/>
      <c r="ARF91" s="199"/>
      <c r="ARG91" s="167"/>
      <c r="ARH91" s="199"/>
      <c r="ARI91" s="200"/>
      <c r="ARJ91" s="201"/>
      <c r="ARK91" s="202"/>
      <c r="ARL91" s="202"/>
      <c r="ARM91" s="202"/>
      <c r="ARN91" s="202"/>
      <c r="ARO91" s="203"/>
      <c r="ARP91" s="204"/>
      <c r="ARQ91" s="204"/>
      <c r="ARR91" s="204"/>
      <c r="ARS91" s="205"/>
      <c r="ART91" s="206"/>
      <c r="ARU91" s="207"/>
      <c r="ARV91" s="207"/>
      <c r="ARW91" s="208"/>
      <c r="ARX91" s="209"/>
      <c r="ARY91" s="207"/>
      <c r="ARZ91" s="210"/>
      <c r="ASA91" s="209"/>
      <c r="ASB91" s="204"/>
      <c r="ASC91" s="204"/>
      <c r="ASD91" s="204"/>
      <c r="ASE91" s="199"/>
      <c r="ASF91" s="167"/>
      <c r="ASG91" s="199"/>
      <c r="ASH91" s="200"/>
      <c r="ASI91" s="201"/>
      <c r="ASJ91" s="202"/>
      <c r="ASK91" s="202"/>
      <c r="ASL91" s="202"/>
      <c r="ASM91" s="202"/>
      <c r="ASN91" s="203"/>
      <c r="ASO91" s="204"/>
      <c r="ASP91" s="204"/>
      <c r="ASQ91" s="204"/>
      <c r="ASR91" s="205"/>
      <c r="ASS91" s="206"/>
      <c r="AST91" s="207"/>
      <c r="ASU91" s="207"/>
      <c r="ASV91" s="208"/>
      <c r="ASW91" s="209"/>
      <c r="ASX91" s="207"/>
      <c r="ASY91" s="210"/>
      <c r="ASZ91" s="209"/>
      <c r="ATA91" s="204"/>
      <c r="ATB91" s="204"/>
      <c r="ATC91" s="204"/>
      <c r="ATD91" s="199"/>
      <c r="ATE91" s="167"/>
      <c r="ATF91" s="199"/>
      <c r="ATG91" s="200"/>
      <c r="ATH91" s="201"/>
      <c r="ATI91" s="202"/>
      <c r="ATJ91" s="202"/>
      <c r="ATK91" s="202"/>
      <c r="ATL91" s="202"/>
      <c r="ATM91" s="203"/>
      <c r="ATN91" s="204"/>
      <c r="ATO91" s="204"/>
      <c r="ATP91" s="204"/>
      <c r="ATQ91" s="205"/>
      <c r="ATR91" s="206"/>
      <c r="ATS91" s="207"/>
      <c r="ATT91" s="207"/>
      <c r="ATU91" s="208"/>
      <c r="ATV91" s="209"/>
      <c r="ATW91" s="207"/>
      <c r="ATX91" s="210"/>
      <c r="ATY91" s="209"/>
      <c r="ATZ91" s="204"/>
      <c r="AUA91" s="204"/>
      <c r="AUB91" s="204"/>
      <c r="AUC91" s="199"/>
      <c r="AUD91" s="167"/>
      <c r="AUE91" s="199"/>
      <c r="AUF91" s="200"/>
      <c r="AUG91" s="201"/>
      <c r="AUH91" s="202"/>
      <c r="AUI91" s="202"/>
      <c r="AUJ91" s="202"/>
      <c r="AUK91" s="202"/>
      <c r="AUL91" s="203"/>
      <c r="AUM91" s="204"/>
      <c r="AUN91" s="204"/>
      <c r="AUO91" s="204"/>
      <c r="AUP91" s="205"/>
      <c r="AUQ91" s="206"/>
      <c r="AUR91" s="207"/>
      <c r="AUS91" s="207"/>
      <c r="AUT91" s="208"/>
      <c r="AUU91" s="209"/>
      <c r="AUV91" s="207"/>
      <c r="AUW91" s="210"/>
      <c r="AUX91" s="209"/>
      <c r="AUY91" s="204"/>
      <c r="AUZ91" s="204"/>
      <c r="AVA91" s="204"/>
      <c r="AVB91" s="199"/>
      <c r="AVC91" s="167"/>
      <c r="AVD91" s="199"/>
      <c r="AVE91" s="200"/>
      <c r="AVF91" s="201"/>
      <c r="AVG91" s="202"/>
      <c r="AVH91" s="202"/>
      <c r="AVI91" s="202"/>
      <c r="AVJ91" s="202"/>
      <c r="AVK91" s="203"/>
      <c r="AVL91" s="204"/>
      <c r="AVM91" s="204"/>
      <c r="AVN91" s="204"/>
      <c r="AVO91" s="205"/>
      <c r="AVP91" s="206"/>
      <c r="AVQ91" s="207"/>
      <c r="AVR91" s="207"/>
      <c r="AVS91" s="208"/>
      <c r="AVT91" s="209"/>
      <c r="AVU91" s="207"/>
      <c r="AVV91" s="210"/>
      <c r="AVW91" s="209"/>
      <c r="AVX91" s="204"/>
      <c r="AVY91" s="204"/>
      <c r="AVZ91" s="204"/>
      <c r="AWA91" s="199"/>
      <c r="AWB91" s="167"/>
      <c r="AWC91" s="199"/>
      <c r="AWD91" s="200"/>
      <c r="AWE91" s="201"/>
      <c r="AWF91" s="202"/>
      <c r="AWG91" s="202"/>
      <c r="AWH91" s="202"/>
      <c r="AWI91" s="202"/>
      <c r="AWJ91" s="203"/>
      <c r="AWK91" s="204"/>
      <c r="AWL91" s="204"/>
      <c r="AWM91" s="204"/>
      <c r="AWN91" s="205"/>
      <c r="AWO91" s="206"/>
      <c r="AWP91" s="207"/>
      <c r="AWQ91" s="207"/>
      <c r="AWR91" s="208"/>
      <c r="AWS91" s="209"/>
      <c r="AWT91" s="207"/>
      <c r="AWU91" s="210"/>
      <c r="AWV91" s="209"/>
      <c r="AWW91" s="204"/>
      <c r="AWX91" s="204"/>
      <c r="AWY91" s="204"/>
      <c r="AWZ91" s="199"/>
      <c r="AXA91" s="167"/>
      <c r="AXB91" s="199"/>
      <c r="AXC91" s="200"/>
      <c r="AXD91" s="201"/>
      <c r="AXE91" s="202"/>
      <c r="AXF91" s="202"/>
      <c r="AXG91" s="202"/>
      <c r="AXH91" s="202"/>
      <c r="AXI91" s="203"/>
      <c r="AXJ91" s="204"/>
      <c r="AXK91" s="204"/>
      <c r="AXL91" s="204"/>
      <c r="AXM91" s="205"/>
      <c r="AXN91" s="206"/>
      <c r="AXO91" s="207"/>
      <c r="AXP91" s="207"/>
      <c r="AXQ91" s="208"/>
      <c r="AXR91" s="209"/>
      <c r="AXS91" s="207"/>
      <c r="AXT91" s="210"/>
      <c r="AXU91" s="209"/>
      <c r="AXV91" s="204"/>
      <c r="AXW91" s="204"/>
      <c r="AXX91" s="204"/>
      <c r="AXY91" s="199"/>
      <c r="AXZ91" s="167"/>
      <c r="AYA91" s="199"/>
      <c r="AYB91" s="200"/>
      <c r="AYC91" s="201"/>
      <c r="AYD91" s="202"/>
      <c r="AYE91" s="202"/>
      <c r="AYF91" s="202"/>
      <c r="AYG91" s="202"/>
      <c r="AYH91" s="203"/>
      <c r="AYI91" s="204"/>
      <c r="AYJ91" s="204"/>
      <c r="AYK91" s="204"/>
      <c r="AYL91" s="205"/>
      <c r="AYM91" s="206"/>
      <c r="AYN91" s="207"/>
      <c r="AYO91" s="207"/>
      <c r="AYP91" s="208"/>
      <c r="AYQ91" s="209"/>
      <c r="AYR91" s="207"/>
      <c r="AYS91" s="210"/>
      <c r="AYT91" s="209"/>
      <c r="AYU91" s="204"/>
      <c r="AYV91" s="204"/>
      <c r="AYW91" s="204"/>
      <c r="AYX91" s="199"/>
      <c r="AYY91" s="167"/>
      <c r="AYZ91" s="199"/>
      <c r="AZA91" s="200"/>
      <c r="AZB91" s="201"/>
      <c r="AZC91" s="202"/>
      <c r="AZD91" s="202"/>
      <c r="AZE91" s="202"/>
      <c r="AZF91" s="202"/>
      <c r="AZG91" s="203"/>
      <c r="AZH91" s="204"/>
      <c r="AZI91" s="204"/>
      <c r="AZJ91" s="204"/>
      <c r="AZK91" s="205"/>
      <c r="AZL91" s="206"/>
      <c r="AZM91" s="207"/>
      <c r="AZN91" s="207"/>
      <c r="AZO91" s="208"/>
      <c r="AZP91" s="209"/>
      <c r="AZQ91" s="207"/>
      <c r="AZR91" s="210"/>
      <c r="AZS91" s="209"/>
      <c r="AZT91" s="204"/>
      <c r="AZU91" s="204"/>
      <c r="AZV91" s="204"/>
      <c r="AZW91" s="199"/>
      <c r="AZX91" s="167"/>
      <c r="AZY91" s="199"/>
      <c r="AZZ91" s="200"/>
      <c r="BAA91" s="201"/>
      <c r="BAB91" s="202"/>
      <c r="BAC91" s="202"/>
      <c r="BAD91" s="202"/>
      <c r="BAE91" s="202"/>
      <c r="BAF91" s="203"/>
      <c r="BAG91" s="204"/>
      <c r="BAH91" s="204"/>
      <c r="BAI91" s="204"/>
      <c r="BAJ91" s="205"/>
      <c r="BAK91" s="206"/>
      <c r="BAL91" s="207"/>
      <c r="BAM91" s="207"/>
      <c r="BAN91" s="208"/>
      <c r="BAO91" s="209"/>
      <c r="BAP91" s="207"/>
      <c r="BAQ91" s="210"/>
      <c r="BAR91" s="209"/>
      <c r="BAS91" s="204"/>
      <c r="BAT91" s="204"/>
      <c r="BAU91" s="204"/>
      <c r="BAV91" s="199"/>
      <c r="BAW91" s="167"/>
      <c r="BAX91" s="199"/>
      <c r="BAY91" s="200"/>
      <c r="BAZ91" s="201"/>
      <c r="BBA91" s="202"/>
      <c r="BBB91" s="202"/>
      <c r="BBC91" s="202"/>
      <c r="BBD91" s="202"/>
      <c r="BBE91" s="203"/>
      <c r="BBF91" s="204"/>
      <c r="BBG91" s="204"/>
      <c r="BBH91" s="204"/>
      <c r="BBI91" s="205"/>
      <c r="BBJ91" s="206"/>
      <c r="BBK91" s="207"/>
      <c r="BBL91" s="207"/>
      <c r="BBM91" s="208"/>
      <c r="BBN91" s="209"/>
      <c r="BBO91" s="207"/>
      <c r="BBP91" s="210"/>
      <c r="BBQ91" s="209"/>
      <c r="BBR91" s="204"/>
      <c r="BBS91" s="204"/>
      <c r="BBT91" s="204"/>
      <c r="BBU91" s="199"/>
      <c r="BBV91" s="167"/>
      <c r="BBW91" s="199"/>
      <c r="BBX91" s="200"/>
      <c r="BBY91" s="201"/>
      <c r="BBZ91" s="202"/>
      <c r="BCA91" s="202"/>
      <c r="BCB91" s="202"/>
      <c r="BCC91" s="202"/>
      <c r="BCD91" s="203"/>
      <c r="BCE91" s="204"/>
      <c r="BCF91" s="204"/>
      <c r="BCG91" s="204"/>
      <c r="BCH91" s="205"/>
      <c r="BCI91" s="206"/>
      <c r="BCJ91" s="207"/>
      <c r="BCK91" s="207"/>
      <c r="BCL91" s="208"/>
      <c r="BCM91" s="209"/>
      <c r="BCN91" s="207"/>
      <c r="BCO91" s="210"/>
      <c r="BCP91" s="209"/>
      <c r="BCQ91" s="204"/>
      <c r="BCR91" s="204"/>
      <c r="BCS91" s="204"/>
      <c r="BCT91" s="199"/>
      <c r="BCU91" s="167"/>
      <c r="BCV91" s="199"/>
      <c r="BCW91" s="200"/>
      <c r="BCX91" s="201"/>
      <c r="BCY91" s="202"/>
      <c r="BCZ91" s="202"/>
      <c r="BDA91" s="202"/>
      <c r="BDB91" s="202"/>
      <c r="BDC91" s="203"/>
      <c r="BDD91" s="204"/>
      <c r="BDE91" s="204"/>
      <c r="BDF91" s="204"/>
      <c r="BDG91" s="205"/>
      <c r="BDH91" s="206"/>
      <c r="BDI91" s="207"/>
      <c r="BDJ91" s="207"/>
      <c r="BDK91" s="208"/>
      <c r="BDL91" s="209"/>
      <c r="BDM91" s="207"/>
      <c r="BDN91" s="210"/>
      <c r="BDO91" s="209"/>
      <c r="BDP91" s="204"/>
      <c r="BDQ91" s="204"/>
      <c r="BDR91" s="204"/>
      <c r="BDS91" s="199"/>
      <c r="BDT91" s="167"/>
      <c r="BDU91" s="199"/>
      <c r="BDV91" s="200"/>
      <c r="BDW91" s="201"/>
      <c r="BDX91" s="202"/>
      <c r="BDY91" s="202"/>
      <c r="BDZ91" s="202"/>
      <c r="BEA91" s="202"/>
      <c r="BEB91" s="203"/>
      <c r="BEC91" s="204"/>
      <c r="BED91" s="204"/>
      <c r="BEE91" s="204"/>
      <c r="BEF91" s="205"/>
      <c r="BEG91" s="206"/>
      <c r="BEH91" s="207"/>
      <c r="BEI91" s="207"/>
      <c r="BEJ91" s="208"/>
      <c r="BEK91" s="209"/>
      <c r="BEL91" s="207"/>
      <c r="BEM91" s="210"/>
      <c r="BEN91" s="209"/>
      <c r="BEO91" s="204"/>
      <c r="BEP91" s="204"/>
      <c r="BEQ91" s="204"/>
      <c r="BER91" s="199"/>
      <c r="BES91" s="167"/>
      <c r="BET91" s="199"/>
      <c r="BEU91" s="200"/>
      <c r="BEV91" s="201"/>
      <c r="BEW91" s="202"/>
      <c r="BEX91" s="202"/>
      <c r="BEY91" s="202"/>
      <c r="BEZ91" s="202"/>
      <c r="BFA91" s="203"/>
      <c r="BFB91" s="204"/>
      <c r="BFC91" s="204"/>
      <c r="BFD91" s="204"/>
      <c r="BFE91" s="205"/>
      <c r="BFF91" s="206"/>
      <c r="BFG91" s="207"/>
      <c r="BFH91" s="207"/>
      <c r="BFI91" s="208"/>
      <c r="BFJ91" s="209"/>
      <c r="BFK91" s="207"/>
      <c r="BFL91" s="210"/>
      <c r="BFM91" s="209"/>
      <c r="BFN91" s="204"/>
      <c r="BFO91" s="204"/>
      <c r="BFP91" s="204"/>
      <c r="BFQ91" s="199"/>
      <c r="BFR91" s="167"/>
      <c r="BFS91" s="199"/>
      <c r="BFT91" s="200"/>
      <c r="BFU91" s="201"/>
      <c r="BFV91" s="202"/>
      <c r="BFW91" s="202"/>
      <c r="BFX91" s="202"/>
      <c r="BFY91" s="202"/>
      <c r="BFZ91" s="203"/>
      <c r="BGA91" s="204"/>
      <c r="BGB91" s="204"/>
      <c r="BGC91" s="204"/>
      <c r="BGD91" s="205"/>
      <c r="BGE91" s="206"/>
      <c r="BGF91" s="207"/>
      <c r="BGG91" s="207"/>
      <c r="BGH91" s="208"/>
      <c r="BGI91" s="209"/>
      <c r="BGJ91" s="207"/>
      <c r="BGK91" s="210"/>
      <c r="BGL91" s="209"/>
      <c r="BGM91" s="204"/>
      <c r="BGN91" s="204"/>
      <c r="BGO91" s="204"/>
      <c r="BGP91" s="199"/>
      <c r="BGQ91" s="167"/>
      <c r="BGR91" s="199"/>
      <c r="BGS91" s="200"/>
      <c r="BGT91" s="201"/>
      <c r="BGU91" s="202"/>
      <c r="BGV91" s="202"/>
      <c r="BGW91" s="202"/>
      <c r="BGX91" s="202"/>
      <c r="BGY91" s="203"/>
      <c r="BGZ91" s="204"/>
      <c r="BHA91" s="204"/>
      <c r="BHB91" s="204"/>
      <c r="BHC91" s="205"/>
      <c r="BHD91" s="206"/>
      <c r="BHE91" s="207"/>
      <c r="BHF91" s="207"/>
      <c r="BHG91" s="208"/>
      <c r="BHH91" s="209"/>
      <c r="BHI91" s="207"/>
      <c r="BHJ91" s="210"/>
      <c r="BHK91" s="209"/>
      <c r="BHL91" s="204"/>
      <c r="BHM91" s="204"/>
      <c r="BHN91" s="204"/>
      <c r="BHO91" s="199"/>
      <c r="BHP91" s="167"/>
      <c r="BHQ91" s="199"/>
      <c r="BHR91" s="200"/>
      <c r="BHS91" s="201"/>
      <c r="BHT91" s="202"/>
      <c r="BHU91" s="202"/>
      <c r="BHV91" s="202"/>
      <c r="BHW91" s="202"/>
      <c r="BHX91" s="203"/>
      <c r="BHY91" s="204"/>
      <c r="BHZ91" s="204"/>
      <c r="BIA91" s="204"/>
      <c r="BIB91" s="205"/>
      <c r="BIC91" s="206"/>
      <c r="BID91" s="207"/>
      <c r="BIE91" s="207"/>
      <c r="BIF91" s="208"/>
      <c r="BIG91" s="209"/>
      <c r="BIH91" s="207"/>
      <c r="BII91" s="210"/>
      <c r="BIJ91" s="209"/>
      <c r="BIK91" s="204"/>
      <c r="BIL91" s="204"/>
      <c r="BIM91" s="204"/>
      <c r="BIN91" s="199"/>
      <c r="BIO91" s="167"/>
      <c r="BIP91" s="199"/>
      <c r="BIQ91" s="200"/>
      <c r="BIR91" s="201"/>
      <c r="BIS91" s="202"/>
      <c r="BIT91" s="202"/>
      <c r="BIU91" s="202"/>
      <c r="BIV91" s="202"/>
      <c r="BIW91" s="203"/>
      <c r="BIX91" s="204"/>
      <c r="BIY91" s="204"/>
      <c r="BIZ91" s="204"/>
      <c r="BJA91" s="205"/>
      <c r="BJB91" s="206"/>
      <c r="BJC91" s="207"/>
      <c r="BJD91" s="207"/>
      <c r="BJE91" s="208"/>
      <c r="BJF91" s="209"/>
      <c r="BJG91" s="207"/>
      <c r="BJH91" s="210"/>
      <c r="BJI91" s="209"/>
      <c r="BJJ91" s="204"/>
      <c r="BJK91" s="204"/>
      <c r="BJL91" s="204"/>
      <c r="BJM91" s="199"/>
      <c r="BJN91" s="167"/>
      <c r="BJO91" s="199"/>
      <c r="BJP91" s="200"/>
      <c r="BJQ91" s="201"/>
      <c r="BJR91" s="202"/>
      <c r="BJS91" s="202"/>
      <c r="BJT91" s="202"/>
      <c r="BJU91" s="202"/>
      <c r="BJV91" s="203"/>
      <c r="BJW91" s="204"/>
      <c r="BJX91" s="204"/>
      <c r="BJY91" s="204"/>
      <c r="BJZ91" s="205"/>
      <c r="BKA91" s="206"/>
      <c r="BKB91" s="207"/>
      <c r="BKC91" s="207"/>
      <c r="BKD91" s="208"/>
      <c r="BKE91" s="209"/>
      <c r="BKF91" s="207"/>
      <c r="BKG91" s="210"/>
      <c r="BKH91" s="209"/>
      <c r="BKI91" s="204"/>
      <c r="BKJ91" s="204"/>
      <c r="BKK91" s="204"/>
      <c r="BKL91" s="199"/>
      <c r="BKM91" s="167"/>
      <c r="BKN91" s="199"/>
      <c r="BKO91" s="200"/>
      <c r="BKP91" s="201"/>
      <c r="BKQ91" s="202"/>
      <c r="BKR91" s="202"/>
      <c r="BKS91" s="202"/>
      <c r="BKT91" s="202"/>
      <c r="BKU91" s="203"/>
      <c r="BKV91" s="204"/>
      <c r="BKW91" s="204"/>
      <c r="BKX91" s="204"/>
      <c r="BKY91" s="205"/>
      <c r="BKZ91" s="206"/>
      <c r="BLA91" s="207"/>
      <c r="BLB91" s="207"/>
      <c r="BLC91" s="208"/>
      <c r="BLD91" s="209"/>
      <c r="BLE91" s="207"/>
      <c r="BLF91" s="210"/>
      <c r="BLG91" s="209"/>
      <c r="BLH91" s="204"/>
      <c r="BLI91" s="204"/>
      <c r="BLJ91" s="204"/>
      <c r="BLK91" s="199"/>
      <c r="BLL91" s="167"/>
      <c r="BLM91" s="199"/>
      <c r="BLN91" s="200"/>
      <c r="BLO91" s="201"/>
      <c r="BLP91" s="202"/>
      <c r="BLQ91" s="202"/>
      <c r="BLR91" s="202"/>
      <c r="BLS91" s="202"/>
      <c r="BLT91" s="203"/>
      <c r="BLU91" s="204"/>
      <c r="BLV91" s="204"/>
      <c r="BLW91" s="204"/>
      <c r="BLX91" s="205"/>
      <c r="BLY91" s="206"/>
      <c r="BLZ91" s="207"/>
      <c r="BMA91" s="207"/>
      <c r="BMB91" s="208"/>
      <c r="BMC91" s="209"/>
      <c r="BMD91" s="207"/>
      <c r="BME91" s="210"/>
      <c r="BMF91" s="209"/>
      <c r="BMG91" s="204"/>
      <c r="BMH91" s="204"/>
      <c r="BMI91" s="204"/>
      <c r="BMJ91" s="199"/>
      <c r="BMK91" s="167"/>
      <c r="BML91" s="199"/>
      <c r="BMM91" s="200"/>
      <c r="BMN91" s="201"/>
      <c r="BMO91" s="202"/>
      <c r="BMP91" s="202"/>
      <c r="BMQ91" s="202"/>
      <c r="BMR91" s="202"/>
      <c r="BMS91" s="203"/>
      <c r="BMT91" s="204"/>
      <c r="BMU91" s="204"/>
      <c r="BMV91" s="204"/>
      <c r="BMW91" s="205"/>
      <c r="BMX91" s="206"/>
      <c r="BMY91" s="207"/>
      <c r="BMZ91" s="207"/>
      <c r="BNA91" s="208"/>
      <c r="BNB91" s="209"/>
      <c r="BNC91" s="207"/>
      <c r="BND91" s="210"/>
      <c r="BNE91" s="209"/>
      <c r="BNF91" s="204"/>
      <c r="BNG91" s="204"/>
      <c r="BNH91" s="204"/>
      <c r="BNI91" s="199"/>
      <c r="BNJ91" s="167"/>
      <c r="BNK91" s="199"/>
      <c r="BNL91" s="200"/>
      <c r="BNM91" s="201"/>
      <c r="BNN91" s="202"/>
      <c r="BNO91" s="202"/>
      <c r="BNP91" s="202"/>
      <c r="BNQ91" s="202"/>
      <c r="BNR91" s="203"/>
      <c r="BNS91" s="204"/>
      <c r="BNT91" s="204"/>
      <c r="BNU91" s="204"/>
      <c r="BNV91" s="205"/>
      <c r="BNW91" s="206"/>
      <c r="BNX91" s="207"/>
      <c r="BNY91" s="207"/>
      <c r="BNZ91" s="208"/>
      <c r="BOA91" s="209"/>
      <c r="BOB91" s="207"/>
      <c r="BOC91" s="210"/>
      <c r="BOD91" s="209"/>
      <c r="BOE91" s="204"/>
      <c r="BOF91" s="204"/>
      <c r="BOG91" s="204"/>
      <c r="BOH91" s="199"/>
      <c r="BOI91" s="167"/>
      <c r="BOJ91" s="199"/>
      <c r="BOK91" s="200"/>
      <c r="BOL91" s="201"/>
      <c r="BOM91" s="202"/>
      <c r="BON91" s="202"/>
      <c r="BOO91" s="202"/>
      <c r="BOP91" s="202"/>
      <c r="BOQ91" s="203"/>
      <c r="BOR91" s="204"/>
      <c r="BOS91" s="204"/>
      <c r="BOT91" s="204"/>
      <c r="BOU91" s="205"/>
      <c r="BOV91" s="206"/>
      <c r="BOW91" s="207"/>
      <c r="BOX91" s="207"/>
      <c r="BOY91" s="208"/>
      <c r="BOZ91" s="209"/>
      <c r="BPA91" s="207"/>
      <c r="BPB91" s="210"/>
      <c r="BPC91" s="209"/>
      <c r="BPD91" s="204"/>
      <c r="BPE91" s="204"/>
      <c r="BPF91" s="204"/>
      <c r="BPG91" s="199"/>
      <c r="BPH91" s="167"/>
      <c r="BPI91" s="199"/>
      <c r="BPJ91" s="200"/>
      <c r="BPK91" s="201"/>
      <c r="BPL91" s="202"/>
      <c r="BPM91" s="202"/>
      <c r="BPN91" s="202"/>
      <c r="BPO91" s="202"/>
      <c r="BPP91" s="203"/>
      <c r="BPQ91" s="204"/>
      <c r="BPR91" s="204"/>
      <c r="BPS91" s="204"/>
      <c r="BPT91" s="205"/>
      <c r="BPU91" s="206"/>
      <c r="BPV91" s="207"/>
      <c r="BPW91" s="207"/>
      <c r="BPX91" s="208"/>
      <c r="BPY91" s="209"/>
      <c r="BPZ91" s="207"/>
      <c r="BQA91" s="210"/>
      <c r="BQB91" s="209"/>
      <c r="BQC91" s="204"/>
      <c r="BQD91" s="204"/>
      <c r="BQE91" s="204"/>
      <c r="BQF91" s="199"/>
      <c r="BQG91" s="167"/>
      <c r="BQH91" s="199"/>
      <c r="BQI91" s="200"/>
      <c r="BQJ91" s="201"/>
      <c r="BQK91" s="202"/>
      <c r="BQL91" s="202"/>
      <c r="BQM91" s="202"/>
      <c r="BQN91" s="202"/>
      <c r="BQO91" s="203"/>
      <c r="BQP91" s="204"/>
      <c r="BQQ91" s="204"/>
      <c r="BQR91" s="204"/>
      <c r="BQS91" s="205"/>
      <c r="BQT91" s="206"/>
      <c r="BQU91" s="207"/>
      <c r="BQV91" s="207"/>
      <c r="BQW91" s="208"/>
      <c r="BQX91" s="209"/>
      <c r="BQY91" s="207"/>
      <c r="BQZ91" s="210"/>
      <c r="BRA91" s="209"/>
      <c r="BRB91" s="204"/>
      <c r="BRC91" s="204"/>
      <c r="BRD91" s="204"/>
      <c r="BRE91" s="199"/>
      <c r="BRF91" s="167"/>
      <c r="BRG91" s="199"/>
      <c r="BRH91" s="200"/>
      <c r="BRI91" s="201"/>
      <c r="BRJ91" s="202"/>
      <c r="BRK91" s="202"/>
      <c r="BRL91" s="202"/>
      <c r="BRM91" s="202"/>
      <c r="BRN91" s="203"/>
      <c r="BRO91" s="204"/>
      <c r="BRP91" s="204"/>
      <c r="BRQ91" s="204"/>
      <c r="BRR91" s="205"/>
      <c r="BRS91" s="206"/>
      <c r="BRT91" s="207"/>
      <c r="BRU91" s="207"/>
      <c r="BRV91" s="208"/>
      <c r="BRW91" s="209"/>
      <c r="BRX91" s="207"/>
      <c r="BRY91" s="210"/>
      <c r="BRZ91" s="209"/>
      <c r="BSA91" s="204"/>
      <c r="BSB91" s="204"/>
      <c r="BSC91" s="204"/>
      <c r="BSD91" s="199"/>
      <c r="BSE91" s="167"/>
      <c r="BSF91" s="199"/>
      <c r="BSG91" s="200"/>
      <c r="BSH91" s="201"/>
      <c r="BSI91" s="202"/>
      <c r="BSJ91" s="202"/>
      <c r="BSK91" s="202"/>
      <c r="BSL91" s="202"/>
      <c r="BSM91" s="203"/>
      <c r="BSN91" s="204"/>
      <c r="BSO91" s="204"/>
      <c r="BSP91" s="204"/>
      <c r="BSQ91" s="205"/>
      <c r="BSR91" s="206"/>
      <c r="BSS91" s="207"/>
      <c r="BST91" s="207"/>
      <c r="BSU91" s="208"/>
      <c r="BSV91" s="209"/>
      <c r="BSW91" s="207"/>
      <c r="BSX91" s="210"/>
      <c r="BSY91" s="209"/>
      <c r="BSZ91" s="204"/>
      <c r="BTA91" s="204"/>
      <c r="BTB91" s="204"/>
      <c r="BTC91" s="199"/>
      <c r="BTD91" s="167"/>
      <c r="BTE91" s="199"/>
      <c r="BTF91" s="200"/>
      <c r="BTG91" s="201"/>
      <c r="BTH91" s="202"/>
      <c r="BTI91" s="202"/>
      <c r="BTJ91" s="202"/>
      <c r="BTK91" s="202"/>
      <c r="BTL91" s="203"/>
      <c r="BTM91" s="204"/>
      <c r="BTN91" s="204"/>
      <c r="BTO91" s="204"/>
      <c r="BTP91" s="205"/>
      <c r="BTQ91" s="206"/>
      <c r="BTR91" s="207"/>
      <c r="BTS91" s="207"/>
      <c r="BTT91" s="208"/>
      <c r="BTU91" s="209"/>
      <c r="BTV91" s="207"/>
      <c r="BTW91" s="210"/>
      <c r="BTX91" s="209"/>
      <c r="BTY91" s="204"/>
      <c r="BTZ91" s="204"/>
      <c r="BUA91" s="204"/>
      <c r="BUB91" s="199"/>
      <c r="BUC91" s="167"/>
      <c r="BUD91" s="199"/>
      <c r="BUE91" s="200"/>
      <c r="BUF91" s="201"/>
      <c r="BUG91" s="202"/>
      <c r="BUH91" s="202"/>
      <c r="BUI91" s="202"/>
      <c r="BUJ91" s="202"/>
      <c r="BUK91" s="203"/>
      <c r="BUL91" s="204"/>
      <c r="BUM91" s="204"/>
      <c r="BUN91" s="204"/>
      <c r="BUO91" s="205"/>
      <c r="BUP91" s="206"/>
      <c r="BUQ91" s="207"/>
      <c r="BUR91" s="207"/>
      <c r="BUS91" s="208"/>
      <c r="BUT91" s="209"/>
      <c r="BUU91" s="207"/>
      <c r="BUV91" s="210"/>
      <c r="BUW91" s="209"/>
      <c r="BUX91" s="204"/>
      <c r="BUY91" s="204"/>
      <c r="BUZ91" s="204"/>
      <c r="BVA91" s="199"/>
      <c r="BVB91" s="167"/>
      <c r="BVC91" s="199"/>
      <c r="BVD91" s="200"/>
      <c r="BVE91" s="201"/>
      <c r="BVF91" s="202"/>
      <c r="BVG91" s="202"/>
      <c r="BVH91" s="202"/>
      <c r="BVI91" s="202"/>
      <c r="BVJ91" s="203"/>
      <c r="BVK91" s="204"/>
      <c r="BVL91" s="204"/>
      <c r="BVM91" s="204"/>
      <c r="BVN91" s="205"/>
      <c r="BVO91" s="206"/>
      <c r="BVP91" s="207"/>
      <c r="BVQ91" s="207"/>
      <c r="BVR91" s="208"/>
      <c r="BVS91" s="209"/>
      <c r="BVT91" s="207"/>
      <c r="BVU91" s="210"/>
      <c r="BVV91" s="209"/>
      <c r="BVW91" s="204"/>
      <c r="BVX91" s="204"/>
      <c r="BVY91" s="204"/>
      <c r="BVZ91" s="199"/>
      <c r="BWA91" s="167"/>
      <c r="BWB91" s="199"/>
      <c r="BWC91" s="200"/>
      <c r="BWD91" s="201"/>
      <c r="BWE91" s="202"/>
      <c r="BWF91" s="202"/>
      <c r="BWG91" s="202"/>
      <c r="BWH91" s="202"/>
      <c r="BWI91" s="203"/>
      <c r="BWJ91" s="204"/>
      <c r="BWK91" s="204"/>
      <c r="BWL91" s="204"/>
      <c r="BWM91" s="205"/>
      <c r="BWN91" s="206"/>
      <c r="BWO91" s="207"/>
      <c r="BWP91" s="207"/>
      <c r="BWQ91" s="208"/>
      <c r="BWR91" s="209"/>
      <c r="BWS91" s="207"/>
      <c r="BWT91" s="210"/>
      <c r="BWU91" s="209"/>
      <c r="BWV91" s="204"/>
      <c r="BWW91" s="204"/>
      <c r="BWX91" s="204"/>
      <c r="BWY91" s="199"/>
      <c r="BWZ91" s="167"/>
      <c r="BXA91" s="199"/>
      <c r="BXB91" s="200"/>
      <c r="BXC91" s="201"/>
      <c r="BXD91" s="202"/>
      <c r="BXE91" s="202"/>
      <c r="BXF91" s="202"/>
      <c r="BXG91" s="202"/>
      <c r="BXH91" s="203"/>
      <c r="BXI91" s="204"/>
      <c r="BXJ91" s="204"/>
      <c r="BXK91" s="204"/>
      <c r="BXL91" s="205"/>
      <c r="BXM91" s="206"/>
      <c r="BXN91" s="207"/>
      <c r="BXO91" s="207"/>
      <c r="BXP91" s="208"/>
      <c r="BXQ91" s="209"/>
      <c r="BXR91" s="207"/>
      <c r="BXS91" s="210"/>
      <c r="BXT91" s="209"/>
      <c r="BXU91" s="204"/>
      <c r="BXV91" s="204"/>
      <c r="BXW91" s="204"/>
      <c r="BXX91" s="199"/>
      <c r="BXY91" s="167"/>
      <c r="BXZ91" s="199"/>
      <c r="BYA91" s="200"/>
      <c r="BYB91" s="201"/>
      <c r="BYC91" s="202"/>
      <c r="BYD91" s="202"/>
      <c r="BYE91" s="202"/>
      <c r="BYF91" s="202"/>
      <c r="BYG91" s="203"/>
      <c r="BYH91" s="204"/>
      <c r="BYI91" s="204"/>
      <c r="BYJ91" s="204"/>
      <c r="BYK91" s="205"/>
      <c r="BYL91" s="206"/>
      <c r="BYM91" s="207"/>
      <c r="BYN91" s="207"/>
      <c r="BYO91" s="208"/>
      <c r="BYP91" s="209"/>
      <c r="BYQ91" s="207"/>
      <c r="BYR91" s="210"/>
      <c r="BYS91" s="209"/>
      <c r="BYT91" s="204"/>
      <c r="BYU91" s="204"/>
      <c r="BYV91" s="204"/>
      <c r="BYW91" s="199"/>
      <c r="BYX91" s="167"/>
      <c r="BYY91" s="199"/>
      <c r="BYZ91" s="200"/>
      <c r="BZA91" s="201"/>
      <c r="BZB91" s="202"/>
      <c r="BZC91" s="202"/>
      <c r="BZD91" s="202"/>
      <c r="BZE91" s="202"/>
      <c r="BZF91" s="203"/>
      <c r="BZG91" s="204"/>
      <c r="BZH91" s="204"/>
      <c r="BZI91" s="204"/>
      <c r="BZJ91" s="205"/>
      <c r="BZK91" s="206"/>
      <c r="BZL91" s="207"/>
      <c r="BZM91" s="207"/>
      <c r="BZN91" s="208"/>
      <c r="BZO91" s="209"/>
      <c r="BZP91" s="207"/>
      <c r="BZQ91" s="210"/>
      <c r="BZR91" s="209"/>
      <c r="BZS91" s="204"/>
      <c r="BZT91" s="204"/>
      <c r="BZU91" s="204"/>
      <c r="BZV91" s="199"/>
      <c r="BZW91" s="167"/>
      <c r="BZX91" s="199"/>
      <c r="BZY91" s="200"/>
      <c r="BZZ91" s="201"/>
      <c r="CAA91" s="202"/>
      <c r="CAB91" s="202"/>
      <c r="CAC91" s="202"/>
      <c r="CAD91" s="202"/>
      <c r="CAE91" s="203"/>
      <c r="CAF91" s="204"/>
      <c r="CAG91" s="204"/>
      <c r="CAH91" s="204"/>
      <c r="CAI91" s="205"/>
      <c r="CAJ91" s="206"/>
      <c r="CAK91" s="207"/>
      <c r="CAL91" s="207"/>
      <c r="CAM91" s="208"/>
      <c r="CAN91" s="209"/>
      <c r="CAO91" s="207"/>
      <c r="CAP91" s="210"/>
      <c r="CAQ91" s="209"/>
      <c r="CAR91" s="204"/>
      <c r="CAS91" s="204"/>
      <c r="CAT91" s="204"/>
      <c r="CAU91" s="199"/>
      <c r="CAV91" s="167"/>
      <c r="CAW91" s="199"/>
      <c r="CAX91" s="200"/>
      <c r="CAY91" s="201"/>
      <c r="CAZ91" s="202"/>
      <c r="CBA91" s="202"/>
      <c r="CBB91" s="202"/>
      <c r="CBC91" s="202"/>
      <c r="CBD91" s="203"/>
      <c r="CBE91" s="204"/>
      <c r="CBF91" s="204"/>
      <c r="CBG91" s="204"/>
      <c r="CBH91" s="205"/>
      <c r="CBI91" s="206"/>
      <c r="CBJ91" s="207"/>
      <c r="CBK91" s="207"/>
      <c r="CBL91" s="208"/>
      <c r="CBM91" s="209"/>
      <c r="CBN91" s="207"/>
      <c r="CBO91" s="210"/>
      <c r="CBP91" s="209"/>
      <c r="CBQ91" s="204"/>
      <c r="CBR91" s="204"/>
      <c r="CBS91" s="204"/>
      <c r="CBT91" s="199"/>
      <c r="CBU91" s="167"/>
      <c r="CBV91" s="199"/>
      <c r="CBW91" s="200"/>
      <c r="CBX91" s="201"/>
      <c r="CBY91" s="202"/>
      <c r="CBZ91" s="202"/>
      <c r="CCA91" s="202"/>
      <c r="CCB91" s="202"/>
      <c r="CCC91" s="203"/>
      <c r="CCD91" s="204"/>
      <c r="CCE91" s="204"/>
      <c r="CCF91" s="204"/>
      <c r="CCG91" s="205"/>
      <c r="CCH91" s="206"/>
      <c r="CCI91" s="207"/>
      <c r="CCJ91" s="207"/>
      <c r="CCK91" s="208"/>
      <c r="CCL91" s="209"/>
      <c r="CCM91" s="207"/>
      <c r="CCN91" s="210"/>
      <c r="CCO91" s="209"/>
      <c r="CCP91" s="204"/>
      <c r="CCQ91" s="204"/>
      <c r="CCR91" s="204"/>
      <c r="CCS91" s="199"/>
      <c r="CCT91" s="167"/>
      <c r="CCU91" s="199"/>
      <c r="CCV91" s="200"/>
      <c r="CCW91" s="201"/>
      <c r="CCX91" s="202"/>
      <c r="CCY91" s="202"/>
      <c r="CCZ91" s="202"/>
      <c r="CDA91" s="202"/>
      <c r="CDB91" s="203"/>
      <c r="CDC91" s="204"/>
      <c r="CDD91" s="204"/>
      <c r="CDE91" s="204"/>
      <c r="CDF91" s="205"/>
      <c r="CDG91" s="206"/>
      <c r="CDH91" s="207"/>
      <c r="CDI91" s="207"/>
      <c r="CDJ91" s="208"/>
      <c r="CDK91" s="209"/>
      <c r="CDL91" s="207"/>
      <c r="CDM91" s="210"/>
      <c r="CDN91" s="209"/>
      <c r="CDO91" s="204"/>
      <c r="CDP91" s="204"/>
      <c r="CDQ91" s="204"/>
      <c r="CDR91" s="199"/>
      <c r="CDS91" s="167"/>
      <c r="CDT91" s="199"/>
      <c r="CDU91" s="200"/>
      <c r="CDV91" s="201"/>
      <c r="CDW91" s="202"/>
      <c r="CDX91" s="202"/>
      <c r="CDY91" s="202"/>
      <c r="CDZ91" s="202"/>
      <c r="CEA91" s="203"/>
      <c r="CEB91" s="204"/>
      <c r="CEC91" s="204"/>
      <c r="CED91" s="204"/>
      <c r="CEE91" s="205"/>
      <c r="CEF91" s="206"/>
      <c r="CEG91" s="207"/>
      <c r="CEH91" s="207"/>
      <c r="CEI91" s="208"/>
      <c r="CEJ91" s="209"/>
      <c r="CEK91" s="207"/>
      <c r="CEL91" s="210"/>
      <c r="CEM91" s="209"/>
      <c r="CEN91" s="204"/>
      <c r="CEO91" s="204"/>
      <c r="CEP91" s="204"/>
      <c r="CEQ91" s="199"/>
      <c r="CER91" s="167"/>
      <c r="CES91" s="199"/>
      <c r="CET91" s="200"/>
      <c r="CEU91" s="201"/>
      <c r="CEV91" s="202"/>
      <c r="CEW91" s="202"/>
      <c r="CEX91" s="202"/>
      <c r="CEY91" s="202"/>
      <c r="CEZ91" s="203"/>
      <c r="CFA91" s="204"/>
      <c r="CFB91" s="204"/>
      <c r="CFC91" s="204"/>
      <c r="CFD91" s="205"/>
      <c r="CFE91" s="206"/>
      <c r="CFF91" s="207"/>
      <c r="CFG91" s="207"/>
      <c r="CFH91" s="208"/>
      <c r="CFI91" s="209"/>
      <c r="CFJ91" s="207"/>
      <c r="CFK91" s="210"/>
      <c r="CFL91" s="209"/>
      <c r="CFM91" s="204"/>
      <c r="CFN91" s="204"/>
      <c r="CFO91" s="204"/>
      <c r="CFP91" s="199"/>
      <c r="CFQ91" s="167"/>
      <c r="CFR91" s="199"/>
      <c r="CFS91" s="200"/>
      <c r="CFT91" s="201"/>
      <c r="CFU91" s="202"/>
      <c r="CFV91" s="202"/>
      <c r="CFW91" s="202"/>
      <c r="CFX91" s="202"/>
      <c r="CFY91" s="203"/>
      <c r="CFZ91" s="204"/>
      <c r="CGA91" s="204"/>
      <c r="CGB91" s="204"/>
      <c r="CGC91" s="205"/>
      <c r="CGD91" s="206"/>
      <c r="CGE91" s="207"/>
      <c r="CGF91" s="207"/>
      <c r="CGG91" s="208"/>
      <c r="CGH91" s="209"/>
      <c r="CGI91" s="207"/>
      <c r="CGJ91" s="210"/>
      <c r="CGK91" s="209"/>
      <c r="CGL91" s="204"/>
      <c r="CGM91" s="204"/>
      <c r="CGN91" s="204"/>
      <c r="CGO91" s="199"/>
      <c r="CGP91" s="167"/>
      <c r="CGQ91" s="199"/>
      <c r="CGR91" s="200"/>
      <c r="CGS91" s="201"/>
      <c r="CGT91" s="202"/>
      <c r="CGU91" s="202"/>
      <c r="CGV91" s="202"/>
      <c r="CGW91" s="202"/>
      <c r="CGX91" s="203"/>
      <c r="CGY91" s="204"/>
      <c r="CGZ91" s="204"/>
      <c r="CHA91" s="204"/>
      <c r="CHB91" s="205"/>
      <c r="CHC91" s="206"/>
      <c r="CHD91" s="207"/>
      <c r="CHE91" s="207"/>
      <c r="CHF91" s="208"/>
      <c r="CHG91" s="209"/>
      <c r="CHH91" s="207"/>
      <c r="CHI91" s="210"/>
      <c r="CHJ91" s="209"/>
      <c r="CHK91" s="204"/>
      <c r="CHL91" s="204"/>
      <c r="CHM91" s="204"/>
      <c r="CHN91" s="199"/>
      <c r="CHO91" s="167"/>
      <c r="CHP91" s="199"/>
      <c r="CHQ91" s="200"/>
      <c r="CHR91" s="201"/>
      <c r="CHS91" s="202"/>
      <c r="CHT91" s="202"/>
      <c r="CHU91" s="202"/>
      <c r="CHV91" s="202"/>
      <c r="CHW91" s="203"/>
      <c r="CHX91" s="204"/>
      <c r="CHY91" s="204"/>
      <c r="CHZ91" s="204"/>
      <c r="CIA91" s="205"/>
      <c r="CIB91" s="206"/>
      <c r="CIC91" s="207"/>
      <c r="CID91" s="207"/>
      <c r="CIE91" s="208"/>
      <c r="CIF91" s="209"/>
      <c r="CIG91" s="207"/>
      <c r="CIH91" s="210"/>
      <c r="CII91" s="209"/>
      <c r="CIJ91" s="204"/>
      <c r="CIK91" s="204"/>
      <c r="CIL91" s="204"/>
      <c r="CIM91" s="199"/>
      <c r="CIN91" s="167"/>
      <c r="CIO91" s="199"/>
      <c r="CIP91" s="200"/>
      <c r="CIQ91" s="201"/>
      <c r="CIR91" s="202"/>
      <c r="CIS91" s="202"/>
      <c r="CIT91" s="202"/>
      <c r="CIU91" s="202"/>
      <c r="CIV91" s="203"/>
      <c r="CIW91" s="204"/>
      <c r="CIX91" s="204"/>
      <c r="CIY91" s="204"/>
      <c r="CIZ91" s="205"/>
      <c r="CJA91" s="206"/>
      <c r="CJB91" s="207"/>
      <c r="CJC91" s="207"/>
      <c r="CJD91" s="208"/>
      <c r="CJE91" s="209"/>
      <c r="CJF91" s="207"/>
      <c r="CJG91" s="210"/>
      <c r="CJH91" s="209"/>
      <c r="CJI91" s="204"/>
      <c r="CJJ91" s="204"/>
      <c r="CJK91" s="204"/>
      <c r="CJL91" s="199"/>
      <c r="CJM91" s="167"/>
      <c r="CJN91" s="199"/>
      <c r="CJO91" s="200"/>
      <c r="CJP91" s="201"/>
      <c r="CJQ91" s="202"/>
      <c r="CJR91" s="202"/>
      <c r="CJS91" s="202"/>
      <c r="CJT91" s="202"/>
      <c r="CJU91" s="203"/>
      <c r="CJV91" s="204"/>
      <c r="CJW91" s="204"/>
      <c r="CJX91" s="204"/>
      <c r="CJY91" s="205"/>
      <c r="CJZ91" s="206"/>
      <c r="CKA91" s="207"/>
      <c r="CKB91" s="207"/>
      <c r="CKC91" s="208"/>
      <c r="CKD91" s="209"/>
      <c r="CKE91" s="207"/>
      <c r="CKF91" s="210"/>
      <c r="CKG91" s="209"/>
      <c r="CKH91" s="204"/>
      <c r="CKI91" s="204"/>
      <c r="CKJ91" s="204"/>
      <c r="CKK91" s="199"/>
      <c r="CKL91" s="167"/>
      <c r="CKM91" s="199"/>
      <c r="CKN91" s="200"/>
      <c r="CKO91" s="201"/>
      <c r="CKP91" s="202"/>
      <c r="CKQ91" s="202"/>
      <c r="CKR91" s="202"/>
      <c r="CKS91" s="202"/>
      <c r="CKT91" s="203"/>
      <c r="CKU91" s="204"/>
      <c r="CKV91" s="204"/>
      <c r="CKW91" s="204"/>
      <c r="CKX91" s="205"/>
      <c r="CKY91" s="206"/>
      <c r="CKZ91" s="207"/>
      <c r="CLA91" s="207"/>
      <c r="CLB91" s="208"/>
      <c r="CLC91" s="209"/>
      <c r="CLD91" s="207"/>
      <c r="CLE91" s="210"/>
      <c r="CLF91" s="209"/>
      <c r="CLG91" s="204"/>
      <c r="CLH91" s="204"/>
      <c r="CLI91" s="204"/>
      <c r="CLJ91" s="199"/>
      <c r="CLK91" s="167"/>
      <c r="CLL91" s="199"/>
      <c r="CLM91" s="200"/>
      <c r="CLN91" s="201"/>
      <c r="CLO91" s="202"/>
      <c r="CLP91" s="202"/>
      <c r="CLQ91" s="202"/>
      <c r="CLR91" s="202"/>
      <c r="CLS91" s="203"/>
      <c r="CLT91" s="204"/>
      <c r="CLU91" s="204"/>
      <c r="CLV91" s="204"/>
      <c r="CLW91" s="205"/>
      <c r="CLX91" s="206"/>
      <c r="CLY91" s="207"/>
      <c r="CLZ91" s="207"/>
      <c r="CMA91" s="208"/>
      <c r="CMB91" s="209"/>
      <c r="CMC91" s="207"/>
      <c r="CMD91" s="210"/>
      <c r="CME91" s="209"/>
      <c r="CMF91" s="204"/>
      <c r="CMG91" s="204"/>
      <c r="CMH91" s="204"/>
      <c r="CMI91" s="199"/>
      <c r="CMJ91" s="167"/>
      <c r="CMK91" s="199"/>
      <c r="CML91" s="200"/>
      <c r="CMM91" s="201"/>
      <c r="CMN91" s="202"/>
      <c r="CMO91" s="202"/>
      <c r="CMP91" s="202"/>
      <c r="CMQ91" s="202"/>
      <c r="CMR91" s="203"/>
      <c r="CMS91" s="204"/>
      <c r="CMT91" s="204"/>
      <c r="CMU91" s="204"/>
      <c r="CMV91" s="205"/>
      <c r="CMW91" s="206"/>
      <c r="CMX91" s="207"/>
      <c r="CMY91" s="207"/>
      <c r="CMZ91" s="208"/>
      <c r="CNA91" s="209"/>
      <c r="CNB91" s="207"/>
      <c r="CNC91" s="210"/>
      <c r="CND91" s="209"/>
      <c r="CNE91" s="204"/>
      <c r="CNF91" s="204"/>
      <c r="CNG91" s="204"/>
      <c r="CNH91" s="199"/>
      <c r="CNI91" s="167"/>
      <c r="CNJ91" s="199"/>
      <c r="CNK91" s="200"/>
      <c r="CNL91" s="201"/>
      <c r="CNM91" s="202"/>
      <c r="CNN91" s="202"/>
      <c r="CNO91" s="202"/>
      <c r="CNP91" s="202"/>
      <c r="CNQ91" s="203"/>
      <c r="CNR91" s="204"/>
      <c r="CNS91" s="204"/>
      <c r="CNT91" s="204"/>
      <c r="CNU91" s="205"/>
      <c r="CNV91" s="206"/>
      <c r="CNW91" s="207"/>
      <c r="CNX91" s="207"/>
      <c r="CNY91" s="208"/>
      <c r="CNZ91" s="209"/>
      <c r="COA91" s="207"/>
      <c r="COB91" s="210"/>
      <c r="COC91" s="209"/>
      <c r="COD91" s="204"/>
      <c r="COE91" s="204"/>
      <c r="COF91" s="204"/>
      <c r="COG91" s="199"/>
      <c r="COH91" s="167"/>
      <c r="COI91" s="199"/>
      <c r="COJ91" s="200"/>
      <c r="COK91" s="201"/>
      <c r="COL91" s="202"/>
      <c r="COM91" s="202"/>
      <c r="CON91" s="202"/>
      <c r="COO91" s="202"/>
      <c r="COP91" s="203"/>
      <c r="COQ91" s="204"/>
      <c r="COR91" s="204"/>
      <c r="COS91" s="204"/>
      <c r="COT91" s="205"/>
      <c r="COU91" s="206"/>
      <c r="COV91" s="207"/>
      <c r="COW91" s="207"/>
      <c r="COX91" s="208"/>
      <c r="COY91" s="209"/>
      <c r="COZ91" s="207"/>
      <c r="CPA91" s="210"/>
      <c r="CPB91" s="209"/>
      <c r="CPC91" s="204"/>
      <c r="CPD91" s="204"/>
      <c r="CPE91" s="204"/>
      <c r="CPF91" s="199"/>
      <c r="CPG91" s="167"/>
      <c r="CPH91" s="199"/>
      <c r="CPI91" s="200"/>
      <c r="CPJ91" s="201"/>
      <c r="CPK91" s="202"/>
      <c r="CPL91" s="202"/>
      <c r="CPM91" s="202"/>
      <c r="CPN91" s="202"/>
      <c r="CPO91" s="203"/>
      <c r="CPP91" s="204"/>
      <c r="CPQ91" s="204"/>
      <c r="CPR91" s="204"/>
      <c r="CPS91" s="205"/>
      <c r="CPT91" s="206"/>
      <c r="CPU91" s="207"/>
      <c r="CPV91" s="207"/>
      <c r="CPW91" s="208"/>
      <c r="CPX91" s="209"/>
      <c r="CPY91" s="207"/>
      <c r="CPZ91" s="210"/>
      <c r="CQA91" s="209"/>
      <c r="CQB91" s="204"/>
      <c r="CQC91" s="204"/>
      <c r="CQD91" s="204"/>
      <c r="CQE91" s="199"/>
      <c r="CQF91" s="167"/>
      <c r="CQG91" s="199"/>
      <c r="CQH91" s="200"/>
      <c r="CQI91" s="201"/>
      <c r="CQJ91" s="202"/>
      <c r="CQK91" s="202"/>
      <c r="CQL91" s="202"/>
      <c r="CQM91" s="202"/>
      <c r="CQN91" s="203"/>
      <c r="CQO91" s="204"/>
      <c r="CQP91" s="204"/>
      <c r="CQQ91" s="204"/>
      <c r="CQR91" s="205"/>
      <c r="CQS91" s="206"/>
      <c r="CQT91" s="207"/>
      <c r="CQU91" s="207"/>
      <c r="CQV91" s="208"/>
      <c r="CQW91" s="209"/>
      <c r="CQX91" s="207"/>
      <c r="CQY91" s="210"/>
      <c r="CQZ91" s="209"/>
      <c r="CRA91" s="204"/>
      <c r="CRB91" s="204"/>
      <c r="CRC91" s="204"/>
      <c r="CRD91" s="199"/>
      <c r="CRE91" s="167"/>
      <c r="CRF91" s="199"/>
      <c r="CRG91" s="200"/>
      <c r="CRH91" s="201"/>
      <c r="CRI91" s="202"/>
      <c r="CRJ91" s="202"/>
      <c r="CRK91" s="202"/>
      <c r="CRL91" s="202"/>
      <c r="CRM91" s="203"/>
      <c r="CRN91" s="204"/>
      <c r="CRO91" s="204"/>
      <c r="CRP91" s="204"/>
      <c r="CRQ91" s="205"/>
      <c r="CRR91" s="206"/>
      <c r="CRS91" s="207"/>
      <c r="CRT91" s="207"/>
      <c r="CRU91" s="208"/>
      <c r="CRV91" s="209"/>
      <c r="CRW91" s="207"/>
      <c r="CRX91" s="210"/>
      <c r="CRY91" s="209"/>
      <c r="CRZ91" s="204"/>
      <c r="CSA91" s="204"/>
      <c r="CSB91" s="204"/>
      <c r="CSC91" s="199"/>
      <c r="CSD91" s="167"/>
      <c r="CSE91" s="199"/>
      <c r="CSF91" s="200"/>
      <c r="CSG91" s="201"/>
      <c r="CSH91" s="202"/>
      <c r="CSI91" s="202"/>
      <c r="CSJ91" s="202"/>
      <c r="CSK91" s="202"/>
      <c r="CSL91" s="203"/>
      <c r="CSM91" s="204"/>
      <c r="CSN91" s="204"/>
      <c r="CSO91" s="204"/>
      <c r="CSP91" s="205"/>
      <c r="CSQ91" s="206"/>
      <c r="CSR91" s="207"/>
      <c r="CSS91" s="207"/>
      <c r="CST91" s="208"/>
      <c r="CSU91" s="209"/>
      <c r="CSV91" s="207"/>
      <c r="CSW91" s="210"/>
      <c r="CSX91" s="209"/>
      <c r="CSY91" s="204"/>
      <c r="CSZ91" s="204"/>
      <c r="CTA91" s="204"/>
      <c r="CTB91" s="199"/>
      <c r="CTC91" s="167"/>
      <c r="CTD91" s="199"/>
      <c r="CTE91" s="200"/>
      <c r="CTF91" s="201"/>
      <c r="CTG91" s="202"/>
      <c r="CTH91" s="202"/>
      <c r="CTI91" s="202"/>
      <c r="CTJ91" s="202"/>
      <c r="CTK91" s="203"/>
      <c r="CTL91" s="204"/>
      <c r="CTM91" s="204"/>
      <c r="CTN91" s="204"/>
      <c r="CTO91" s="205"/>
      <c r="CTP91" s="206"/>
      <c r="CTQ91" s="207"/>
      <c r="CTR91" s="207"/>
      <c r="CTS91" s="208"/>
      <c r="CTT91" s="209"/>
      <c r="CTU91" s="207"/>
      <c r="CTV91" s="210"/>
      <c r="CTW91" s="209"/>
      <c r="CTX91" s="204"/>
      <c r="CTY91" s="204"/>
      <c r="CTZ91" s="204"/>
      <c r="CUA91" s="199"/>
      <c r="CUB91" s="167"/>
      <c r="CUC91" s="199"/>
      <c r="CUD91" s="200"/>
      <c r="CUE91" s="201"/>
      <c r="CUF91" s="202"/>
      <c r="CUG91" s="202"/>
      <c r="CUH91" s="202"/>
      <c r="CUI91" s="202"/>
      <c r="CUJ91" s="203"/>
      <c r="CUK91" s="204"/>
      <c r="CUL91" s="204"/>
      <c r="CUM91" s="204"/>
      <c r="CUN91" s="205"/>
      <c r="CUO91" s="206"/>
      <c r="CUP91" s="207"/>
      <c r="CUQ91" s="207"/>
      <c r="CUR91" s="208"/>
      <c r="CUS91" s="209"/>
      <c r="CUT91" s="207"/>
      <c r="CUU91" s="210"/>
      <c r="CUV91" s="209"/>
      <c r="CUW91" s="204"/>
      <c r="CUX91" s="204"/>
      <c r="CUY91" s="204"/>
      <c r="CUZ91" s="199"/>
      <c r="CVA91" s="167"/>
      <c r="CVB91" s="199"/>
      <c r="CVC91" s="200"/>
      <c r="CVD91" s="201"/>
      <c r="CVE91" s="202"/>
      <c r="CVF91" s="202"/>
      <c r="CVG91" s="202"/>
      <c r="CVH91" s="202"/>
      <c r="CVI91" s="203"/>
      <c r="CVJ91" s="204"/>
      <c r="CVK91" s="204"/>
      <c r="CVL91" s="204"/>
      <c r="CVM91" s="205"/>
      <c r="CVN91" s="206"/>
      <c r="CVO91" s="207"/>
      <c r="CVP91" s="207"/>
      <c r="CVQ91" s="208"/>
      <c r="CVR91" s="209"/>
      <c r="CVS91" s="207"/>
      <c r="CVT91" s="210"/>
      <c r="CVU91" s="209"/>
      <c r="CVV91" s="204"/>
      <c r="CVW91" s="204"/>
      <c r="CVX91" s="204"/>
      <c r="CVY91" s="199"/>
      <c r="CVZ91" s="167"/>
      <c r="CWA91" s="199"/>
      <c r="CWB91" s="200"/>
      <c r="CWC91" s="201"/>
      <c r="CWD91" s="202"/>
      <c r="CWE91" s="202"/>
      <c r="CWF91" s="202"/>
      <c r="CWG91" s="202"/>
      <c r="CWH91" s="203"/>
      <c r="CWI91" s="204"/>
      <c r="CWJ91" s="204"/>
      <c r="CWK91" s="204"/>
      <c r="CWL91" s="205"/>
      <c r="CWM91" s="206"/>
      <c r="CWN91" s="207"/>
      <c r="CWO91" s="207"/>
      <c r="CWP91" s="208"/>
      <c r="CWQ91" s="209"/>
      <c r="CWR91" s="207"/>
      <c r="CWS91" s="210"/>
      <c r="CWT91" s="209"/>
      <c r="CWU91" s="204"/>
      <c r="CWV91" s="204"/>
      <c r="CWW91" s="204"/>
      <c r="CWX91" s="199"/>
      <c r="CWY91" s="167"/>
      <c r="CWZ91" s="199"/>
      <c r="CXA91" s="200"/>
      <c r="CXB91" s="201"/>
      <c r="CXC91" s="202"/>
      <c r="CXD91" s="202"/>
      <c r="CXE91" s="202"/>
      <c r="CXF91" s="202"/>
      <c r="CXG91" s="203"/>
      <c r="CXH91" s="204"/>
      <c r="CXI91" s="204"/>
      <c r="CXJ91" s="204"/>
      <c r="CXK91" s="205"/>
      <c r="CXL91" s="206"/>
      <c r="CXM91" s="207"/>
      <c r="CXN91" s="207"/>
      <c r="CXO91" s="208"/>
      <c r="CXP91" s="209"/>
      <c r="CXQ91" s="207"/>
      <c r="CXR91" s="210"/>
      <c r="CXS91" s="209"/>
      <c r="CXT91" s="204"/>
      <c r="CXU91" s="204"/>
      <c r="CXV91" s="204"/>
      <c r="CXW91" s="199"/>
      <c r="CXX91" s="167"/>
      <c r="CXY91" s="199"/>
      <c r="CXZ91" s="200"/>
      <c r="CYA91" s="201"/>
      <c r="CYB91" s="202"/>
      <c r="CYC91" s="202"/>
      <c r="CYD91" s="202"/>
      <c r="CYE91" s="202"/>
      <c r="CYF91" s="203"/>
      <c r="CYG91" s="204"/>
      <c r="CYH91" s="204"/>
      <c r="CYI91" s="204"/>
      <c r="CYJ91" s="205"/>
      <c r="CYK91" s="206"/>
      <c r="CYL91" s="207"/>
      <c r="CYM91" s="207"/>
      <c r="CYN91" s="208"/>
      <c r="CYO91" s="209"/>
      <c r="CYP91" s="207"/>
      <c r="CYQ91" s="210"/>
      <c r="CYR91" s="209"/>
      <c r="CYS91" s="204"/>
      <c r="CYT91" s="204"/>
      <c r="CYU91" s="204"/>
      <c r="CYV91" s="199"/>
      <c r="CYW91" s="167"/>
      <c r="CYX91" s="199"/>
      <c r="CYY91" s="200"/>
      <c r="CYZ91" s="201"/>
      <c r="CZA91" s="202"/>
      <c r="CZB91" s="202"/>
      <c r="CZC91" s="202"/>
      <c r="CZD91" s="202"/>
      <c r="CZE91" s="203"/>
      <c r="CZF91" s="204"/>
      <c r="CZG91" s="204"/>
      <c r="CZH91" s="204"/>
      <c r="CZI91" s="205"/>
      <c r="CZJ91" s="206"/>
      <c r="CZK91" s="207"/>
      <c r="CZL91" s="207"/>
      <c r="CZM91" s="208"/>
      <c r="CZN91" s="209"/>
      <c r="CZO91" s="207"/>
      <c r="CZP91" s="210"/>
      <c r="CZQ91" s="209"/>
      <c r="CZR91" s="204"/>
      <c r="CZS91" s="204"/>
      <c r="CZT91" s="204"/>
      <c r="CZU91" s="199"/>
      <c r="CZV91" s="167"/>
      <c r="CZW91" s="199"/>
      <c r="CZX91" s="200"/>
      <c r="CZY91" s="201"/>
      <c r="CZZ91" s="202"/>
      <c r="DAA91" s="202"/>
      <c r="DAB91" s="202"/>
      <c r="DAC91" s="202"/>
      <c r="DAD91" s="203"/>
      <c r="DAE91" s="204"/>
      <c r="DAF91" s="204"/>
      <c r="DAG91" s="204"/>
      <c r="DAH91" s="205"/>
      <c r="DAI91" s="206"/>
      <c r="DAJ91" s="207"/>
      <c r="DAK91" s="207"/>
      <c r="DAL91" s="208"/>
      <c r="DAM91" s="209"/>
      <c r="DAN91" s="207"/>
      <c r="DAO91" s="210"/>
      <c r="DAP91" s="209"/>
      <c r="DAQ91" s="204"/>
      <c r="DAR91" s="204"/>
      <c r="DAS91" s="204"/>
      <c r="DAT91" s="199"/>
      <c r="DAU91" s="167"/>
      <c r="DAV91" s="199"/>
      <c r="DAW91" s="200"/>
      <c r="DAX91" s="201"/>
      <c r="DAY91" s="202"/>
      <c r="DAZ91" s="202"/>
      <c r="DBA91" s="202"/>
      <c r="DBB91" s="202"/>
      <c r="DBC91" s="203"/>
      <c r="DBD91" s="204"/>
      <c r="DBE91" s="204"/>
      <c r="DBF91" s="204"/>
      <c r="DBG91" s="205"/>
      <c r="DBH91" s="206"/>
      <c r="DBI91" s="207"/>
      <c r="DBJ91" s="207"/>
      <c r="DBK91" s="208"/>
      <c r="DBL91" s="209"/>
      <c r="DBM91" s="207"/>
      <c r="DBN91" s="210"/>
      <c r="DBO91" s="209"/>
      <c r="DBP91" s="204"/>
      <c r="DBQ91" s="204"/>
      <c r="DBR91" s="204"/>
      <c r="DBS91" s="199"/>
      <c r="DBT91" s="167"/>
      <c r="DBU91" s="199"/>
      <c r="DBV91" s="200"/>
      <c r="DBW91" s="201"/>
      <c r="DBX91" s="202"/>
      <c r="DBY91" s="202"/>
      <c r="DBZ91" s="202"/>
      <c r="DCA91" s="202"/>
      <c r="DCB91" s="203"/>
      <c r="DCC91" s="204"/>
      <c r="DCD91" s="204"/>
      <c r="DCE91" s="204"/>
      <c r="DCF91" s="205"/>
      <c r="DCG91" s="206"/>
      <c r="DCH91" s="207"/>
      <c r="DCI91" s="207"/>
      <c r="DCJ91" s="208"/>
      <c r="DCK91" s="209"/>
      <c r="DCL91" s="207"/>
      <c r="DCM91" s="210"/>
      <c r="DCN91" s="209"/>
      <c r="DCO91" s="204"/>
      <c r="DCP91" s="204"/>
      <c r="DCQ91" s="204"/>
      <c r="DCR91" s="199"/>
      <c r="DCS91" s="167"/>
      <c r="DCT91" s="199"/>
      <c r="DCU91" s="200"/>
      <c r="DCV91" s="201"/>
      <c r="DCW91" s="202"/>
      <c r="DCX91" s="202"/>
      <c r="DCY91" s="202"/>
      <c r="DCZ91" s="202"/>
      <c r="DDA91" s="203"/>
      <c r="DDB91" s="204"/>
      <c r="DDC91" s="204"/>
      <c r="DDD91" s="204"/>
      <c r="DDE91" s="205"/>
      <c r="DDF91" s="206"/>
      <c r="DDG91" s="207"/>
      <c r="DDH91" s="207"/>
      <c r="DDI91" s="208"/>
      <c r="DDJ91" s="209"/>
      <c r="DDK91" s="207"/>
      <c r="DDL91" s="210"/>
      <c r="DDM91" s="209"/>
      <c r="DDN91" s="204"/>
      <c r="DDO91" s="204"/>
      <c r="DDP91" s="204"/>
      <c r="DDQ91" s="199"/>
      <c r="DDR91" s="167"/>
      <c r="DDS91" s="199"/>
      <c r="DDT91" s="200"/>
      <c r="DDU91" s="201"/>
      <c r="DDV91" s="202"/>
      <c r="DDW91" s="202"/>
      <c r="DDX91" s="202"/>
      <c r="DDY91" s="202"/>
      <c r="DDZ91" s="203"/>
      <c r="DEA91" s="204"/>
      <c r="DEB91" s="204"/>
      <c r="DEC91" s="204"/>
      <c r="DED91" s="205"/>
      <c r="DEE91" s="206"/>
      <c r="DEF91" s="207"/>
      <c r="DEG91" s="207"/>
      <c r="DEH91" s="208"/>
      <c r="DEI91" s="209"/>
      <c r="DEJ91" s="207"/>
      <c r="DEK91" s="210"/>
      <c r="DEL91" s="209"/>
      <c r="DEM91" s="204"/>
      <c r="DEN91" s="204"/>
      <c r="DEO91" s="204"/>
      <c r="DEP91" s="199"/>
      <c r="DEQ91" s="167"/>
      <c r="DER91" s="199"/>
      <c r="DES91" s="200"/>
      <c r="DET91" s="201"/>
      <c r="DEU91" s="202"/>
      <c r="DEV91" s="202"/>
      <c r="DEW91" s="202"/>
      <c r="DEX91" s="202"/>
      <c r="DEY91" s="203"/>
      <c r="DEZ91" s="204"/>
      <c r="DFA91" s="204"/>
      <c r="DFB91" s="204"/>
      <c r="DFC91" s="205"/>
      <c r="DFD91" s="206"/>
      <c r="DFE91" s="207"/>
      <c r="DFF91" s="207"/>
      <c r="DFG91" s="208"/>
      <c r="DFH91" s="209"/>
      <c r="DFI91" s="207"/>
      <c r="DFJ91" s="210"/>
      <c r="DFK91" s="209"/>
      <c r="DFL91" s="204"/>
      <c r="DFM91" s="204"/>
      <c r="DFN91" s="204"/>
      <c r="DFO91" s="199"/>
      <c r="DFP91" s="167"/>
      <c r="DFQ91" s="199"/>
      <c r="DFR91" s="200"/>
      <c r="DFS91" s="201"/>
      <c r="DFT91" s="202"/>
      <c r="DFU91" s="202"/>
      <c r="DFV91" s="202"/>
      <c r="DFW91" s="202"/>
      <c r="DFX91" s="203"/>
      <c r="DFY91" s="204"/>
      <c r="DFZ91" s="204"/>
      <c r="DGA91" s="204"/>
      <c r="DGB91" s="205"/>
      <c r="DGC91" s="206"/>
      <c r="DGD91" s="207"/>
      <c r="DGE91" s="207"/>
      <c r="DGF91" s="208"/>
      <c r="DGG91" s="209"/>
      <c r="DGH91" s="207"/>
      <c r="DGI91" s="210"/>
      <c r="DGJ91" s="209"/>
      <c r="DGK91" s="204"/>
      <c r="DGL91" s="204"/>
      <c r="DGM91" s="204"/>
      <c r="DGN91" s="199"/>
      <c r="DGO91" s="167"/>
      <c r="DGP91" s="199"/>
      <c r="DGQ91" s="200"/>
      <c r="DGR91" s="201"/>
      <c r="DGS91" s="202"/>
      <c r="DGT91" s="202"/>
      <c r="DGU91" s="202"/>
      <c r="DGV91" s="202"/>
      <c r="DGW91" s="203"/>
      <c r="DGX91" s="204"/>
      <c r="DGY91" s="204"/>
      <c r="DGZ91" s="204"/>
      <c r="DHA91" s="205"/>
      <c r="DHB91" s="206"/>
      <c r="DHC91" s="207"/>
      <c r="DHD91" s="207"/>
      <c r="DHE91" s="208"/>
      <c r="DHF91" s="209"/>
      <c r="DHG91" s="207"/>
      <c r="DHH91" s="210"/>
      <c r="DHI91" s="209"/>
      <c r="DHJ91" s="204"/>
      <c r="DHK91" s="204"/>
      <c r="DHL91" s="204"/>
      <c r="DHM91" s="199"/>
      <c r="DHN91" s="167"/>
      <c r="DHO91" s="199"/>
      <c r="DHP91" s="200"/>
      <c r="DHQ91" s="201"/>
      <c r="DHR91" s="202"/>
      <c r="DHS91" s="202"/>
      <c r="DHT91" s="202"/>
      <c r="DHU91" s="202"/>
      <c r="DHV91" s="203"/>
      <c r="DHW91" s="204"/>
      <c r="DHX91" s="204"/>
      <c r="DHY91" s="204"/>
      <c r="DHZ91" s="205"/>
      <c r="DIA91" s="206"/>
      <c r="DIB91" s="207"/>
      <c r="DIC91" s="207"/>
      <c r="DID91" s="208"/>
      <c r="DIE91" s="209"/>
      <c r="DIF91" s="207"/>
      <c r="DIG91" s="210"/>
      <c r="DIH91" s="209"/>
      <c r="DII91" s="204"/>
      <c r="DIJ91" s="204"/>
      <c r="DIK91" s="204"/>
      <c r="DIL91" s="199"/>
      <c r="DIM91" s="167"/>
      <c r="DIN91" s="199"/>
      <c r="DIO91" s="200"/>
      <c r="DIP91" s="201"/>
      <c r="DIQ91" s="202"/>
      <c r="DIR91" s="202"/>
      <c r="DIS91" s="202"/>
      <c r="DIT91" s="202"/>
      <c r="DIU91" s="203"/>
      <c r="DIV91" s="204"/>
      <c r="DIW91" s="204"/>
      <c r="DIX91" s="204"/>
      <c r="DIY91" s="205"/>
      <c r="DIZ91" s="206"/>
      <c r="DJA91" s="207"/>
      <c r="DJB91" s="207"/>
      <c r="DJC91" s="208"/>
      <c r="DJD91" s="209"/>
      <c r="DJE91" s="207"/>
      <c r="DJF91" s="210"/>
      <c r="DJG91" s="209"/>
      <c r="DJH91" s="204"/>
      <c r="DJI91" s="204"/>
      <c r="DJJ91" s="204"/>
      <c r="DJK91" s="199"/>
      <c r="DJL91" s="167"/>
      <c r="DJM91" s="199"/>
      <c r="DJN91" s="200"/>
      <c r="DJO91" s="201"/>
      <c r="DJP91" s="202"/>
      <c r="DJQ91" s="202"/>
      <c r="DJR91" s="202"/>
      <c r="DJS91" s="202"/>
      <c r="DJT91" s="203"/>
      <c r="DJU91" s="204"/>
      <c r="DJV91" s="204"/>
      <c r="DJW91" s="204"/>
      <c r="DJX91" s="205"/>
      <c r="DJY91" s="206"/>
      <c r="DJZ91" s="207"/>
      <c r="DKA91" s="207"/>
      <c r="DKB91" s="208"/>
      <c r="DKC91" s="209"/>
      <c r="DKD91" s="207"/>
      <c r="DKE91" s="210"/>
      <c r="DKF91" s="209"/>
      <c r="DKG91" s="204"/>
      <c r="DKH91" s="204"/>
      <c r="DKI91" s="204"/>
      <c r="DKJ91" s="199"/>
      <c r="DKK91" s="167"/>
      <c r="DKL91" s="199"/>
      <c r="DKM91" s="200"/>
      <c r="DKN91" s="201"/>
      <c r="DKO91" s="202"/>
      <c r="DKP91" s="202"/>
      <c r="DKQ91" s="202"/>
      <c r="DKR91" s="202"/>
      <c r="DKS91" s="203"/>
      <c r="DKT91" s="204"/>
      <c r="DKU91" s="204"/>
      <c r="DKV91" s="204"/>
      <c r="DKW91" s="205"/>
      <c r="DKX91" s="206"/>
      <c r="DKY91" s="207"/>
      <c r="DKZ91" s="207"/>
      <c r="DLA91" s="208"/>
      <c r="DLB91" s="209"/>
      <c r="DLC91" s="207"/>
      <c r="DLD91" s="210"/>
      <c r="DLE91" s="209"/>
      <c r="DLF91" s="204"/>
      <c r="DLG91" s="204"/>
      <c r="DLH91" s="204"/>
      <c r="DLI91" s="199"/>
      <c r="DLJ91" s="167"/>
      <c r="DLK91" s="199"/>
      <c r="DLL91" s="200"/>
      <c r="DLM91" s="201"/>
      <c r="DLN91" s="202"/>
      <c r="DLO91" s="202"/>
      <c r="DLP91" s="202"/>
      <c r="DLQ91" s="202"/>
      <c r="DLR91" s="203"/>
      <c r="DLS91" s="204"/>
      <c r="DLT91" s="204"/>
      <c r="DLU91" s="204"/>
      <c r="DLV91" s="205"/>
      <c r="DLW91" s="206"/>
      <c r="DLX91" s="207"/>
      <c r="DLY91" s="207"/>
      <c r="DLZ91" s="208"/>
      <c r="DMA91" s="209"/>
      <c r="DMB91" s="207"/>
      <c r="DMC91" s="210"/>
      <c r="DMD91" s="209"/>
      <c r="DME91" s="204"/>
      <c r="DMF91" s="204"/>
      <c r="DMG91" s="204"/>
      <c r="DMH91" s="199"/>
      <c r="DMI91" s="167"/>
      <c r="DMJ91" s="199"/>
      <c r="DMK91" s="200"/>
      <c r="DML91" s="201"/>
      <c r="DMM91" s="202"/>
      <c r="DMN91" s="202"/>
      <c r="DMO91" s="202"/>
      <c r="DMP91" s="202"/>
      <c r="DMQ91" s="203"/>
      <c r="DMR91" s="204"/>
      <c r="DMS91" s="204"/>
      <c r="DMT91" s="204"/>
      <c r="DMU91" s="205"/>
      <c r="DMV91" s="206"/>
      <c r="DMW91" s="207"/>
      <c r="DMX91" s="207"/>
      <c r="DMY91" s="208"/>
      <c r="DMZ91" s="209"/>
      <c r="DNA91" s="207"/>
      <c r="DNB91" s="210"/>
      <c r="DNC91" s="209"/>
      <c r="DND91" s="204"/>
      <c r="DNE91" s="204"/>
      <c r="DNF91" s="204"/>
      <c r="DNG91" s="199"/>
      <c r="DNH91" s="167"/>
      <c r="DNI91" s="199"/>
      <c r="DNJ91" s="200"/>
      <c r="DNK91" s="201"/>
      <c r="DNL91" s="202"/>
      <c r="DNM91" s="202"/>
      <c r="DNN91" s="202"/>
      <c r="DNO91" s="202"/>
      <c r="DNP91" s="203"/>
      <c r="DNQ91" s="204"/>
      <c r="DNR91" s="204"/>
      <c r="DNS91" s="204"/>
      <c r="DNT91" s="205"/>
      <c r="DNU91" s="206"/>
      <c r="DNV91" s="207"/>
      <c r="DNW91" s="207"/>
      <c r="DNX91" s="208"/>
      <c r="DNY91" s="209"/>
      <c r="DNZ91" s="207"/>
      <c r="DOA91" s="210"/>
      <c r="DOB91" s="209"/>
      <c r="DOC91" s="204"/>
      <c r="DOD91" s="204"/>
      <c r="DOE91" s="204"/>
      <c r="DOF91" s="199"/>
      <c r="DOG91" s="167"/>
      <c r="DOH91" s="199"/>
      <c r="DOI91" s="200"/>
      <c r="DOJ91" s="201"/>
      <c r="DOK91" s="202"/>
      <c r="DOL91" s="202"/>
      <c r="DOM91" s="202"/>
      <c r="DON91" s="202"/>
      <c r="DOO91" s="203"/>
      <c r="DOP91" s="204"/>
      <c r="DOQ91" s="204"/>
      <c r="DOR91" s="204"/>
      <c r="DOS91" s="205"/>
      <c r="DOT91" s="206"/>
      <c r="DOU91" s="207"/>
      <c r="DOV91" s="207"/>
      <c r="DOW91" s="208"/>
      <c r="DOX91" s="209"/>
      <c r="DOY91" s="207"/>
      <c r="DOZ91" s="210"/>
      <c r="DPA91" s="209"/>
      <c r="DPB91" s="204"/>
      <c r="DPC91" s="204"/>
      <c r="DPD91" s="204"/>
      <c r="DPE91" s="199"/>
      <c r="DPF91" s="167"/>
      <c r="DPG91" s="199"/>
      <c r="DPH91" s="200"/>
      <c r="DPI91" s="201"/>
      <c r="DPJ91" s="202"/>
      <c r="DPK91" s="202"/>
      <c r="DPL91" s="202"/>
      <c r="DPM91" s="202"/>
      <c r="DPN91" s="203"/>
      <c r="DPO91" s="204"/>
      <c r="DPP91" s="204"/>
      <c r="DPQ91" s="204"/>
      <c r="DPR91" s="205"/>
      <c r="DPS91" s="206"/>
      <c r="DPT91" s="207"/>
      <c r="DPU91" s="207"/>
      <c r="DPV91" s="208"/>
      <c r="DPW91" s="209"/>
      <c r="DPX91" s="207"/>
      <c r="DPY91" s="210"/>
      <c r="DPZ91" s="209"/>
      <c r="DQA91" s="204"/>
      <c r="DQB91" s="204"/>
      <c r="DQC91" s="204"/>
      <c r="DQD91" s="199"/>
      <c r="DQE91" s="167"/>
      <c r="DQF91" s="199"/>
      <c r="DQG91" s="200"/>
      <c r="DQH91" s="201"/>
      <c r="DQI91" s="202"/>
      <c r="DQJ91" s="202"/>
      <c r="DQK91" s="202"/>
      <c r="DQL91" s="202"/>
      <c r="DQM91" s="203"/>
      <c r="DQN91" s="204"/>
      <c r="DQO91" s="204"/>
      <c r="DQP91" s="204"/>
      <c r="DQQ91" s="205"/>
      <c r="DQR91" s="206"/>
      <c r="DQS91" s="207"/>
      <c r="DQT91" s="207"/>
      <c r="DQU91" s="208"/>
      <c r="DQV91" s="209"/>
      <c r="DQW91" s="207"/>
      <c r="DQX91" s="210"/>
      <c r="DQY91" s="209"/>
      <c r="DQZ91" s="204"/>
      <c r="DRA91" s="204"/>
      <c r="DRB91" s="204"/>
      <c r="DRC91" s="199"/>
      <c r="DRD91" s="167"/>
      <c r="DRE91" s="199"/>
      <c r="DRF91" s="200"/>
      <c r="DRG91" s="201"/>
      <c r="DRH91" s="202"/>
      <c r="DRI91" s="202"/>
      <c r="DRJ91" s="202"/>
      <c r="DRK91" s="202"/>
      <c r="DRL91" s="203"/>
      <c r="DRM91" s="204"/>
      <c r="DRN91" s="204"/>
      <c r="DRO91" s="204"/>
      <c r="DRP91" s="205"/>
      <c r="DRQ91" s="206"/>
      <c r="DRR91" s="207"/>
      <c r="DRS91" s="207"/>
      <c r="DRT91" s="208"/>
      <c r="DRU91" s="209"/>
      <c r="DRV91" s="207"/>
      <c r="DRW91" s="210"/>
      <c r="DRX91" s="209"/>
      <c r="DRY91" s="204"/>
      <c r="DRZ91" s="204"/>
      <c r="DSA91" s="204"/>
      <c r="DSB91" s="199"/>
      <c r="DSC91" s="167"/>
      <c r="DSD91" s="199"/>
      <c r="DSE91" s="200"/>
      <c r="DSF91" s="201"/>
      <c r="DSG91" s="202"/>
      <c r="DSH91" s="202"/>
      <c r="DSI91" s="202"/>
      <c r="DSJ91" s="202"/>
      <c r="DSK91" s="203"/>
      <c r="DSL91" s="204"/>
      <c r="DSM91" s="204"/>
      <c r="DSN91" s="204"/>
      <c r="DSO91" s="205"/>
      <c r="DSP91" s="206"/>
      <c r="DSQ91" s="207"/>
      <c r="DSR91" s="207"/>
      <c r="DSS91" s="208"/>
      <c r="DST91" s="209"/>
      <c r="DSU91" s="207"/>
      <c r="DSV91" s="210"/>
      <c r="DSW91" s="209"/>
      <c r="DSX91" s="204"/>
      <c r="DSY91" s="204"/>
      <c r="DSZ91" s="204"/>
      <c r="DTA91" s="199"/>
      <c r="DTB91" s="167"/>
      <c r="DTC91" s="199"/>
      <c r="DTD91" s="200"/>
      <c r="DTE91" s="201"/>
      <c r="DTF91" s="202"/>
      <c r="DTG91" s="202"/>
      <c r="DTH91" s="202"/>
      <c r="DTI91" s="202"/>
      <c r="DTJ91" s="203"/>
      <c r="DTK91" s="204"/>
      <c r="DTL91" s="204"/>
      <c r="DTM91" s="204"/>
      <c r="DTN91" s="205"/>
      <c r="DTO91" s="206"/>
      <c r="DTP91" s="207"/>
      <c r="DTQ91" s="207"/>
      <c r="DTR91" s="208"/>
      <c r="DTS91" s="209"/>
      <c r="DTT91" s="207"/>
      <c r="DTU91" s="210"/>
      <c r="DTV91" s="209"/>
      <c r="DTW91" s="204"/>
      <c r="DTX91" s="204"/>
      <c r="DTY91" s="204"/>
      <c r="DTZ91" s="199"/>
      <c r="DUA91" s="167"/>
      <c r="DUB91" s="199"/>
      <c r="DUC91" s="200"/>
      <c r="DUD91" s="201"/>
      <c r="DUE91" s="202"/>
      <c r="DUF91" s="202"/>
      <c r="DUG91" s="202"/>
      <c r="DUH91" s="202"/>
      <c r="DUI91" s="203"/>
      <c r="DUJ91" s="204"/>
      <c r="DUK91" s="204"/>
      <c r="DUL91" s="204"/>
      <c r="DUM91" s="205"/>
      <c r="DUN91" s="206"/>
      <c r="DUO91" s="207"/>
      <c r="DUP91" s="207"/>
      <c r="DUQ91" s="208"/>
      <c r="DUR91" s="209"/>
      <c r="DUS91" s="207"/>
      <c r="DUT91" s="210"/>
      <c r="DUU91" s="209"/>
      <c r="DUV91" s="204"/>
      <c r="DUW91" s="204"/>
      <c r="DUX91" s="204"/>
      <c r="DUY91" s="199"/>
      <c r="DUZ91" s="167"/>
      <c r="DVA91" s="199"/>
      <c r="DVB91" s="200"/>
      <c r="DVC91" s="201"/>
      <c r="DVD91" s="202"/>
      <c r="DVE91" s="202"/>
      <c r="DVF91" s="202"/>
      <c r="DVG91" s="202"/>
      <c r="DVH91" s="203"/>
      <c r="DVI91" s="204"/>
      <c r="DVJ91" s="204"/>
      <c r="DVK91" s="204"/>
      <c r="DVL91" s="205"/>
      <c r="DVM91" s="206"/>
      <c r="DVN91" s="207"/>
      <c r="DVO91" s="207"/>
      <c r="DVP91" s="208"/>
      <c r="DVQ91" s="209"/>
      <c r="DVR91" s="207"/>
      <c r="DVS91" s="210"/>
      <c r="DVT91" s="209"/>
      <c r="DVU91" s="204"/>
      <c r="DVV91" s="204"/>
      <c r="DVW91" s="204"/>
      <c r="DVX91" s="199"/>
      <c r="DVY91" s="167"/>
      <c r="DVZ91" s="199"/>
      <c r="DWA91" s="200"/>
      <c r="DWB91" s="201"/>
      <c r="DWC91" s="202"/>
      <c r="DWD91" s="202"/>
      <c r="DWE91" s="202"/>
      <c r="DWF91" s="202"/>
      <c r="DWG91" s="203"/>
      <c r="DWH91" s="204"/>
      <c r="DWI91" s="204"/>
      <c r="DWJ91" s="204"/>
      <c r="DWK91" s="205"/>
      <c r="DWL91" s="206"/>
      <c r="DWM91" s="207"/>
      <c r="DWN91" s="207"/>
      <c r="DWO91" s="208"/>
      <c r="DWP91" s="209"/>
      <c r="DWQ91" s="207"/>
      <c r="DWR91" s="210"/>
      <c r="DWS91" s="209"/>
      <c r="DWT91" s="204"/>
      <c r="DWU91" s="204"/>
      <c r="DWV91" s="204"/>
      <c r="DWW91" s="199"/>
      <c r="DWX91" s="167"/>
      <c r="DWY91" s="199"/>
      <c r="DWZ91" s="200"/>
      <c r="DXA91" s="201"/>
      <c r="DXB91" s="202"/>
      <c r="DXC91" s="202"/>
      <c r="DXD91" s="202"/>
      <c r="DXE91" s="202"/>
      <c r="DXF91" s="203"/>
      <c r="DXG91" s="204"/>
      <c r="DXH91" s="204"/>
      <c r="DXI91" s="204"/>
      <c r="DXJ91" s="205"/>
      <c r="DXK91" s="206"/>
      <c r="DXL91" s="207"/>
      <c r="DXM91" s="207"/>
      <c r="DXN91" s="208"/>
      <c r="DXO91" s="209"/>
      <c r="DXP91" s="207"/>
      <c r="DXQ91" s="210"/>
      <c r="DXR91" s="209"/>
      <c r="DXS91" s="204"/>
      <c r="DXT91" s="204"/>
      <c r="DXU91" s="204"/>
      <c r="DXV91" s="199"/>
      <c r="DXW91" s="167"/>
      <c r="DXX91" s="199"/>
      <c r="DXY91" s="200"/>
      <c r="DXZ91" s="201"/>
      <c r="DYA91" s="202"/>
      <c r="DYB91" s="202"/>
      <c r="DYC91" s="202"/>
      <c r="DYD91" s="202"/>
      <c r="DYE91" s="203"/>
      <c r="DYF91" s="204"/>
      <c r="DYG91" s="204"/>
      <c r="DYH91" s="204"/>
      <c r="DYI91" s="205"/>
      <c r="DYJ91" s="206"/>
      <c r="DYK91" s="207"/>
      <c r="DYL91" s="207"/>
      <c r="DYM91" s="208"/>
      <c r="DYN91" s="209"/>
      <c r="DYO91" s="207"/>
      <c r="DYP91" s="210"/>
      <c r="DYQ91" s="209"/>
      <c r="DYR91" s="204"/>
      <c r="DYS91" s="204"/>
      <c r="DYT91" s="204"/>
      <c r="DYU91" s="199"/>
      <c r="DYV91" s="167"/>
      <c r="DYW91" s="199"/>
      <c r="DYX91" s="200"/>
      <c r="DYY91" s="201"/>
      <c r="DYZ91" s="202"/>
      <c r="DZA91" s="202"/>
      <c r="DZB91" s="202"/>
      <c r="DZC91" s="202"/>
      <c r="DZD91" s="203"/>
      <c r="DZE91" s="204"/>
      <c r="DZF91" s="204"/>
      <c r="DZG91" s="204"/>
      <c r="DZH91" s="205"/>
      <c r="DZI91" s="206"/>
      <c r="DZJ91" s="207"/>
      <c r="DZK91" s="207"/>
      <c r="DZL91" s="208"/>
      <c r="DZM91" s="209"/>
      <c r="DZN91" s="207"/>
      <c r="DZO91" s="210"/>
      <c r="DZP91" s="209"/>
      <c r="DZQ91" s="204"/>
      <c r="DZR91" s="204"/>
      <c r="DZS91" s="204"/>
      <c r="DZT91" s="199"/>
      <c r="DZU91" s="167"/>
      <c r="DZV91" s="199"/>
      <c r="DZW91" s="200"/>
      <c r="DZX91" s="201"/>
      <c r="DZY91" s="202"/>
      <c r="DZZ91" s="202"/>
      <c r="EAA91" s="202"/>
      <c r="EAB91" s="202"/>
      <c r="EAC91" s="203"/>
      <c r="EAD91" s="204"/>
      <c r="EAE91" s="204"/>
      <c r="EAF91" s="204"/>
      <c r="EAG91" s="205"/>
      <c r="EAH91" s="206"/>
      <c r="EAI91" s="207"/>
      <c r="EAJ91" s="207"/>
      <c r="EAK91" s="208"/>
      <c r="EAL91" s="209"/>
      <c r="EAM91" s="207"/>
      <c r="EAN91" s="210"/>
      <c r="EAO91" s="209"/>
      <c r="EAP91" s="204"/>
      <c r="EAQ91" s="204"/>
      <c r="EAR91" s="204"/>
      <c r="EAS91" s="199"/>
      <c r="EAT91" s="167"/>
      <c r="EAU91" s="199"/>
      <c r="EAV91" s="200"/>
      <c r="EAW91" s="201"/>
      <c r="EAX91" s="202"/>
      <c r="EAY91" s="202"/>
      <c r="EAZ91" s="202"/>
      <c r="EBA91" s="202"/>
      <c r="EBB91" s="203"/>
      <c r="EBC91" s="204"/>
      <c r="EBD91" s="204"/>
      <c r="EBE91" s="204"/>
      <c r="EBF91" s="205"/>
      <c r="EBG91" s="206"/>
      <c r="EBH91" s="207"/>
      <c r="EBI91" s="207"/>
      <c r="EBJ91" s="208"/>
      <c r="EBK91" s="209"/>
      <c r="EBL91" s="207"/>
      <c r="EBM91" s="210"/>
      <c r="EBN91" s="209"/>
      <c r="EBO91" s="204"/>
      <c r="EBP91" s="204"/>
      <c r="EBQ91" s="204"/>
      <c r="EBR91" s="199"/>
      <c r="EBS91" s="167"/>
      <c r="EBT91" s="199"/>
      <c r="EBU91" s="200"/>
      <c r="EBV91" s="201"/>
      <c r="EBW91" s="202"/>
      <c r="EBX91" s="202"/>
      <c r="EBY91" s="202"/>
      <c r="EBZ91" s="202"/>
      <c r="ECA91" s="203"/>
      <c r="ECB91" s="204"/>
      <c r="ECC91" s="204"/>
      <c r="ECD91" s="204"/>
      <c r="ECE91" s="205"/>
      <c r="ECF91" s="206"/>
      <c r="ECG91" s="207"/>
      <c r="ECH91" s="207"/>
      <c r="ECI91" s="208"/>
      <c r="ECJ91" s="209"/>
      <c r="ECK91" s="207"/>
      <c r="ECL91" s="210"/>
      <c r="ECM91" s="209"/>
      <c r="ECN91" s="204"/>
      <c r="ECO91" s="204"/>
      <c r="ECP91" s="204"/>
      <c r="ECQ91" s="199"/>
      <c r="ECR91" s="167"/>
      <c r="ECS91" s="199"/>
      <c r="ECT91" s="200"/>
      <c r="ECU91" s="201"/>
      <c r="ECV91" s="202"/>
      <c r="ECW91" s="202"/>
      <c r="ECX91" s="202"/>
      <c r="ECY91" s="202"/>
      <c r="ECZ91" s="203"/>
      <c r="EDA91" s="204"/>
      <c r="EDB91" s="204"/>
      <c r="EDC91" s="204"/>
      <c r="EDD91" s="205"/>
      <c r="EDE91" s="206"/>
      <c r="EDF91" s="207"/>
      <c r="EDG91" s="207"/>
      <c r="EDH91" s="208"/>
      <c r="EDI91" s="209"/>
      <c r="EDJ91" s="207"/>
      <c r="EDK91" s="210"/>
      <c r="EDL91" s="209"/>
      <c r="EDM91" s="204"/>
      <c r="EDN91" s="204"/>
      <c r="EDO91" s="204"/>
      <c r="EDP91" s="199"/>
      <c r="EDQ91" s="167"/>
      <c r="EDR91" s="199"/>
      <c r="EDS91" s="200"/>
      <c r="EDT91" s="201"/>
      <c r="EDU91" s="202"/>
      <c r="EDV91" s="202"/>
      <c r="EDW91" s="202"/>
      <c r="EDX91" s="202"/>
      <c r="EDY91" s="203"/>
      <c r="EDZ91" s="204"/>
      <c r="EEA91" s="204"/>
      <c r="EEB91" s="204"/>
      <c r="EEC91" s="205"/>
      <c r="EED91" s="206"/>
      <c r="EEE91" s="207"/>
      <c r="EEF91" s="207"/>
      <c r="EEG91" s="208"/>
      <c r="EEH91" s="209"/>
      <c r="EEI91" s="207"/>
      <c r="EEJ91" s="210"/>
      <c r="EEK91" s="209"/>
      <c r="EEL91" s="204"/>
      <c r="EEM91" s="204"/>
      <c r="EEN91" s="204"/>
      <c r="EEO91" s="199"/>
      <c r="EEP91" s="167"/>
      <c r="EEQ91" s="199"/>
      <c r="EER91" s="200"/>
      <c r="EES91" s="201"/>
      <c r="EET91" s="202"/>
      <c r="EEU91" s="202"/>
      <c r="EEV91" s="202"/>
      <c r="EEW91" s="202"/>
      <c r="EEX91" s="203"/>
      <c r="EEY91" s="204"/>
      <c r="EEZ91" s="204"/>
      <c r="EFA91" s="204"/>
      <c r="EFB91" s="205"/>
      <c r="EFC91" s="206"/>
      <c r="EFD91" s="207"/>
      <c r="EFE91" s="207"/>
      <c r="EFF91" s="208"/>
      <c r="EFG91" s="209"/>
      <c r="EFH91" s="207"/>
      <c r="EFI91" s="210"/>
      <c r="EFJ91" s="209"/>
      <c r="EFK91" s="204"/>
      <c r="EFL91" s="204"/>
      <c r="EFM91" s="204"/>
      <c r="EFN91" s="199"/>
      <c r="EFO91" s="167"/>
      <c r="EFP91" s="199"/>
      <c r="EFQ91" s="200"/>
      <c r="EFR91" s="201"/>
      <c r="EFS91" s="202"/>
      <c r="EFT91" s="202"/>
      <c r="EFU91" s="202"/>
      <c r="EFV91" s="202"/>
      <c r="EFW91" s="203"/>
      <c r="EFX91" s="204"/>
      <c r="EFY91" s="204"/>
      <c r="EFZ91" s="204"/>
      <c r="EGA91" s="205"/>
      <c r="EGB91" s="206"/>
      <c r="EGC91" s="207"/>
      <c r="EGD91" s="207"/>
      <c r="EGE91" s="208"/>
      <c r="EGF91" s="209"/>
      <c r="EGG91" s="207"/>
      <c r="EGH91" s="210"/>
      <c r="EGI91" s="209"/>
      <c r="EGJ91" s="204"/>
      <c r="EGK91" s="204"/>
      <c r="EGL91" s="204"/>
      <c r="EGM91" s="199"/>
      <c r="EGN91" s="167"/>
      <c r="EGO91" s="199"/>
      <c r="EGP91" s="200"/>
      <c r="EGQ91" s="201"/>
      <c r="EGR91" s="202"/>
      <c r="EGS91" s="202"/>
      <c r="EGT91" s="202"/>
      <c r="EGU91" s="202"/>
      <c r="EGV91" s="203"/>
      <c r="EGW91" s="204"/>
      <c r="EGX91" s="204"/>
      <c r="EGY91" s="204"/>
      <c r="EGZ91" s="205"/>
      <c r="EHA91" s="206"/>
      <c r="EHB91" s="207"/>
      <c r="EHC91" s="207"/>
      <c r="EHD91" s="208"/>
      <c r="EHE91" s="209"/>
      <c r="EHF91" s="207"/>
      <c r="EHG91" s="210"/>
      <c r="EHH91" s="209"/>
      <c r="EHI91" s="204"/>
      <c r="EHJ91" s="204"/>
      <c r="EHK91" s="204"/>
      <c r="EHL91" s="199"/>
      <c r="EHM91" s="167"/>
      <c r="EHN91" s="199"/>
      <c r="EHO91" s="200"/>
      <c r="EHP91" s="201"/>
      <c r="EHQ91" s="202"/>
      <c r="EHR91" s="202"/>
      <c r="EHS91" s="202"/>
      <c r="EHT91" s="202"/>
      <c r="EHU91" s="203"/>
      <c r="EHV91" s="204"/>
      <c r="EHW91" s="204"/>
      <c r="EHX91" s="204"/>
      <c r="EHY91" s="205"/>
      <c r="EHZ91" s="206"/>
      <c r="EIA91" s="207"/>
      <c r="EIB91" s="207"/>
      <c r="EIC91" s="208"/>
      <c r="EID91" s="209"/>
      <c r="EIE91" s="207"/>
      <c r="EIF91" s="210"/>
      <c r="EIG91" s="209"/>
      <c r="EIH91" s="204"/>
      <c r="EII91" s="204"/>
      <c r="EIJ91" s="204"/>
      <c r="EIK91" s="199"/>
      <c r="EIL91" s="167"/>
      <c r="EIM91" s="199"/>
      <c r="EIN91" s="200"/>
      <c r="EIO91" s="201"/>
      <c r="EIP91" s="202"/>
      <c r="EIQ91" s="202"/>
      <c r="EIR91" s="202"/>
      <c r="EIS91" s="202"/>
      <c r="EIT91" s="203"/>
      <c r="EIU91" s="204"/>
      <c r="EIV91" s="204"/>
      <c r="EIW91" s="204"/>
      <c r="EIX91" s="205"/>
      <c r="EIY91" s="206"/>
      <c r="EIZ91" s="207"/>
      <c r="EJA91" s="207"/>
      <c r="EJB91" s="208"/>
      <c r="EJC91" s="209"/>
      <c r="EJD91" s="207"/>
      <c r="EJE91" s="210"/>
      <c r="EJF91" s="209"/>
      <c r="EJG91" s="204"/>
      <c r="EJH91" s="204"/>
      <c r="EJI91" s="204"/>
      <c r="EJJ91" s="199"/>
      <c r="EJK91" s="167"/>
      <c r="EJL91" s="199"/>
      <c r="EJM91" s="200"/>
      <c r="EJN91" s="201"/>
      <c r="EJO91" s="202"/>
      <c r="EJP91" s="202"/>
      <c r="EJQ91" s="202"/>
      <c r="EJR91" s="202"/>
      <c r="EJS91" s="203"/>
      <c r="EJT91" s="204"/>
      <c r="EJU91" s="204"/>
      <c r="EJV91" s="204"/>
      <c r="EJW91" s="205"/>
      <c r="EJX91" s="206"/>
      <c r="EJY91" s="207"/>
      <c r="EJZ91" s="207"/>
      <c r="EKA91" s="208"/>
      <c r="EKB91" s="209"/>
      <c r="EKC91" s="207"/>
      <c r="EKD91" s="210"/>
      <c r="EKE91" s="209"/>
      <c r="EKF91" s="204"/>
      <c r="EKG91" s="204"/>
      <c r="EKH91" s="204"/>
      <c r="EKI91" s="199"/>
      <c r="EKJ91" s="167"/>
      <c r="EKK91" s="199"/>
      <c r="EKL91" s="200"/>
      <c r="EKM91" s="201"/>
      <c r="EKN91" s="202"/>
      <c r="EKO91" s="202"/>
      <c r="EKP91" s="202"/>
      <c r="EKQ91" s="202"/>
      <c r="EKR91" s="203"/>
      <c r="EKS91" s="204"/>
      <c r="EKT91" s="204"/>
      <c r="EKU91" s="204"/>
      <c r="EKV91" s="205"/>
      <c r="EKW91" s="206"/>
      <c r="EKX91" s="207"/>
      <c r="EKY91" s="207"/>
      <c r="EKZ91" s="208"/>
      <c r="ELA91" s="209"/>
      <c r="ELB91" s="207"/>
      <c r="ELC91" s="210"/>
      <c r="ELD91" s="209"/>
      <c r="ELE91" s="204"/>
      <c r="ELF91" s="204"/>
      <c r="ELG91" s="204"/>
      <c r="ELH91" s="199"/>
      <c r="ELI91" s="167"/>
      <c r="ELJ91" s="199"/>
      <c r="ELK91" s="200"/>
      <c r="ELL91" s="201"/>
      <c r="ELM91" s="202"/>
      <c r="ELN91" s="202"/>
      <c r="ELO91" s="202"/>
      <c r="ELP91" s="202"/>
      <c r="ELQ91" s="203"/>
      <c r="ELR91" s="204"/>
      <c r="ELS91" s="204"/>
      <c r="ELT91" s="204"/>
      <c r="ELU91" s="205"/>
      <c r="ELV91" s="206"/>
      <c r="ELW91" s="207"/>
      <c r="ELX91" s="207"/>
      <c r="ELY91" s="208"/>
      <c r="ELZ91" s="209"/>
      <c r="EMA91" s="207"/>
      <c r="EMB91" s="210"/>
      <c r="EMC91" s="209"/>
      <c r="EMD91" s="204"/>
      <c r="EME91" s="204"/>
      <c r="EMF91" s="204"/>
      <c r="EMG91" s="199"/>
      <c r="EMH91" s="167"/>
      <c r="EMI91" s="199"/>
      <c r="EMJ91" s="200"/>
      <c r="EMK91" s="201"/>
      <c r="EML91" s="202"/>
      <c r="EMM91" s="202"/>
      <c r="EMN91" s="202"/>
      <c r="EMO91" s="202"/>
      <c r="EMP91" s="203"/>
      <c r="EMQ91" s="204"/>
      <c r="EMR91" s="204"/>
      <c r="EMS91" s="204"/>
      <c r="EMT91" s="205"/>
      <c r="EMU91" s="206"/>
      <c r="EMV91" s="207"/>
      <c r="EMW91" s="207"/>
      <c r="EMX91" s="208"/>
      <c r="EMY91" s="209"/>
      <c r="EMZ91" s="207"/>
      <c r="ENA91" s="210"/>
      <c r="ENB91" s="209"/>
      <c r="ENC91" s="204"/>
      <c r="END91" s="204"/>
      <c r="ENE91" s="204"/>
      <c r="ENF91" s="199"/>
      <c r="ENG91" s="167"/>
      <c r="ENH91" s="199"/>
      <c r="ENI91" s="200"/>
      <c r="ENJ91" s="201"/>
      <c r="ENK91" s="202"/>
      <c r="ENL91" s="202"/>
      <c r="ENM91" s="202"/>
      <c r="ENN91" s="202"/>
      <c r="ENO91" s="203"/>
      <c r="ENP91" s="204"/>
      <c r="ENQ91" s="204"/>
      <c r="ENR91" s="204"/>
      <c r="ENS91" s="205"/>
      <c r="ENT91" s="206"/>
      <c r="ENU91" s="207"/>
      <c r="ENV91" s="207"/>
      <c r="ENW91" s="208"/>
      <c r="ENX91" s="209"/>
      <c r="ENY91" s="207"/>
      <c r="ENZ91" s="210"/>
      <c r="EOA91" s="209"/>
      <c r="EOB91" s="204"/>
      <c r="EOC91" s="204"/>
      <c r="EOD91" s="204"/>
      <c r="EOE91" s="199"/>
      <c r="EOF91" s="167"/>
      <c r="EOG91" s="199"/>
      <c r="EOH91" s="200"/>
      <c r="EOI91" s="201"/>
      <c r="EOJ91" s="202"/>
      <c r="EOK91" s="202"/>
      <c r="EOL91" s="202"/>
      <c r="EOM91" s="202"/>
      <c r="EON91" s="203"/>
      <c r="EOO91" s="204"/>
      <c r="EOP91" s="204"/>
      <c r="EOQ91" s="204"/>
      <c r="EOR91" s="205"/>
      <c r="EOS91" s="206"/>
      <c r="EOT91" s="207"/>
      <c r="EOU91" s="207"/>
      <c r="EOV91" s="208"/>
      <c r="EOW91" s="209"/>
      <c r="EOX91" s="207"/>
      <c r="EOY91" s="210"/>
      <c r="EOZ91" s="209"/>
      <c r="EPA91" s="204"/>
      <c r="EPB91" s="204"/>
      <c r="EPC91" s="204"/>
      <c r="EPD91" s="199"/>
      <c r="EPE91" s="167"/>
      <c r="EPF91" s="199"/>
      <c r="EPG91" s="200"/>
      <c r="EPH91" s="201"/>
      <c r="EPI91" s="202"/>
      <c r="EPJ91" s="202"/>
      <c r="EPK91" s="202"/>
      <c r="EPL91" s="202"/>
      <c r="EPM91" s="203"/>
      <c r="EPN91" s="204"/>
      <c r="EPO91" s="204"/>
      <c r="EPP91" s="204"/>
      <c r="EPQ91" s="205"/>
      <c r="EPR91" s="206"/>
      <c r="EPS91" s="207"/>
      <c r="EPT91" s="207"/>
      <c r="EPU91" s="208"/>
      <c r="EPV91" s="209"/>
      <c r="EPW91" s="207"/>
      <c r="EPX91" s="210"/>
      <c r="EPY91" s="209"/>
      <c r="EPZ91" s="204"/>
      <c r="EQA91" s="204"/>
      <c r="EQB91" s="204"/>
      <c r="EQC91" s="199"/>
      <c r="EQD91" s="167"/>
      <c r="EQE91" s="199"/>
      <c r="EQF91" s="200"/>
      <c r="EQG91" s="201"/>
      <c r="EQH91" s="202"/>
      <c r="EQI91" s="202"/>
      <c r="EQJ91" s="202"/>
      <c r="EQK91" s="202"/>
      <c r="EQL91" s="203"/>
      <c r="EQM91" s="204"/>
      <c r="EQN91" s="204"/>
      <c r="EQO91" s="204"/>
      <c r="EQP91" s="205"/>
      <c r="EQQ91" s="206"/>
      <c r="EQR91" s="207"/>
      <c r="EQS91" s="207"/>
      <c r="EQT91" s="208"/>
      <c r="EQU91" s="209"/>
      <c r="EQV91" s="207"/>
      <c r="EQW91" s="210"/>
      <c r="EQX91" s="209"/>
      <c r="EQY91" s="204"/>
      <c r="EQZ91" s="204"/>
      <c r="ERA91" s="204"/>
      <c r="ERB91" s="199"/>
      <c r="ERC91" s="167"/>
      <c r="ERD91" s="199"/>
      <c r="ERE91" s="200"/>
      <c r="ERF91" s="201"/>
      <c r="ERG91" s="202"/>
      <c r="ERH91" s="202"/>
      <c r="ERI91" s="202"/>
      <c r="ERJ91" s="202"/>
      <c r="ERK91" s="203"/>
      <c r="ERL91" s="204"/>
      <c r="ERM91" s="204"/>
      <c r="ERN91" s="204"/>
      <c r="ERO91" s="205"/>
      <c r="ERP91" s="206"/>
      <c r="ERQ91" s="207"/>
      <c r="ERR91" s="207"/>
      <c r="ERS91" s="208"/>
      <c r="ERT91" s="209"/>
      <c r="ERU91" s="207"/>
      <c r="ERV91" s="210"/>
      <c r="ERW91" s="209"/>
      <c r="ERX91" s="204"/>
      <c r="ERY91" s="204"/>
      <c r="ERZ91" s="204"/>
      <c r="ESA91" s="199"/>
      <c r="ESB91" s="167"/>
      <c r="ESC91" s="199"/>
      <c r="ESD91" s="200"/>
      <c r="ESE91" s="201"/>
      <c r="ESF91" s="202"/>
      <c r="ESG91" s="202"/>
      <c r="ESH91" s="202"/>
      <c r="ESI91" s="202"/>
      <c r="ESJ91" s="203"/>
      <c r="ESK91" s="204"/>
      <c r="ESL91" s="204"/>
      <c r="ESM91" s="204"/>
      <c r="ESN91" s="205"/>
      <c r="ESO91" s="206"/>
      <c r="ESP91" s="207"/>
      <c r="ESQ91" s="207"/>
      <c r="ESR91" s="208"/>
      <c r="ESS91" s="209"/>
      <c r="EST91" s="207"/>
      <c r="ESU91" s="210"/>
      <c r="ESV91" s="209"/>
      <c r="ESW91" s="204"/>
      <c r="ESX91" s="204"/>
      <c r="ESY91" s="204"/>
      <c r="ESZ91" s="199"/>
      <c r="ETA91" s="167"/>
      <c r="ETB91" s="199"/>
      <c r="ETC91" s="200"/>
      <c r="ETD91" s="201"/>
      <c r="ETE91" s="202"/>
      <c r="ETF91" s="202"/>
      <c r="ETG91" s="202"/>
      <c r="ETH91" s="202"/>
      <c r="ETI91" s="203"/>
      <c r="ETJ91" s="204"/>
      <c r="ETK91" s="204"/>
      <c r="ETL91" s="204"/>
      <c r="ETM91" s="205"/>
      <c r="ETN91" s="206"/>
      <c r="ETO91" s="207"/>
      <c r="ETP91" s="207"/>
      <c r="ETQ91" s="208"/>
      <c r="ETR91" s="209"/>
      <c r="ETS91" s="207"/>
      <c r="ETT91" s="210"/>
      <c r="ETU91" s="209"/>
      <c r="ETV91" s="204"/>
      <c r="ETW91" s="204"/>
      <c r="ETX91" s="204"/>
      <c r="ETY91" s="199"/>
      <c r="ETZ91" s="167"/>
      <c r="EUA91" s="199"/>
      <c r="EUB91" s="200"/>
      <c r="EUC91" s="201"/>
      <c r="EUD91" s="202"/>
      <c r="EUE91" s="202"/>
      <c r="EUF91" s="202"/>
      <c r="EUG91" s="202"/>
      <c r="EUH91" s="203"/>
      <c r="EUI91" s="204"/>
      <c r="EUJ91" s="204"/>
      <c r="EUK91" s="204"/>
      <c r="EUL91" s="205"/>
      <c r="EUM91" s="206"/>
      <c r="EUN91" s="207"/>
      <c r="EUO91" s="207"/>
      <c r="EUP91" s="208"/>
      <c r="EUQ91" s="209"/>
      <c r="EUR91" s="207"/>
      <c r="EUS91" s="210"/>
      <c r="EUT91" s="209"/>
      <c r="EUU91" s="204"/>
      <c r="EUV91" s="204"/>
      <c r="EUW91" s="204"/>
      <c r="EUX91" s="199"/>
      <c r="EUY91" s="167"/>
      <c r="EUZ91" s="199"/>
      <c r="EVA91" s="200"/>
      <c r="EVB91" s="201"/>
      <c r="EVC91" s="202"/>
      <c r="EVD91" s="202"/>
      <c r="EVE91" s="202"/>
      <c r="EVF91" s="202"/>
      <c r="EVG91" s="203"/>
      <c r="EVH91" s="204"/>
      <c r="EVI91" s="204"/>
      <c r="EVJ91" s="204"/>
      <c r="EVK91" s="205"/>
      <c r="EVL91" s="206"/>
      <c r="EVM91" s="207"/>
      <c r="EVN91" s="207"/>
      <c r="EVO91" s="208"/>
      <c r="EVP91" s="209"/>
      <c r="EVQ91" s="207"/>
      <c r="EVR91" s="210"/>
      <c r="EVS91" s="209"/>
      <c r="EVT91" s="204"/>
      <c r="EVU91" s="204"/>
      <c r="EVV91" s="204"/>
      <c r="EVW91" s="199"/>
      <c r="EVX91" s="167"/>
      <c r="EVY91" s="199"/>
      <c r="EVZ91" s="200"/>
      <c r="EWA91" s="201"/>
      <c r="EWB91" s="202"/>
      <c r="EWC91" s="202"/>
      <c r="EWD91" s="202"/>
      <c r="EWE91" s="202"/>
      <c r="EWF91" s="203"/>
      <c r="EWG91" s="204"/>
      <c r="EWH91" s="204"/>
      <c r="EWI91" s="204"/>
      <c r="EWJ91" s="205"/>
      <c r="EWK91" s="206"/>
      <c r="EWL91" s="207"/>
      <c r="EWM91" s="207"/>
      <c r="EWN91" s="208"/>
      <c r="EWO91" s="209"/>
      <c r="EWP91" s="207"/>
      <c r="EWQ91" s="210"/>
      <c r="EWR91" s="209"/>
      <c r="EWS91" s="204"/>
      <c r="EWT91" s="204"/>
      <c r="EWU91" s="204"/>
      <c r="EWV91" s="199"/>
      <c r="EWW91" s="167"/>
      <c r="EWX91" s="199"/>
      <c r="EWY91" s="200"/>
      <c r="EWZ91" s="201"/>
      <c r="EXA91" s="202"/>
      <c r="EXB91" s="202"/>
      <c r="EXC91" s="202"/>
      <c r="EXD91" s="202"/>
      <c r="EXE91" s="203"/>
      <c r="EXF91" s="204"/>
      <c r="EXG91" s="204"/>
      <c r="EXH91" s="204"/>
      <c r="EXI91" s="205"/>
      <c r="EXJ91" s="206"/>
      <c r="EXK91" s="207"/>
      <c r="EXL91" s="207"/>
      <c r="EXM91" s="208"/>
      <c r="EXN91" s="209"/>
      <c r="EXO91" s="207"/>
      <c r="EXP91" s="210"/>
      <c r="EXQ91" s="209"/>
      <c r="EXR91" s="204"/>
      <c r="EXS91" s="204"/>
      <c r="EXT91" s="204"/>
      <c r="EXU91" s="199"/>
      <c r="EXV91" s="167"/>
      <c r="EXW91" s="199"/>
      <c r="EXX91" s="200"/>
      <c r="EXY91" s="201"/>
      <c r="EXZ91" s="202"/>
      <c r="EYA91" s="202"/>
      <c r="EYB91" s="202"/>
      <c r="EYC91" s="202"/>
      <c r="EYD91" s="203"/>
      <c r="EYE91" s="204"/>
      <c r="EYF91" s="204"/>
      <c r="EYG91" s="204"/>
      <c r="EYH91" s="205"/>
      <c r="EYI91" s="206"/>
      <c r="EYJ91" s="207"/>
      <c r="EYK91" s="207"/>
      <c r="EYL91" s="208"/>
      <c r="EYM91" s="209"/>
      <c r="EYN91" s="207"/>
      <c r="EYO91" s="210"/>
      <c r="EYP91" s="209"/>
      <c r="EYQ91" s="204"/>
      <c r="EYR91" s="204"/>
      <c r="EYS91" s="204"/>
      <c r="EYT91" s="199"/>
      <c r="EYU91" s="167"/>
      <c r="EYV91" s="199"/>
      <c r="EYW91" s="200"/>
      <c r="EYX91" s="201"/>
      <c r="EYY91" s="202"/>
      <c r="EYZ91" s="202"/>
      <c r="EZA91" s="202"/>
      <c r="EZB91" s="202"/>
      <c r="EZC91" s="203"/>
      <c r="EZD91" s="204"/>
      <c r="EZE91" s="204"/>
      <c r="EZF91" s="204"/>
      <c r="EZG91" s="205"/>
      <c r="EZH91" s="206"/>
      <c r="EZI91" s="207"/>
      <c r="EZJ91" s="207"/>
      <c r="EZK91" s="208"/>
      <c r="EZL91" s="209"/>
      <c r="EZM91" s="207"/>
      <c r="EZN91" s="210"/>
      <c r="EZO91" s="209"/>
      <c r="EZP91" s="204"/>
      <c r="EZQ91" s="204"/>
      <c r="EZR91" s="204"/>
      <c r="EZS91" s="199"/>
      <c r="EZT91" s="167"/>
      <c r="EZU91" s="199"/>
      <c r="EZV91" s="200"/>
      <c r="EZW91" s="201"/>
      <c r="EZX91" s="202"/>
      <c r="EZY91" s="202"/>
      <c r="EZZ91" s="202"/>
      <c r="FAA91" s="202"/>
      <c r="FAB91" s="203"/>
      <c r="FAC91" s="204"/>
      <c r="FAD91" s="204"/>
      <c r="FAE91" s="204"/>
      <c r="FAF91" s="205"/>
      <c r="FAG91" s="206"/>
      <c r="FAH91" s="207"/>
      <c r="FAI91" s="207"/>
      <c r="FAJ91" s="208"/>
      <c r="FAK91" s="209"/>
      <c r="FAL91" s="207"/>
      <c r="FAM91" s="210"/>
      <c r="FAN91" s="209"/>
      <c r="FAO91" s="204"/>
      <c r="FAP91" s="204"/>
      <c r="FAQ91" s="204"/>
      <c r="FAR91" s="199"/>
      <c r="FAS91" s="167"/>
      <c r="FAT91" s="199"/>
      <c r="FAU91" s="200"/>
      <c r="FAV91" s="201"/>
      <c r="FAW91" s="202"/>
      <c r="FAX91" s="202"/>
      <c r="FAY91" s="202"/>
      <c r="FAZ91" s="202"/>
      <c r="FBA91" s="203"/>
      <c r="FBB91" s="204"/>
      <c r="FBC91" s="204"/>
      <c r="FBD91" s="204"/>
      <c r="FBE91" s="205"/>
      <c r="FBF91" s="206"/>
      <c r="FBG91" s="207"/>
      <c r="FBH91" s="207"/>
      <c r="FBI91" s="208"/>
      <c r="FBJ91" s="209"/>
      <c r="FBK91" s="207"/>
      <c r="FBL91" s="210"/>
      <c r="FBM91" s="209"/>
      <c r="FBN91" s="204"/>
      <c r="FBO91" s="204"/>
      <c r="FBP91" s="204"/>
      <c r="FBQ91" s="199"/>
      <c r="FBR91" s="167"/>
      <c r="FBS91" s="199"/>
      <c r="FBT91" s="200"/>
      <c r="FBU91" s="201"/>
      <c r="FBV91" s="202"/>
      <c r="FBW91" s="202"/>
      <c r="FBX91" s="202"/>
      <c r="FBY91" s="202"/>
      <c r="FBZ91" s="203"/>
      <c r="FCA91" s="204"/>
      <c r="FCB91" s="204"/>
      <c r="FCC91" s="204"/>
      <c r="FCD91" s="205"/>
      <c r="FCE91" s="206"/>
      <c r="FCF91" s="207"/>
      <c r="FCG91" s="207"/>
      <c r="FCH91" s="208"/>
      <c r="FCI91" s="209"/>
      <c r="FCJ91" s="207"/>
      <c r="FCK91" s="210"/>
      <c r="FCL91" s="209"/>
      <c r="FCM91" s="204"/>
      <c r="FCN91" s="204"/>
      <c r="FCO91" s="204"/>
      <c r="FCP91" s="199"/>
      <c r="FCQ91" s="167"/>
      <c r="FCR91" s="199"/>
      <c r="FCS91" s="200"/>
      <c r="FCT91" s="201"/>
      <c r="FCU91" s="202"/>
      <c r="FCV91" s="202"/>
      <c r="FCW91" s="202"/>
      <c r="FCX91" s="202"/>
      <c r="FCY91" s="203"/>
      <c r="FCZ91" s="204"/>
      <c r="FDA91" s="204"/>
      <c r="FDB91" s="204"/>
      <c r="FDC91" s="205"/>
      <c r="FDD91" s="206"/>
      <c r="FDE91" s="207"/>
      <c r="FDF91" s="207"/>
      <c r="FDG91" s="208"/>
      <c r="FDH91" s="209"/>
      <c r="FDI91" s="207"/>
      <c r="FDJ91" s="210"/>
      <c r="FDK91" s="209"/>
      <c r="FDL91" s="204"/>
      <c r="FDM91" s="204"/>
      <c r="FDN91" s="204"/>
      <c r="FDO91" s="199"/>
      <c r="FDP91" s="167"/>
      <c r="FDQ91" s="199"/>
      <c r="FDR91" s="200"/>
      <c r="FDS91" s="201"/>
      <c r="FDT91" s="202"/>
      <c r="FDU91" s="202"/>
      <c r="FDV91" s="202"/>
      <c r="FDW91" s="202"/>
      <c r="FDX91" s="203"/>
      <c r="FDY91" s="204"/>
      <c r="FDZ91" s="204"/>
      <c r="FEA91" s="204"/>
      <c r="FEB91" s="205"/>
      <c r="FEC91" s="206"/>
      <c r="FED91" s="207"/>
      <c r="FEE91" s="207"/>
      <c r="FEF91" s="208"/>
      <c r="FEG91" s="209"/>
      <c r="FEH91" s="207"/>
      <c r="FEI91" s="210"/>
      <c r="FEJ91" s="209"/>
      <c r="FEK91" s="204"/>
      <c r="FEL91" s="204"/>
      <c r="FEM91" s="204"/>
      <c r="FEN91" s="199"/>
      <c r="FEO91" s="167"/>
      <c r="FEP91" s="199"/>
      <c r="FEQ91" s="200"/>
      <c r="FER91" s="201"/>
      <c r="FES91" s="202"/>
      <c r="FET91" s="202"/>
      <c r="FEU91" s="202"/>
      <c r="FEV91" s="202"/>
      <c r="FEW91" s="203"/>
      <c r="FEX91" s="204"/>
      <c r="FEY91" s="204"/>
      <c r="FEZ91" s="204"/>
      <c r="FFA91" s="205"/>
      <c r="FFB91" s="206"/>
      <c r="FFC91" s="207"/>
      <c r="FFD91" s="207"/>
      <c r="FFE91" s="208"/>
      <c r="FFF91" s="209"/>
      <c r="FFG91" s="207"/>
      <c r="FFH91" s="210"/>
      <c r="FFI91" s="209"/>
      <c r="FFJ91" s="204"/>
      <c r="FFK91" s="204"/>
      <c r="FFL91" s="204"/>
      <c r="FFM91" s="199"/>
      <c r="FFN91" s="167"/>
      <c r="FFO91" s="199"/>
      <c r="FFP91" s="200"/>
      <c r="FFQ91" s="201"/>
      <c r="FFR91" s="202"/>
      <c r="FFS91" s="202"/>
      <c r="FFT91" s="202"/>
      <c r="FFU91" s="202"/>
      <c r="FFV91" s="203"/>
      <c r="FFW91" s="204"/>
      <c r="FFX91" s="204"/>
      <c r="FFY91" s="204"/>
      <c r="FFZ91" s="205"/>
      <c r="FGA91" s="206"/>
      <c r="FGB91" s="207"/>
      <c r="FGC91" s="207"/>
      <c r="FGD91" s="208"/>
      <c r="FGE91" s="209"/>
      <c r="FGF91" s="207"/>
      <c r="FGG91" s="210"/>
      <c r="FGH91" s="209"/>
      <c r="FGI91" s="204"/>
      <c r="FGJ91" s="204"/>
      <c r="FGK91" s="204"/>
      <c r="FGL91" s="199"/>
      <c r="FGM91" s="167"/>
      <c r="FGN91" s="199"/>
      <c r="FGO91" s="200"/>
      <c r="FGP91" s="201"/>
      <c r="FGQ91" s="202"/>
      <c r="FGR91" s="202"/>
      <c r="FGS91" s="202"/>
      <c r="FGT91" s="202"/>
      <c r="FGU91" s="203"/>
      <c r="FGV91" s="204"/>
      <c r="FGW91" s="204"/>
      <c r="FGX91" s="204"/>
      <c r="FGY91" s="205"/>
      <c r="FGZ91" s="206"/>
      <c r="FHA91" s="207"/>
      <c r="FHB91" s="207"/>
      <c r="FHC91" s="208"/>
      <c r="FHD91" s="209"/>
      <c r="FHE91" s="207"/>
      <c r="FHF91" s="210"/>
      <c r="FHG91" s="209"/>
      <c r="FHH91" s="204"/>
      <c r="FHI91" s="204"/>
      <c r="FHJ91" s="204"/>
      <c r="FHK91" s="199"/>
      <c r="FHL91" s="167"/>
      <c r="FHM91" s="199"/>
      <c r="FHN91" s="200"/>
      <c r="FHO91" s="201"/>
      <c r="FHP91" s="202"/>
      <c r="FHQ91" s="202"/>
      <c r="FHR91" s="202"/>
      <c r="FHS91" s="202"/>
      <c r="FHT91" s="203"/>
      <c r="FHU91" s="204"/>
      <c r="FHV91" s="204"/>
      <c r="FHW91" s="204"/>
      <c r="FHX91" s="205"/>
      <c r="FHY91" s="206"/>
      <c r="FHZ91" s="207"/>
      <c r="FIA91" s="207"/>
      <c r="FIB91" s="208"/>
      <c r="FIC91" s="209"/>
      <c r="FID91" s="207"/>
      <c r="FIE91" s="210"/>
      <c r="FIF91" s="209"/>
      <c r="FIG91" s="204"/>
      <c r="FIH91" s="204"/>
      <c r="FII91" s="204"/>
      <c r="FIJ91" s="199"/>
      <c r="FIK91" s="167"/>
      <c r="FIL91" s="199"/>
      <c r="FIM91" s="200"/>
      <c r="FIN91" s="201"/>
      <c r="FIO91" s="202"/>
      <c r="FIP91" s="202"/>
      <c r="FIQ91" s="202"/>
      <c r="FIR91" s="202"/>
      <c r="FIS91" s="203"/>
      <c r="FIT91" s="204"/>
      <c r="FIU91" s="204"/>
      <c r="FIV91" s="204"/>
      <c r="FIW91" s="205"/>
      <c r="FIX91" s="206"/>
      <c r="FIY91" s="207"/>
      <c r="FIZ91" s="207"/>
      <c r="FJA91" s="208"/>
      <c r="FJB91" s="209"/>
      <c r="FJC91" s="207"/>
      <c r="FJD91" s="210"/>
      <c r="FJE91" s="209"/>
      <c r="FJF91" s="204"/>
      <c r="FJG91" s="204"/>
      <c r="FJH91" s="204"/>
      <c r="FJI91" s="199"/>
      <c r="FJJ91" s="167"/>
      <c r="FJK91" s="199"/>
      <c r="FJL91" s="200"/>
      <c r="FJM91" s="201"/>
      <c r="FJN91" s="202"/>
      <c r="FJO91" s="202"/>
      <c r="FJP91" s="202"/>
      <c r="FJQ91" s="202"/>
      <c r="FJR91" s="203"/>
      <c r="FJS91" s="204"/>
      <c r="FJT91" s="204"/>
      <c r="FJU91" s="204"/>
      <c r="FJV91" s="205"/>
      <c r="FJW91" s="206"/>
      <c r="FJX91" s="207"/>
      <c r="FJY91" s="207"/>
      <c r="FJZ91" s="208"/>
      <c r="FKA91" s="209"/>
      <c r="FKB91" s="207"/>
      <c r="FKC91" s="210"/>
      <c r="FKD91" s="209"/>
      <c r="FKE91" s="204"/>
      <c r="FKF91" s="204"/>
      <c r="FKG91" s="204"/>
      <c r="FKH91" s="199"/>
      <c r="FKI91" s="167"/>
      <c r="FKJ91" s="199"/>
      <c r="FKK91" s="200"/>
      <c r="FKL91" s="201"/>
      <c r="FKM91" s="202"/>
      <c r="FKN91" s="202"/>
      <c r="FKO91" s="202"/>
      <c r="FKP91" s="202"/>
      <c r="FKQ91" s="203"/>
      <c r="FKR91" s="204"/>
      <c r="FKS91" s="204"/>
      <c r="FKT91" s="204"/>
      <c r="FKU91" s="205"/>
      <c r="FKV91" s="206"/>
      <c r="FKW91" s="207"/>
      <c r="FKX91" s="207"/>
      <c r="FKY91" s="208"/>
      <c r="FKZ91" s="209"/>
      <c r="FLA91" s="207"/>
      <c r="FLB91" s="210"/>
      <c r="FLC91" s="209"/>
      <c r="FLD91" s="204"/>
      <c r="FLE91" s="204"/>
      <c r="FLF91" s="204"/>
      <c r="FLG91" s="199"/>
      <c r="FLH91" s="167"/>
      <c r="FLI91" s="199"/>
      <c r="FLJ91" s="200"/>
      <c r="FLK91" s="201"/>
      <c r="FLL91" s="202"/>
      <c r="FLM91" s="202"/>
      <c r="FLN91" s="202"/>
      <c r="FLO91" s="202"/>
      <c r="FLP91" s="203"/>
      <c r="FLQ91" s="204"/>
      <c r="FLR91" s="204"/>
      <c r="FLS91" s="204"/>
      <c r="FLT91" s="205"/>
      <c r="FLU91" s="206"/>
      <c r="FLV91" s="207"/>
      <c r="FLW91" s="207"/>
      <c r="FLX91" s="208"/>
      <c r="FLY91" s="209"/>
      <c r="FLZ91" s="207"/>
      <c r="FMA91" s="210"/>
      <c r="FMB91" s="209"/>
      <c r="FMC91" s="204"/>
      <c r="FMD91" s="204"/>
      <c r="FME91" s="204"/>
      <c r="FMF91" s="199"/>
      <c r="FMG91" s="167"/>
      <c r="FMH91" s="199"/>
      <c r="FMI91" s="200"/>
      <c r="FMJ91" s="201"/>
      <c r="FMK91" s="202"/>
      <c r="FML91" s="202"/>
      <c r="FMM91" s="202"/>
      <c r="FMN91" s="202"/>
      <c r="FMO91" s="203"/>
      <c r="FMP91" s="204"/>
      <c r="FMQ91" s="204"/>
      <c r="FMR91" s="204"/>
      <c r="FMS91" s="205"/>
      <c r="FMT91" s="206"/>
      <c r="FMU91" s="207"/>
      <c r="FMV91" s="207"/>
      <c r="FMW91" s="208"/>
      <c r="FMX91" s="209"/>
      <c r="FMY91" s="207"/>
      <c r="FMZ91" s="210"/>
      <c r="FNA91" s="209"/>
      <c r="FNB91" s="204"/>
      <c r="FNC91" s="204"/>
      <c r="FND91" s="204"/>
      <c r="FNE91" s="199"/>
      <c r="FNF91" s="167"/>
      <c r="FNG91" s="199"/>
      <c r="FNH91" s="200"/>
      <c r="FNI91" s="201"/>
      <c r="FNJ91" s="202"/>
      <c r="FNK91" s="202"/>
      <c r="FNL91" s="202"/>
      <c r="FNM91" s="202"/>
      <c r="FNN91" s="203"/>
      <c r="FNO91" s="204"/>
      <c r="FNP91" s="204"/>
      <c r="FNQ91" s="204"/>
      <c r="FNR91" s="205"/>
      <c r="FNS91" s="206"/>
      <c r="FNT91" s="207"/>
      <c r="FNU91" s="207"/>
      <c r="FNV91" s="208"/>
      <c r="FNW91" s="209"/>
      <c r="FNX91" s="207"/>
      <c r="FNY91" s="210"/>
      <c r="FNZ91" s="209"/>
      <c r="FOA91" s="204"/>
      <c r="FOB91" s="204"/>
      <c r="FOC91" s="204"/>
      <c r="FOD91" s="199"/>
      <c r="FOE91" s="167"/>
      <c r="FOF91" s="199"/>
      <c r="FOG91" s="200"/>
      <c r="FOH91" s="201"/>
      <c r="FOI91" s="202"/>
      <c r="FOJ91" s="202"/>
      <c r="FOK91" s="202"/>
      <c r="FOL91" s="202"/>
      <c r="FOM91" s="203"/>
      <c r="FON91" s="204"/>
      <c r="FOO91" s="204"/>
      <c r="FOP91" s="204"/>
      <c r="FOQ91" s="205"/>
      <c r="FOR91" s="206"/>
      <c r="FOS91" s="207"/>
      <c r="FOT91" s="207"/>
      <c r="FOU91" s="208"/>
      <c r="FOV91" s="209"/>
      <c r="FOW91" s="207"/>
      <c r="FOX91" s="210"/>
      <c r="FOY91" s="209"/>
      <c r="FOZ91" s="204"/>
      <c r="FPA91" s="204"/>
      <c r="FPB91" s="204"/>
      <c r="FPC91" s="199"/>
      <c r="FPD91" s="167"/>
      <c r="FPE91" s="199"/>
      <c r="FPF91" s="200"/>
      <c r="FPG91" s="201"/>
      <c r="FPH91" s="202"/>
      <c r="FPI91" s="202"/>
      <c r="FPJ91" s="202"/>
      <c r="FPK91" s="202"/>
      <c r="FPL91" s="203"/>
      <c r="FPM91" s="204"/>
      <c r="FPN91" s="204"/>
      <c r="FPO91" s="204"/>
      <c r="FPP91" s="205"/>
      <c r="FPQ91" s="206"/>
      <c r="FPR91" s="207"/>
      <c r="FPS91" s="207"/>
      <c r="FPT91" s="208"/>
      <c r="FPU91" s="209"/>
      <c r="FPV91" s="207"/>
      <c r="FPW91" s="210"/>
      <c r="FPX91" s="209"/>
      <c r="FPY91" s="204"/>
      <c r="FPZ91" s="204"/>
      <c r="FQA91" s="204"/>
      <c r="FQB91" s="199"/>
      <c r="FQC91" s="167"/>
      <c r="FQD91" s="199"/>
      <c r="FQE91" s="200"/>
      <c r="FQF91" s="201"/>
      <c r="FQG91" s="202"/>
      <c r="FQH91" s="202"/>
      <c r="FQI91" s="202"/>
      <c r="FQJ91" s="202"/>
      <c r="FQK91" s="203"/>
      <c r="FQL91" s="204"/>
      <c r="FQM91" s="204"/>
      <c r="FQN91" s="204"/>
      <c r="FQO91" s="205"/>
      <c r="FQP91" s="206"/>
      <c r="FQQ91" s="207"/>
      <c r="FQR91" s="207"/>
      <c r="FQS91" s="208"/>
      <c r="FQT91" s="209"/>
      <c r="FQU91" s="207"/>
      <c r="FQV91" s="210"/>
      <c r="FQW91" s="209"/>
      <c r="FQX91" s="204"/>
      <c r="FQY91" s="204"/>
      <c r="FQZ91" s="204"/>
      <c r="FRA91" s="199"/>
      <c r="FRB91" s="167"/>
      <c r="FRC91" s="199"/>
      <c r="FRD91" s="200"/>
      <c r="FRE91" s="201"/>
      <c r="FRF91" s="202"/>
      <c r="FRG91" s="202"/>
      <c r="FRH91" s="202"/>
      <c r="FRI91" s="202"/>
      <c r="FRJ91" s="203"/>
      <c r="FRK91" s="204"/>
      <c r="FRL91" s="204"/>
      <c r="FRM91" s="204"/>
      <c r="FRN91" s="205"/>
      <c r="FRO91" s="206"/>
      <c r="FRP91" s="207"/>
      <c r="FRQ91" s="207"/>
      <c r="FRR91" s="208"/>
      <c r="FRS91" s="209"/>
      <c r="FRT91" s="207"/>
      <c r="FRU91" s="210"/>
      <c r="FRV91" s="209"/>
      <c r="FRW91" s="204"/>
      <c r="FRX91" s="204"/>
      <c r="FRY91" s="204"/>
      <c r="FRZ91" s="199"/>
      <c r="FSA91" s="167"/>
      <c r="FSB91" s="199"/>
      <c r="FSC91" s="200"/>
      <c r="FSD91" s="201"/>
      <c r="FSE91" s="202"/>
      <c r="FSF91" s="202"/>
      <c r="FSG91" s="202"/>
      <c r="FSH91" s="202"/>
      <c r="FSI91" s="203"/>
      <c r="FSJ91" s="204"/>
      <c r="FSK91" s="204"/>
      <c r="FSL91" s="204"/>
      <c r="FSM91" s="205"/>
      <c r="FSN91" s="206"/>
      <c r="FSO91" s="207"/>
      <c r="FSP91" s="207"/>
      <c r="FSQ91" s="208"/>
      <c r="FSR91" s="209"/>
      <c r="FSS91" s="207"/>
      <c r="FST91" s="210"/>
      <c r="FSU91" s="209"/>
      <c r="FSV91" s="204"/>
      <c r="FSW91" s="204"/>
      <c r="FSX91" s="204"/>
      <c r="FSY91" s="199"/>
      <c r="FSZ91" s="167"/>
      <c r="FTA91" s="199"/>
      <c r="FTB91" s="200"/>
      <c r="FTC91" s="201"/>
      <c r="FTD91" s="202"/>
      <c r="FTE91" s="202"/>
      <c r="FTF91" s="202"/>
      <c r="FTG91" s="202"/>
      <c r="FTH91" s="203"/>
      <c r="FTI91" s="204"/>
      <c r="FTJ91" s="204"/>
      <c r="FTK91" s="204"/>
      <c r="FTL91" s="205"/>
      <c r="FTM91" s="206"/>
      <c r="FTN91" s="207"/>
      <c r="FTO91" s="207"/>
      <c r="FTP91" s="208"/>
      <c r="FTQ91" s="209"/>
      <c r="FTR91" s="207"/>
      <c r="FTS91" s="210"/>
      <c r="FTT91" s="209"/>
      <c r="FTU91" s="204"/>
      <c r="FTV91" s="204"/>
      <c r="FTW91" s="204"/>
      <c r="FTX91" s="199"/>
      <c r="FTY91" s="167"/>
      <c r="FTZ91" s="199"/>
      <c r="FUA91" s="200"/>
      <c r="FUB91" s="201"/>
      <c r="FUC91" s="202"/>
      <c r="FUD91" s="202"/>
      <c r="FUE91" s="202"/>
      <c r="FUF91" s="202"/>
      <c r="FUG91" s="203"/>
      <c r="FUH91" s="204"/>
      <c r="FUI91" s="204"/>
      <c r="FUJ91" s="204"/>
      <c r="FUK91" s="205"/>
      <c r="FUL91" s="206"/>
      <c r="FUM91" s="207"/>
      <c r="FUN91" s="207"/>
      <c r="FUO91" s="208"/>
      <c r="FUP91" s="209"/>
      <c r="FUQ91" s="207"/>
      <c r="FUR91" s="210"/>
      <c r="FUS91" s="209"/>
      <c r="FUT91" s="204"/>
      <c r="FUU91" s="204"/>
      <c r="FUV91" s="204"/>
      <c r="FUW91" s="199"/>
      <c r="FUX91" s="167"/>
      <c r="FUY91" s="199"/>
      <c r="FUZ91" s="200"/>
      <c r="FVA91" s="201"/>
      <c r="FVB91" s="202"/>
      <c r="FVC91" s="202"/>
      <c r="FVD91" s="202"/>
      <c r="FVE91" s="202"/>
      <c r="FVF91" s="203"/>
      <c r="FVG91" s="204"/>
      <c r="FVH91" s="204"/>
      <c r="FVI91" s="204"/>
      <c r="FVJ91" s="205"/>
      <c r="FVK91" s="206"/>
      <c r="FVL91" s="207"/>
      <c r="FVM91" s="207"/>
      <c r="FVN91" s="208"/>
      <c r="FVO91" s="209"/>
      <c r="FVP91" s="207"/>
      <c r="FVQ91" s="210"/>
      <c r="FVR91" s="209"/>
      <c r="FVS91" s="204"/>
      <c r="FVT91" s="204"/>
      <c r="FVU91" s="204"/>
      <c r="FVV91" s="199"/>
      <c r="FVW91" s="167"/>
      <c r="FVX91" s="199"/>
      <c r="FVY91" s="200"/>
      <c r="FVZ91" s="201"/>
      <c r="FWA91" s="202"/>
      <c r="FWB91" s="202"/>
      <c r="FWC91" s="202"/>
      <c r="FWD91" s="202"/>
      <c r="FWE91" s="203"/>
      <c r="FWF91" s="204"/>
      <c r="FWG91" s="204"/>
      <c r="FWH91" s="204"/>
      <c r="FWI91" s="205"/>
      <c r="FWJ91" s="206"/>
      <c r="FWK91" s="207"/>
      <c r="FWL91" s="207"/>
      <c r="FWM91" s="208"/>
      <c r="FWN91" s="209"/>
      <c r="FWO91" s="207"/>
      <c r="FWP91" s="210"/>
      <c r="FWQ91" s="209"/>
      <c r="FWR91" s="204"/>
      <c r="FWS91" s="204"/>
      <c r="FWT91" s="204"/>
      <c r="FWU91" s="199"/>
      <c r="FWV91" s="167"/>
      <c r="FWW91" s="199"/>
      <c r="FWX91" s="200"/>
      <c r="FWY91" s="201"/>
      <c r="FWZ91" s="202"/>
      <c r="FXA91" s="202"/>
      <c r="FXB91" s="202"/>
      <c r="FXC91" s="202"/>
      <c r="FXD91" s="203"/>
      <c r="FXE91" s="204"/>
      <c r="FXF91" s="204"/>
      <c r="FXG91" s="204"/>
      <c r="FXH91" s="205"/>
      <c r="FXI91" s="206"/>
      <c r="FXJ91" s="207"/>
      <c r="FXK91" s="207"/>
      <c r="FXL91" s="208"/>
      <c r="FXM91" s="209"/>
      <c r="FXN91" s="207"/>
      <c r="FXO91" s="210"/>
      <c r="FXP91" s="209"/>
      <c r="FXQ91" s="204"/>
      <c r="FXR91" s="204"/>
      <c r="FXS91" s="204"/>
      <c r="FXT91" s="199"/>
      <c r="FXU91" s="167"/>
      <c r="FXV91" s="199"/>
      <c r="FXW91" s="200"/>
      <c r="FXX91" s="201"/>
      <c r="FXY91" s="202"/>
      <c r="FXZ91" s="202"/>
      <c r="FYA91" s="202"/>
      <c r="FYB91" s="202"/>
      <c r="FYC91" s="203"/>
      <c r="FYD91" s="204"/>
      <c r="FYE91" s="204"/>
      <c r="FYF91" s="204"/>
      <c r="FYG91" s="205"/>
      <c r="FYH91" s="206"/>
      <c r="FYI91" s="207"/>
      <c r="FYJ91" s="207"/>
      <c r="FYK91" s="208"/>
      <c r="FYL91" s="209"/>
      <c r="FYM91" s="207"/>
      <c r="FYN91" s="210"/>
      <c r="FYO91" s="209"/>
      <c r="FYP91" s="204"/>
      <c r="FYQ91" s="204"/>
      <c r="FYR91" s="204"/>
      <c r="FYS91" s="199"/>
      <c r="FYT91" s="167"/>
      <c r="FYU91" s="199"/>
      <c r="FYV91" s="200"/>
      <c r="FYW91" s="201"/>
      <c r="FYX91" s="202"/>
      <c r="FYY91" s="202"/>
      <c r="FYZ91" s="202"/>
      <c r="FZA91" s="202"/>
      <c r="FZB91" s="203"/>
      <c r="FZC91" s="204"/>
      <c r="FZD91" s="204"/>
      <c r="FZE91" s="204"/>
      <c r="FZF91" s="205"/>
      <c r="FZG91" s="206"/>
      <c r="FZH91" s="207"/>
      <c r="FZI91" s="207"/>
      <c r="FZJ91" s="208"/>
      <c r="FZK91" s="209"/>
      <c r="FZL91" s="207"/>
      <c r="FZM91" s="210"/>
      <c r="FZN91" s="209"/>
      <c r="FZO91" s="204"/>
      <c r="FZP91" s="204"/>
      <c r="FZQ91" s="204"/>
      <c r="FZR91" s="199"/>
      <c r="FZS91" s="167"/>
      <c r="FZT91" s="199"/>
      <c r="FZU91" s="200"/>
      <c r="FZV91" s="201"/>
      <c r="FZW91" s="202"/>
      <c r="FZX91" s="202"/>
      <c r="FZY91" s="202"/>
      <c r="FZZ91" s="202"/>
      <c r="GAA91" s="203"/>
      <c r="GAB91" s="204"/>
      <c r="GAC91" s="204"/>
      <c r="GAD91" s="204"/>
      <c r="GAE91" s="205"/>
      <c r="GAF91" s="206"/>
      <c r="GAG91" s="207"/>
      <c r="GAH91" s="207"/>
      <c r="GAI91" s="208"/>
      <c r="GAJ91" s="209"/>
      <c r="GAK91" s="207"/>
      <c r="GAL91" s="210"/>
      <c r="GAM91" s="209"/>
      <c r="GAN91" s="204"/>
      <c r="GAO91" s="204"/>
      <c r="GAP91" s="204"/>
      <c r="GAQ91" s="199"/>
      <c r="GAR91" s="167"/>
      <c r="GAS91" s="199"/>
      <c r="GAT91" s="200"/>
      <c r="GAU91" s="201"/>
      <c r="GAV91" s="202"/>
      <c r="GAW91" s="202"/>
      <c r="GAX91" s="202"/>
      <c r="GAY91" s="202"/>
      <c r="GAZ91" s="203"/>
      <c r="GBA91" s="204"/>
      <c r="GBB91" s="204"/>
      <c r="GBC91" s="204"/>
      <c r="GBD91" s="205"/>
      <c r="GBE91" s="206"/>
      <c r="GBF91" s="207"/>
      <c r="GBG91" s="207"/>
      <c r="GBH91" s="208"/>
      <c r="GBI91" s="209"/>
      <c r="GBJ91" s="207"/>
      <c r="GBK91" s="210"/>
      <c r="GBL91" s="209"/>
      <c r="GBM91" s="204"/>
      <c r="GBN91" s="204"/>
      <c r="GBO91" s="204"/>
      <c r="GBP91" s="199"/>
      <c r="GBQ91" s="167"/>
      <c r="GBR91" s="199"/>
      <c r="GBS91" s="200"/>
      <c r="GBT91" s="201"/>
      <c r="GBU91" s="202"/>
      <c r="GBV91" s="202"/>
      <c r="GBW91" s="202"/>
      <c r="GBX91" s="202"/>
      <c r="GBY91" s="203"/>
      <c r="GBZ91" s="204"/>
      <c r="GCA91" s="204"/>
      <c r="GCB91" s="204"/>
      <c r="GCC91" s="205"/>
      <c r="GCD91" s="206"/>
      <c r="GCE91" s="207"/>
      <c r="GCF91" s="207"/>
      <c r="GCG91" s="208"/>
      <c r="GCH91" s="209"/>
      <c r="GCI91" s="207"/>
      <c r="GCJ91" s="210"/>
      <c r="GCK91" s="209"/>
      <c r="GCL91" s="204"/>
      <c r="GCM91" s="204"/>
      <c r="GCN91" s="204"/>
      <c r="GCO91" s="199"/>
      <c r="GCP91" s="167"/>
      <c r="GCQ91" s="199"/>
      <c r="GCR91" s="200"/>
      <c r="GCS91" s="201"/>
      <c r="GCT91" s="202"/>
      <c r="GCU91" s="202"/>
      <c r="GCV91" s="202"/>
      <c r="GCW91" s="202"/>
      <c r="GCX91" s="203"/>
      <c r="GCY91" s="204"/>
      <c r="GCZ91" s="204"/>
      <c r="GDA91" s="204"/>
      <c r="GDB91" s="205"/>
      <c r="GDC91" s="206"/>
      <c r="GDD91" s="207"/>
      <c r="GDE91" s="207"/>
      <c r="GDF91" s="208"/>
      <c r="GDG91" s="209"/>
      <c r="GDH91" s="207"/>
      <c r="GDI91" s="210"/>
      <c r="GDJ91" s="209"/>
      <c r="GDK91" s="204"/>
      <c r="GDL91" s="204"/>
      <c r="GDM91" s="204"/>
      <c r="GDN91" s="199"/>
      <c r="GDO91" s="167"/>
      <c r="GDP91" s="199"/>
      <c r="GDQ91" s="200"/>
      <c r="GDR91" s="201"/>
      <c r="GDS91" s="202"/>
      <c r="GDT91" s="202"/>
      <c r="GDU91" s="202"/>
      <c r="GDV91" s="202"/>
      <c r="GDW91" s="203"/>
      <c r="GDX91" s="204"/>
      <c r="GDY91" s="204"/>
      <c r="GDZ91" s="204"/>
      <c r="GEA91" s="205"/>
      <c r="GEB91" s="206"/>
      <c r="GEC91" s="207"/>
      <c r="GED91" s="207"/>
      <c r="GEE91" s="208"/>
      <c r="GEF91" s="209"/>
      <c r="GEG91" s="207"/>
      <c r="GEH91" s="210"/>
      <c r="GEI91" s="209"/>
      <c r="GEJ91" s="204"/>
      <c r="GEK91" s="204"/>
      <c r="GEL91" s="204"/>
      <c r="GEM91" s="199"/>
      <c r="GEN91" s="167"/>
      <c r="GEO91" s="199"/>
      <c r="GEP91" s="200"/>
      <c r="GEQ91" s="201"/>
      <c r="GER91" s="202"/>
      <c r="GES91" s="202"/>
      <c r="GET91" s="202"/>
      <c r="GEU91" s="202"/>
      <c r="GEV91" s="203"/>
      <c r="GEW91" s="204"/>
      <c r="GEX91" s="204"/>
      <c r="GEY91" s="204"/>
      <c r="GEZ91" s="205"/>
      <c r="GFA91" s="206"/>
      <c r="GFB91" s="207"/>
      <c r="GFC91" s="207"/>
      <c r="GFD91" s="208"/>
      <c r="GFE91" s="209"/>
      <c r="GFF91" s="207"/>
      <c r="GFG91" s="210"/>
      <c r="GFH91" s="209"/>
      <c r="GFI91" s="204"/>
      <c r="GFJ91" s="204"/>
      <c r="GFK91" s="204"/>
      <c r="GFL91" s="199"/>
      <c r="GFM91" s="167"/>
      <c r="GFN91" s="199"/>
      <c r="GFO91" s="200"/>
      <c r="GFP91" s="201"/>
      <c r="GFQ91" s="202"/>
      <c r="GFR91" s="202"/>
      <c r="GFS91" s="202"/>
      <c r="GFT91" s="202"/>
      <c r="GFU91" s="203"/>
      <c r="GFV91" s="204"/>
      <c r="GFW91" s="204"/>
      <c r="GFX91" s="204"/>
      <c r="GFY91" s="205"/>
      <c r="GFZ91" s="206"/>
      <c r="GGA91" s="207"/>
      <c r="GGB91" s="207"/>
      <c r="GGC91" s="208"/>
      <c r="GGD91" s="209"/>
      <c r="GGE91" s="207"/>
      <c r="GGF91" s="210"/>
      <c r="GGG91" s="209"/>
      <c r="GGH91" s="204"/>
      <c r="GGI91" s="204"/>
      <c r="GGJ91" s="204"/>
      <c r="GGK91" s="199"/>
      <c r="GGL91" s="167"/>
      <c r="GGM91" s="199"/>
      <c r="GGN91" s="200"/>
      <c r="GGO91" s="201"/>
      <c r="GGP91" s="202"/>
      <c r="GGQ91" s="202"/>
      <c r="GGR91" s="202"/>
      <c r="GGS91" s="202"/>
      <c r="GGT91" s="203"/>
      <c r="GGU91" s="204"/>
      <c r="GGV91" s="204"/>
      <c r="GGW91" s="204"/>
      <c r="GGX91" s="205"/>
      <c r="GGY91" s="206"/>
      <c r="GGZ91" s="207"/>
      <c r="GHA91" s="207"/>
      <c r="GHB91" s="208"/>
      <c r="GHC91" s="209"/>
      <c r="GHD91" s="207"/>
      <c r="GHE91" s="210"/>
      <c r="GHF91" s="209"/>
      <c r="GHG91" s="204"/>
      <c r="GHH91" s="204"/>
      <c r="GHI91" s="204"/>
      <c r="GHJ91" s="199"/>
      <c r="GHK91" s="167"/>
      <c r="GHL91" s="199"/>
      <c r="GHM91" s="200"/>
      <c r="GHN91" s="201"/>
      <c r="GHO91" s="202"/>
      <c r="GHP91" s="202"/>
      <c r="GHQ91" s="202"/>
      <c r="GHR91" s="202"/>
      <c r="GHS91" s="203"/>
      <c r="GHT91" s="204"/>
      <c r="GHU91" s="204"/>
      <c r="GHV91" s="204"/>
      <c r="GHW91" s="205"/>
      <c r="GHX91" s="206"/>
      <c r="GHY91" s="207"/>
      <c r="GHZ91" s="207"/>
      <c r="GIA91" s="208"/>
      <c r="GIB91" s="209"/>
      <c r="GIC91" s="207"/>
      <c r="GID91" s="210"/>
      <c r="GIE91" s="209"/>
      <c r="GIF91" s="204"/>
      <c r="GIG91" s="204"/>
      <c r="GIH91" s="204"/>
      <c r="GII91" s="199"/>
      <c r="GIJ91" s="167"/>
      <c r="GIK91" s="199"/>
      <c r="GIL91" s="200"/>
      <c r="GIM91" s="201"/>
      <c r="GIN91" s="202"/>
      <c r="GIO91" s="202"/>
      <c r="GIP91" s="202"/>
      <c r="GIQ91" s="202"/>
      <c r="GIR91" s="203"/>
      <c r="GIS91" s="204"/>
      <c r="GIT91" s="204"/>
      <c r="GIU91" s="204"/>
      <c r="GIV91" s="205"/>
      <c r="GIW91" s="206"/>
      <c r="GIX91" s="207"/>
      <c r="GIY91" s="207"/>
      <c r="GIZ91" s="208"/>
      <c r="GJA91" s="209"/>
      <c r="GJB91" s="207"/>
      <c r="GJC91" s="210"/>
      <c r="GJD91" s="209"/>
      <c r="GJE91" s="204"/>
      <c r="GJF91" s="204"/>
      <c r="GJG91" s="204"/>
      <c r="GJH91" s="199"/>
      <c r="GJI91" s="167"/>
      <c r="GJJ91" s="199"/>
      <c r="GJK91" s="200"/>
      <c r="GJL91" s="201"/>
      <c r="GJM91" s="202"/>
      <c r="GJN91" s="202"/>
      <c r="GJO91" s="202"/>
      <c r="GJP91" s="202"/>
      <c r="GJQ91" s="203"/>
      <c r="GJR91" s="204"/>
      <c r="GJS91" s="204"/>
      <c r="GJT91" s="204"/>
      <c r="GJU91" s="205"/>
      <c r="GJV91" s="206"/>
      <c r="GJW91" s="207"/>
      <c r="GJX91" s="207"/>
      <c r="GJY91" s="208"/>
      <c r="GJZ91" s="209"/>
      <c r="GKA91" s="207"/>
      <c r="GKB91" s="210"/>
      <c r="GKC91" s="209"/>
      <c r="GKD91" s="204"/>
      <c r="GKE91" s="204"/>
      <c r="GKF91" s="204"/>
      <c r="GKG91" s="199"/>
      <c r="GKH91" s="167"/>
      <c r="GKI91" s="199"/>
      <c r="GKJ91" s="200"/>
      <c r="GKK91" s="201"/>
      <c r="GKL91" s="202"/>
      <c r="GKM91" s="202"/>
      <c r="GKN91" s="202"/>
      <c r="GKO91" s="202"/>
      <c r="GKP91" s="203"/>
      <c r="GKQ91" s="204"/>
      <c r="GKR91" s="204"/>
      <c r="GKS91" s="204"/>
      <c r="GKT91" s="205"/>
      <c r="GKU91" s="206"/>
      <c r="GKV91" s="207"/>
      <c r="GKW91" s="207"/>
      <c r="GKX91" s="208"/>
      <c r="GKY91" s="209"/>
      <c r="GKZ91" s="207"/>
      <c r="GLA91" s="210"/>
      <c r="GLB91" s="209"/>
      <c r="GLC91" s="204"/>
      <c r="GLD91" s="204"/>
      <c r="GLE91" s="204"/>
      <c r="GLF91" s="199"/>
      <c r="GLG91" s="167"/>
      <c r="GLH91" s="199"/>
      <c r="GLI91" s="200"/>
      <c r="GLJ91" s="201"/>
      <c r="GLK91" s="202"/>
      <c r="GLL91" s="202"/>
      <c r="GLM91" s="202"/>
      <c r="GLN91" s="202"/>
      <c r="GLO91" s="203"/>
      <c r="GLP91" s="204"/>
      <c r="GLQ91" s="204"/>
      <c r="GLR91" s="204"/>
      <c r="GLS91" s="205"/>
      <c r="GLT91" s="206"/>
      <c r="GLU91" s="207"/>
      <c r="GLV91" s="207"/>
      <c r="GLW91" s="208"/>
      <c r="GLX91" s="209"/>
      <c r="GLY91" s="207"/>
      <c r="GLZ91" s="210"/>
      <c r="GMA91" s="209"/>
      <c r="GMB91" s="204"/>
      <c r="GMC91" s="204"/>
      <c r="GMD91" s="204"/>
      <c r="GME91" s="199"/>
      <c r="GMF91" s="167"/>
      <c r="GMG91" s="199"/>
      <c r="GMH91" s="200"/>
      <c r="GMI91" s="201"/>
      <c r="GMJ91" s="202"/>
      <c r="GMK91" s="202"/>
      <c r="GML91" s="202"/>
      <c r="GMM91" s="202"/>
      <c r="GMN91" s="203"/>
      <c r="GMO91" s="204"/>
      <c r="GMP91" s="204"/>
      <c r="GMQ91" s="204"/>
      <c r="GMR91" s="205"/>
      <c r="GMS91" s="206"/>
      <c r="GMT91" s="207"/>
      <c r="GMU91" s="207"/>
      <c r="GMV91" s="208"/>
      <c r="GMW91" s="209"/>
      <c r="GMX91" s="207"/>
      <c r="GMY91" s="210"/>
      <c r="GMZ91" s="209"/>
      <c r="GNA91" s="204"/>
      <c r="GNB91" s="204"/>
      <c r="GNC91" s="204"/>
      <c r="GND91" s="199"/>
      <c r="GNE91" s="167"/>
      <c r="GNF91" s="199"/>
      <c r="GNG91" s="200"/>
      <c r="GNH91" s="201"/>
      <c r="GNI91" s="202"/>
      <c r="GNJ91" s="202"/>
      <c r="GNK91" s="202"/>
      <c r="GNL91" s="202"/>
      <c r="GNM91" s="203"/>
      <c r="GNN91" s="204"/>
      <c r="GNO91" s="204"/>
      <c r="GNP91" s="204"/>
      <c r="GNQ91" s="205"/>
      <c r="GNR91" s="206"/>
      <c r="GNS91" s="207"/>
      <c r="GNT91" s="207"/>
      <c r="GNU91" s="208"/>
      <c r="GNV91" s="209"/>
      <c r="GNW91" s="207"/>
      <c r="GNX91" s="210"/>
      <c r="GNY91" s="209"/>
      <c r="GNZ91" s="204"/>
      <c r="GOA91" s="204"/>
      <c r="GOB91" s="204"/>
      <c r="GOC91" s="199"/>
      <c r="GOD91" s="167"/>
      <c r="GOE91" s="199"/>
      <c r="GOF91" s="200"/>
      <c r="GOG91" s="201"/>
      <c r="GOH91" s="202"/>
      <c r="GOI91" s="202"/>
      <c r="GOJ91" s="202"/>
      <c r="GOK91" s="202"/>
      <c r="GOL91" s="203"/>
      <c r="GOM91" s="204"/>
      <c r="GON91" s="204"/>
      <c r="GOO91" s="204"/>
      <c r="GOP91" s="205"/>
      <c r="GOQ91" s="206"/>
      <c r="GOR91" s="207"/>
      <c r="GOS91" s="207"/>
      <c r="GOT91" s="208"/>
      <c r="GOU91" s="209"/>
      <c r="GOV91" s="207"/>
      <c r="GOW91" s="210"/>
      <c r="GOX91" s="209"/>
      <c r="GOY91" s="204"/>
      <c r="GOZ91" s="204"/>
      <c r="GPA91" s="204"/>
      <c r="GPB91" s="199"/>
      <c r="GPC91" s="167"/>
      <c r="GPD91" s="199"/>
      <c r="GPE91" s="200"/>
      <c r="GPF91" s="201"/>
      <c r="GPG91" s="202"/>
      <c r="GPH91" s="202"/>
      <c r="GPI91" s="202"/>
      <c r="GPJ91" s="202"/>
      <c r="GPK91" s="203"/>
      <c r="GPL91" s="204"/>
      <c r="GPM91" s="204"/>
      <c r="GPN91" s="204"/>
      <c r="GPO91" s="205"/>
      <c r="GPP91" s="206"/>
      <c r="GPQ91" s="207"/>
      <c r="GPR91" s="207"/>
      <c r="GPS91" s="208"/>
      <c r="GPT91" s="209"/>
      <c r="GPU91" s="207"/>
      <c r="GPV91" s="210"/>
      <c r="GPW91" s="209"/>
      <c r="GPX91" s="204"/>
      <c r="GPY91" s="204"/>
      <c r="GPZ91" s="204"/>
      <c r="GQA91" s="199"/>
      <c r="GQB91" s="167"/>
      <c r="GQC91" s="199"/>
      <c r="GQD91" s="200"/>
      <c r="GQE91" s="201"/>
      <c r="GQF91" s="202"/>
      <c r="GQG91" s="202"/>
      <c r="GQH91" s="202"/>
      <c r="GQI91" s="202"/>
      <c r="GQJ91" s="203"/>
      <c r="GQK91" s="204"/>
      <c r="GQL91" s="204"/>
      <c r="GQM91" s="204"/>
      <c r="GQN91" s="205"/>
      <c r="GQO91" s="206"/>
      <c r="GQP91" s="207"/>
      <c r="GQQ91" s="207"/>
      <c r="GQR91" s="208"/>
      <c r="GQS91" s="209"/>
      <c r="GQT91" s="207"/>
      <c r="GQU91" s="210"/>
      <c r="GQV91" s="209"/>
      <c r="GQW91" s="204"/>
      <c r="GQX91" s="204"/>
      <c r="GQY91" s="204"/>
      <c r="GQZ91" s="199"/>
      <c r="GRA91" s="167"/>
      <c r="GRB91" s="199"/>
      <c r="GRC91" s="200"/>
      <c r="GRD91" s="201"/>
      <c r="GRE91" s="202"/>
      <c r="GRF91" s="202"/>
      <c r="GRG91" s="202"/>
      <c r="GRH91" s="202"/>
      <c r="GRI91" s="203"/>
      <c r="GRJ91" s="204"/>
      <c r="GRK91" s="204"/>
      <c r="GRL91" s="204"/>
      <c r="GRM91" s="205"/>
      <c r="GRN91" s="206"/>
      <c r="GRO91" s="207"/>
      <c r="GRP91" s="207"/>
      <c r="GRQ91" s="208"/>
      <c r="GRR91" s="209"/>
      <c r="GRS91" s="207"/>
      <c r="GRT91" s="210"/>
      <c r="GRU91" s="209"/>
      <c r="GRV91" s="204"/>
      <c r="GRW91" s="204"/>
      <c r="GRX91" s="204"/>
      <c r="GRY91" s="199"/>
      <c r="GRZ91" s="167"/>
      <c r="GSA91" s="199"/>
      <c r="GSB91" s="200"/>
      <c r="GSC91" s="201"/>
      <c r="GSD91" s="202"/>
      <c r="GSE91" s="202"/>
      <c r="GSF91" s="202"/>
      <c r="GSG91" s="202"/>
      <c r="GSH91" s="203"/>
      <c r="GSI91" s="204"/>
      <c r="GSJ91" s="204"/>
      <c r="GSK91" s="204"/>
      <c r="GSL91" s="205"/>
      <c r="GSM91" s="206"/>
      <c r="GSN91" s="207"/>
      <c r="GSO91" s="207"/>
      <c r="GSP91" s="208"/>
      <c r="GSQ91" s="209"/>
      <c r="GSR91" s="207"/>
      <c r="GSS91" s="210"/>
      <c r="GST91" s="209"/>
      <c r="GSU91" s="204"/>
      <c r="GSV91" s="204"/>
      <c r="GSW91" s="204"/>
      <c r="GSX91" s="199"/>
      <c r="GSY91" s="167"/>
      <c r="GSZ91" s="199"/>
      <c r="GTA91" s="200"/>
      <c r="GTB91" s="201"/>
      <c r="GTC91" s="202"/>
      <c r="GTD91" s="202"/>
      <c r="GTE91" s="202"/>
      <c r="GTF91" s="202"/>
      <c r="GTG91" s="203"/>
      <c r="GTH91" s="204"/>
      <c r="GTI91" s="204"/>
      <c r="GTJ91" s="204"/>
      <c r="GTK91" s="205"/>
      <c r="GTL91" s="206"/>
      <c r="GTM91" s="207"/>
      <c r="GTN91" s="207"/>
      <c r="GTO91" s="208"/>
      <c r="GTP91" s="209"/>
      <c r="GTQ91" s="207"/>
      <c r="GTR91" s="210"/>
      <c r="GTS91" s="209"/>
      <c r="GTT91" s="204"/>
      <c r="GTU91" s="204"/>
      <c r="GTV91" s="204"/>
      <c r="GTW91" s="199"/>
      <c r="GTX91" s="167"/>
      <c r="GTY91" s="199"/>
      <c r="GTZ91" s="200"/>
      <c r="GUA91" s="201"/>
      <c r="GUB91" s="202"/>
      <c r="GUC91" s="202"/>
      <c r="GUD91" s="202"/>
      <c r="GUE91" s="202"/>
      <c r="GUF91" s="203"/>
      <c r="GUG91" s="204"/>
      <c r="GUH91" s="204"/>
      <c r="GUI91" s="204"/>
      <c r="GUJ91" s="205"/>
      <c r="GUK91" s="206"/>
      <c r="GUL91" s="207"/>
      <c r="GUM91" s="207"/>
      <c r="GUN91" s="208"/>
      <c r="GUO91" s="209"/>
      <c r="GUP91" s="207"/>
      <c r="GUQ91" s="210"/>
      <c r="GUR91" s="209"/>
      <c r="GUS91" s="204"/>
      <c r="GUT91" s="204"/>
      <c r="GUU91" s="204"/>
      <c r="GUV91" s="199"/>
      <c r="GUW91" s="167"/>
      <c r="GUX91" s="199"/>
      <c r="GUY91" s="200"/>
      <c r="GUZ91" s="201"/>
      <c r="GVA91" s="202"/>
      <c r="GVB91" s="202"/>
      <c r="GVC91" s="202"/>
      <c r="GVD91" s="202"/>
      <c r="GVE91" s="203"/>
      <c r="GVF91" s="204"/>
      <c r="GVG91" s="204"/>
      <c r="GVH91" s="204"/>
      <c r="GVI91" s="205"/>
      <c r="GVJ91" s="206"/>
      <c r="GVK91" s="207"/>
      <c r="GVL91" s="207"/>
      <c r="GVM91" s="208"/>
      <c r="GVN91" s="209"/>
      <c r="GVO91" s="207"/>
      <c r="GVP91" s="210"/>
      <c r="GVQ91" s="209"/>
      <c r="GVR91" s="204"/>
      <c r="GVS91" s="204"/>
      <c r="GVT91" s="204"/>
      <c r="GVU91" s="199"/>
      <c r="GVV91" s="167"/>
      <c r="GVW91" s="199"/>
      <c r="GVX91" s="200"/>
      <c r="GVY91" s="201"/>
      <c r="GVZ91" s="202"/>
      <c r="GWA91" s="202"/>
      <c r="GWB91" s="202"/>
      <c r="GWC91" s="202"/>
      <c r="GWD91" s="203"/>
      <c r="GWE91" s="204"/>
      <c r="GWF91" s="204"/>
      <c r="GWG91" s="204"/>
      <c r="GWH91" s="205"/>
      <c r="GWI91" s="206"/>
      <c r="GWJ91" s="207"/>
      <c r="GWK91" s="207"/>
      <c r="GWL91" s="208"/>
      <c r="GWM91" s="209"/>
      <c r="GWN91" s="207"/>
      <c r="GWO91" s="210"/>
      <c r="GWP91" s="209"/>
      <c r="GWQ91" s="204"/>
      <c r="GWR91" s="204"/>
      <c r="GWS91" s="204"/>
      <c r="GWT91" s="199"/>
      <c r="GWU91" s="167"/>
      <c r="GWV91" s="199"/>
      <c r="GWW91" s="200"/>
      <c r="GWX91" s="201"/>
      <c r="GWY91" s="202"/>
      <c r="GWZ91" s="202"/>
      <c r="GXA91" s="202"/>
      <c r="GXB91" s="202"/>
      <c r="GXC91" s="203"/>
      <c r="GXD91" s="204"/>
      <c r="GXE91" s="204"/>
      <c r="GXF91" s="204"/>
      <c r="GXG91" s="205"/>
      <c r="GXH91" s="206"/>
      <c r="GXI91" s="207"/>
      <c r="GXJ91" s="207"/>
      <c r="GXK91" s="208"/>
      <c r="GXL91" s="209"/>
      <c r="GXM91" s="207"/>
      <c r="GXN91" s="210"/>
      <c r="GXO91" s="209"/>
      <c r="GXP91" s="204"/>
      <c r="GXQ91" s="204"/>
      <c r="GXR91" s="204"/>
      <c r="GXS91" s="199"/>
      <c r="GXT91" s="167"/>
      <c r="GXU91" s="199"/>
      <c r="GXV91" s="200"/>
      <c r="GXW91" s="201"/>
      <c r="GXX91" s="202"/>
      <c r="GXY91" s="202"/>
      <c r="GXZ91" s="202"/>
      <c r="GYA91" s="202"/>
      <c r="GYB91" s="203"/>
      <c r="GYC91" s="204"/>
      <c r="GYD91" s="204"/>
      <c r="GYE91" s="204"/>
      <c r="GYF91" s="205"/>
      <c r="GYG91" s="206"/>
      <c r="GYH91" s="207"/>
      <c r="GYI91" s="207"/>
      <c r="GYJ91" s="208"/>
      <c r="GYK91" s="209"/>
      <c r="GYL91" s="207"/>
      <c r="GYM91" s="210"/>
      <c r="GYN91" s="209"/>
      <c r="GYO91" s="204"/>
      <c r="GYP91" s="204"/>
      <c r="GYQ91" s="204"/>
      <c r="GYR91" s="199"/>
      <c r="GYS91" s="167"/>
      <c r="GYT91" s="199"/>
      <c r="GYU91" s="200"/>
      <c r="GYV91" s="201"/>
      <c r="GYW91" s="202"/>
      <c r="GYX91" s="202"/>
      <c r="GYY91" s="202"/>
      <c r="GYZ91" s="202"/>
      <c r="GZA91" s="203"/>
      <c r="GZB91" s="204"/>
      <c r="GZC91" s="204"/>
      <c r="GZD91" s="204"/>
      <c r="GZE91" s="205"/>
      <c r="GZF91" s="206"/>
      <c r="GZG91" s="207"/>
      <c r="GZH91" s="207"/>
      <c r="GZI91" s="208"/>
      <c r="GZJ91" s="209"/>
      <c r="GZK91" s="207"/>
      <c r="GZL91" s="210"/>
      <c r="GZM91" s="209"/>
      <c r="GZN91" s="204"/>
      <c r="GZO91" s="204"/>
      <c r="GZP91" s="204"/>
      <c r="GZQ91" s="199"/>
      <c r="GZR91" s="167"/>
      <c r="GZS91" s="199"/>
      <c r="GZT91" s="200"/>
      <c r="GZU91" s="201"/>
      <c r="GZV91" s="202"/>
      <c r="GZW91" s="202"/>
      <c r="GZX91" s="202"/>
      <c r="GZY91" s="202"/>
      <c r="GZZ91" s="203"/>
      <c r="HAA91" s="204"/>
      <c r="HAB91" s="204"/>
      <c r="HAC91" s="204"/>
      <c r="HAD91" s="205"/>
      <c r="HAE91" s="206"/>
      <c r="HAF91" s="207"/>
      <c r="HAG91" s="207"/>
      <c r="HAH91" s="208"/>
      <c r="HAI91" s="209"/>
      <c r="HAJ91" s="207"/>
      <c r="HAK91" s="210"/>
      <c r="HAL91" s="209"/>
      <c r="HAM91" s="204"/>
      <c r="HAN91" s="204"/>
      <c r="HAO91" s="204"/>
      <c r="HAP91" s="199"/>
      <c r="HAQ91" s="167"/>
      <c r="HAR91" s="199"/>
      <c r="HAS91" s="200"/>
      <c r="HAT91" s="201"/>
      <c r="HAU91" s="202"/>
      <c r="HAV91" s="202"/>
      <c r="HAW91" s="202"/>
      <c r="HAX91" s="202"/>
      <c r="HAY91" s="203"/>
      <c r="HAZ91" s="204"/>
      <c r="HBA91" s="204"/>
      <c r="HBB91" s="204"/>
      <c r="HBC91" s="205"/>
      <c r="HBD91" s="206"/>
      <c r="HBE91" s="207"/>
      <c r="HBF91" s="207"/>
      <c r="HBG91" s="208"/>
      <c r="HBH91" s="209"/>
      <c r="HBI91" s="207"/>
      <c r="HBJ91" s="210"/>
      <c r="HBK91" s="209"/>
      <c r="HBL91" s="204"/>
      <c r="HBM91" s="204"/>
      <c r="HBN91" s="204"/>
      <c r="HBO91" s="199"/>
      <c r="HBP91" s="167"/>
      <c r="HBQ91" s="199"/>
      <c r="HBR91" s="200"/>
      <c r="HBS91" s="201"/>
      <c r="HBT91" s="202"/>
      <c r="HBU91" s="202"/>
      <c r="HBV91" s="202"/>
      <c r="HBW91" s="202"/>
      <c r="HBX91" s="203"/>
      <c r="HBY91" s="204"/>
      <c r="HBZ91" s="204"/>
      <c r="HCA91" s="204"/>
      <c r="HCB91" s="205"/>
      <c r="HCC91" s="206"/>
      <c r="HCD91" s="207"/>
      <c r="HCE91" s="207"/>
      <c r="HCF91" s="208"/>
      <c r="HCG91" s="209"/>
      <c r="HCH91" s="207"/>
      <c r="HCI91" s="210"/>
      <c r="HCJ91" s="209"/>
      <c r="HCK91" s="204"/>
      <c r="HCL91" s="204"/>
      <c r="HCM91" s="204"/>
      <c r="HCN91" s="199"/>
      <c r="HCO91" s="167"/>
      <c r="HCP91" s="199"/>
      <c r="HCQ91" s="200"/>
      <c r="HCR91" s="201"/>
      <c r="HCS91" s="202"/>
      <c r="HCT91" s="202"/>
      <c r="HCU91" s="202"/>
      <c r="HCV91" s="202"/>
      <c r="HCW91" s="203"/>
      <c r="HCX91" s="204"/>
      <c r="HCY91" s="204"/>
      <c r="HCZ91" s="204"/>
      <c r="HDA91" s="205"/>
      <c r="HDB91" s="206"/>
      <c r="HDC91" s="207"/>
      <c r="HDD91" s="207"/>
      <c r="HDE91" s="208"/>
      <c r="HDF91" s="209"/>
      <c r="HDG91" s="207"/>
      <c r="HDH91" s="210"/>
      <c r="HDI91" s="209"/>
      <c r="HDJ91" s="204"/>
      <c r="HDK91" s="204"/>
      <c r="HDL91" s="204"/>
      <c r="HDM91" s="199"/>
      <c r="HDN91" s="167"/>
      <c r="HDO91" s="199"/>
      <c r="HDP91" s="200"/>
      <c r="HDQ91" s="201"/>
      <c r="HDR91" s="202"/>
      <c r="HDS91" s="202"/>
      <c r="HDT91" s="202"/>
      <c r="HDU91" s="202"/>
      <c r="HDV91" s="203"/>
      <c r="HDW91" s="204"/>
      <c r="HDX91" s="204"/>
      <c r="HDY91" s="204"/>
      <c r="HDZ91" s="205"/>
      <c r="HEA91" s="206"/>
      <c r="HEB91" s="207"/>
      <c r="HEC91" s="207"/>
      <c r="HED91" s="208"/>
      <c r="HEE91" s="209"/>
      <c r="HEF91" s="207"/>
      <c r="HEG91" s="210"/>
      <c r="HEH91" s="209"/>
      <c r="HEI91" s="204"/>
      <c r="HEJ91" s="204"/>
      <c r="HEK91" s="204"/>
      <c r="HEL91" s="199"/>
      <c r="HEM91" s="167"/>
      <c r="HEN91" s="199"/>
      <c r="HEO91" s="200"/>
      <c r="HEP91" s="201"/>
      <c r="HEQ91" s="202"/>
      <c r="HER91" s="202"/>
      <c r="HES91" s="202"/>
      <c r="HET91" s="202"/>
      <c r="HEU91" s="203"/>
      <c r="HEV91" s="204"/>
      <c r="HEW91" s="204"/>
      <c r="HEX91" s="204"/>
      <c r="HEY91" s="205"/>
      <c r="HEZ91" s="206"/>
      <c r="HFA91" s="207"/>
      <c r="HFB91" s="207"/>
      <c r="HFC91" s="208"/>
      <c r="HFD91" s="209"/>
      <c r="HFE91" s="207"/>
      <c r="HFF91" s="210"/>
      <c r="HFG91" s="209"/>
      <c r="HFH91" s="204"/>
      <c r="HFI91" s="204"/>
      <c r="HFJ91" s="204"/>
      <c r="HFK91" s="199"/>
      <c r="HFL91" s="167"/>
      <c r="HFM91" s="199"/>
      <c r="HFN91" s="200"/>
      <c r="HFO91" s="201"/>
      <c r="HFP91" s="202"/>
      <c r="HFQ91" s="202"/>
      <c r="HFR91" s="202"/>
      <c r="HFS91" s="202"/>
      <c r="HFT91" s="203"/>
      <c r="HFU91" s="204"/>
      <c r="HFV91" s="204"/>
      <c r="HFW91" s="204"/>
      <c r="HFX91" s="205"/>
      <c r="HFY91" s="206"/>
      <c r="HFZ91" s="207"/>
      <c r="HGA91" s="207"/>
      <c r="HGB91" s="208"/>
      <c r="HGC91" s="209"/>
      <c r="HGD91" s="207"/>
      <c r="HGE91" s="210"/>
      <c r="HGF91" s="209"/>
      <c r="HGG91" s="204"/>
      <c r="HGH91" s="204"/>
      <c r="HGI91" s="204"/>
      <c r="HGJ91" s="199"/>
      <c r="HGK91" s="167"/>
      <c r="HGL91" s="199"/>
      <c r="HGM91" s="200"/>
      <c r="HGN91" s="201"/>
      <c r="HGO91" s="202"/>
      <c r="HGP91" s="202"/>
      <c r="HGQ91" s="202"/>
      <c r="HGR91" s="202"/>
      <c r="HGS91" s="203"/>
      <c r="HGT91" s="204"/>
      <c r="HGU91" s="204"/>
      <c r="HGV91" s="204"/>
      <c r="HGW91" s="205"/>
      <c r="HGX91" s="206"/>
      <c r="HGY91" s="207"/>
      <c r="HGZ91" s="207"/>
      <c r="HHA91" s="208"/>
      <c r="HHB91" s="209"/>
      <c r="HHC91" s="207"/>
      <c r="HHD91" s="210"/>
      <c r="HHE91" s="209"/>
      <c r="HHF91" s="204"/>
      <c r="HHG91" s="204"/>
      <c r="HHH91" s="204"/>
      <c r="HHI91" s="199"/>
      <c r="HHJ91" s="167"/>
      <c r="HHK91" s="199"/>
      <c r="HHL91" s="200"/>
      <c r="HHM91" s="201"/>
      <c r="HHN91" s="202"/>
      <c r="HHO91" s="202"/>
      <c r="HHP91" s="202"/>
      <c r="HHQ91" s="202"/>
      <c r="HHR91" s="203"/>
      <c r="HHS91" s="204"/>
      <c r="HHT91" s="204"/>
      <c r="HHU91" s="204"/>
      <c r="HHV91" s="205"/>
      <c r="HHW91" s="206"/>
      <c r="HHX91" s="207"/>
      <c r="HHY91" s="207"/>
      <c r="HHZ91" s="208"/>
      <c r="HIA91" s="209"/>
      <c r="HIB91" s="207"/>
      <c r="HIC91" s="210"/>
      <c r="HID91" s="209"/>
      <c r="HIE91" s="204"/>
      <c r="HIF91" s="204"/>
      <c r="HIG91" s="204"/>
      <c r="HIH91" s="199"/>
      <c r="HII91" s="167"/>
      <c r="HIJ91" s="199"/>
      <c r="HIK91" s="200"/>
      <c r="HIL91" s="201"/>
      <c r="HIM91" s="202"/>
      <c r="HIN91" s="202"/>
      <c r="HIO91" s="202"/>
      <c r="HIP91" s="202"/>
      <c r="HIQ91" s="203"/>
      <c r="HIR91" s="204"/>
      <c r="HIS91" s="204"/>
      <c r="HIT91" s="204"/>
      <c r="HIU91" s="205"/>
      <c r="HIV91" s="206"/>
      <c r="HIW91" s="207"/>
      <c r="HIX91" s="207"/>
      <c r="HIY91" s="208"/>
      <c r="HIZ91" s="209"/>
      <c r="HJA91" s="207"/>
      <c r="HJB91" s="210"/>
      <c r="HJC91" s="209"/>
      <c r="HJD91" s="204"/>
      <c r="HJE91" s="204"/>
      <c r="HJF91" s="204"/>
      <c r="HJG91" s="199"/>
      <c r="HJH91" s="167"/>
      <c r="HJI91" s="199"/>
      <c r="HJJ91" s="200"/>
      <c r="HJK91" s="201"/>
      <c r="HJL91" s="202"/>
      <c r="HJM91" s="202"/>
      <c r="HJN91" s="202"/>
      <c r="HJO91" s="202"/>
      <c r="HJP91" s="203"/>
      <c r="HJQ91" s="204"/>
      <c r="HJR91" s="204"/>
      <c r="HJS91" s="204"/>
      <c r="HJT91" s="205"/>
      <c r="HJU91" s="206"/>
      <c r="HJV91" s="207"/>
      <c r="HJW91" s="207"/>
      <c r="HJX91" s="208"/>
      <c r="HJY91" s="209"/>
      <c r="HJZ91" s="207"/>
      <c r="HKA91" s="210"/>
      <c r="HKB91" s="209"/>
      <c r="HKC91" s="204"/>
      <c r="HKD91" s="204"/>
      <c r="HKE91" s="204"/>
      <c r="HKF91" s="199"/>
      <c r="HKG91" s="167"/>
      <c r="HKH91" s="199"/>
      <c r="HKI91" s="200"/>
      <c r="HKJ91" s="201"/>
      <c r="HKK91" s="202"/>
      <c r="HKL91" s="202"/>
      <c r="HKM91" s="202"/>
      <c r="HKN91" s="202"/>
      <c r="HKO91" s="203"/>
      <c r="HKP91" s="204"/>
      <c r="HKQ91" s="204"/>
      <c r="HKR91" s="204"/>
      <c r="HKS91" s="205"/>
      <c r="HKT91" s="206"/>
      <c r="HKU91" s="207"/>
      <c r="HKV91" s="207"/>
      <c r="HKW91" s="208"/>
      <c r="HKX91" s="209"/>
      <c r="HKY91" s="207"/>
      <c r="HKZ91" s="210"/>
      <c r="HLA91" s="209"/>
      <c r="HLB91" s="204"/>
      <c r="HLC91" s="204"/>
      <c r="HLD91" s="204"/>
      <c r="HLE91" s="199"/>
      <c r="HLF91" s="167"/>
      <c r="HLG91" s="199"/>
      <c r="HLH91" s="200"/>
      <c r="HLI91" s="201"/>
      <c r="HLJ91" s="202"/>
      <c r="HLK91" s="202"/>
      <c r="HLL91" s="202"/>
      <c r="HLM91" s="202"/>
      <c r="HLN91" s="203"/>
      <c r="HLO91" s="204"/>
      <c r="HLP91" s="204"/>
      <c r="HLQ91" s="204"/>
      <c r="HLR91" s="205"/>
      <c r="HLS91" s="206"/>
      <c r="HLT91" s="207"/>
      <c r="HLU91" s="207"/>
      <c r="HLV91" s="208"/>
      <c r="HLW91" s="209"/>
      <c r="HLX91" s="207"/>
      <c r="HLY91" s="210"/>
      <c r="HLZ91" s="209"/>
      <c r="HMA91" s="204"/>
      <c r="HMB91" s="204"/>
      <c r="HMC91" s="204"/>
      <c r="HMD91" s="199"/>
      <c r="HME91" s="167"/>
      <c r="HMF91" s="199"/>
      <c r="HMG91" s="200"/>
      <c r="HMH91" s="201"/>
      <c r="HMI91" s="202"/>
      <c r="HMJ91" s="202"/>
      <c r="HMK91" s="202"/>
      <c r="HML91" s="202"/>
      <c r="HMM91" s="203"/>
      <c r="HMN91" s="204"/>
      <c r="HMO91" s="204"/>
      <c r="HMP91" s="204"/>
      <c r="HMQ91" s="205"/>
      <c r="HMR91" s="206"/>
      <c r="HMS91" s="207"/>
      <c r="HMT91" s="207"/>
      <c r="HMU91" s="208"/>
      <c r="HMV91" s="209"/>
      <c r="HMW91" s="207"/>
      <c r="HMX91" s="210"/>
      <c r="HMY91" s="209"/>
      <c r="HMZ91" s="204"/>
      <c r="HNA91" s="204"/>
      <c r="HNB91" s="204"/>
      <c r="HNC91" s="199"/>
      <c r="HND91" s="167"/>
      <c r="HNE91" s="199"/>
      <c r="HNF91" s="200"/>
      <c r="HNG91" s="201"/>
      <c r="HNH91" s="202"/>
      <c r="HNI91" s="202"/>
      <c r="HNJ91" s="202"/>
      <c r="HNK91" s="202"/>
      <c r="HNL91" s="203"/>
      <c r="HNM91" s="204"/>
      <c r="HNN91" s="204"/>
      <c r="HNO91" s="204"/>
      <c r="HNP91" s="205"/>
      <c r="HNQ91" s="206"/>
      <c r="HNR91" s="207"/>
      <c r="HNS91" s="207"/>
      <c r="HNT91" s="208"/>
      <c r="HNU91" s="209"/>
      <c r="HNV91" s="207"/>
      <c r="HNW91" s="210"/>
      <c r="HNX91" s="209"/>
      <c r="HNY91" s="204"/>
      <c r="HNZ91" s="204"/>
      <c r="HOA91" s="204"/>
      <c r="HOB91" s="199"/>
      <c r="HOC91" s="167"/>
      <c r="HOD91" s="199"/>
      <c r="HOE91" s="200"/>
      <c r="HOF91" s="201"/>
      <c r="HOG91" s="202"/>
      <c r="HOH91" s="202"/>
      <c r="HOI91" s="202"/>
      <c r="HOJ91" s="202"/>
      <c r="HOK91" s="203"/>
      <c r="HOL91" s="204"/>
      <c r="HOM91" s="204"/>
      <c r="HON91" s="204"/>
      <c r="HOO91" s="205"/>
      <c r="HOP91" s="206"/>
      <c r="HOQ91" s="207"/>
      <c r="HOR91" s="207"/>
      <c r="HOS91" s="208"/>
      <c r="HOT91" s="209"/>
      <c r="HOU91" s="207"/>
      <c r="HOV91" s="210"/>
      <c r="HOW91" s="209"/>
      <c r="HOX91" s="204"/>
      <c r="HOY91" s="204"/>
      <c r="HOZ91" s="204"/>
      <c r="HPA91" s="199"/>
      <c r="HPB91" s="167"/>
      <c r="HPC91" s="199"/>
      <c r="HPD91" s="200"/>
      <c r="HPE91" s="201"/>
      <c r="HPF91" s="202"/>
      <c r="HPG91" s="202"/>
      <c r="HPH91" s="202"/>
      <c r="HPI91" s="202"/>
      <c r="HPJ91" s="203"/>
      <c r="HPK91" s="204"/>
      <c r="HPL91" s="204"/>
      <c r="HPM91" s="204"/>
      <c r="HPN91" s="205"/>
      <c r="HPO91" s="206"/>
      <c r="HPP91" s="207"/>
      <c r="HPQ91" s="207"/>
      <c r="HPR91" s="208"/>
      <c r="HPS91" s="209"/>
      <c r="HPT91" s="207"/>
      <c r="HPU91" s="210"/>
      <c r="HPV91" s="209"/>
      <c r="HPW91" s="204"/>
      <c r="HPX91" s="204"/>
      <c r="HPY91" s="204"/>
      <c r="HPZ91" s="199"/>
      <c r="HQA91" s="167"/>
      <c r="HQB91" s="199"/>
      <c r="HQC91" s="200"/>
      <c r="HQD91" s="201"/>
      <c r="HQE91" s="202"/>
      <c r="HQF91" s="202"/>
      <c r="HQG91" s="202"/>
      <c r="HQH91" s="202"/>
      <c r="HQI91" s="203"/>
      <c r="HQJ91" s="204"/>
      <c r="HQK91" s="204"/>
      <c r="HQL91" s="204"/>
      <c r="HQM91" s="205"/>
      <c r="HQN91" s="206"/>
      <c r="HQO91" s="207"/>
      <c r="HQP91" s="207"/>
      <c r="HQQ91" s="208"/>
      <c r="HQR91" s="209"/>
      <c r="HQS91" s="207"/>
      <c r="HQT91" s="210"/>
      <c r="HQU91" s="209"/>
      <c r="HQV91" s="204"/>
      <c r="HQW91" s="204"/>
      <c r="HQX91" s="204"/>
      <c r="HQY91" s="199"/>
      <c r="HQZ91" s="167"/>
      <c r="HRA91" s="199"/>
      <c r="HRB91" s="200"/>
      <c r="HRC91" s="201"/>
      <c r="HRD91" s="202"/>
      <c r="HRE91" s="202"/>
      <c r="HRF91" s="202"/>
      <c r="HRG91" s="202"/>
      <c r="HRH91" s="203"/>
      <c r="HRI91" s="204"/>
      <c r="HRJ91" s="204"/>
      <c r="HRK91" s="204"/>
      <c r="HRL91" s="205"/>
      <c r="HRM91" s="206"/>
      <c r="HRN91" s="207"/>
      <c r="HRO91" s="207"/>
      <c r="HRP91" s="208"/>
      <c r="HRQ91" s="209"/>
      <c r="HRR91" s="207"/>
      <c r="HRS91" s="210"/>
      <c r="HRT91" s="209"/>
      <c r="HRU91" s="204"/>
      <c r="HRV91" s="204"/>
      <c r="HRW91" s="204"/>
      <c r="HRX91" s="199"/>
      <c r="HRY91" s="167"/>
      <c r="HRZ91" s="199"/>
      <c r="HSA91" s="200"/>
      <c r="HSB91" s="201"/>
      <c r="HSC91" s="202"/>
      <c r="HSD91" s="202"/>
      <c r="HSE91" s="202"/>
      <c r="HSF91" s="202"/>
      <c r="HSG91" s="203"/>
      <c r="HSH91" s="204"/>
      <c r="HSI91" s="204"/>
      <c r="HSJ91" s="204"/>
      <c r="HSK91" s="205"/>
      <c r="HSL91" s="206"/>
      <c r="HSM91" s="207"/>
      <c r="HSN91" s="207"/>
      <c r="HSO91" s="208"/>
      <c r="HSP91" s="209"/>
      <c r="HSQ91" s="207"/>
      <c r="HSR91" s="210"/>
      <c r="HSS91" s="209"/>
      <c r="HST91" s="204"/>
      <c r="HSU91" s="204"/>
      <c r="HSV91" s="204"/>
      <c r="HSW91" s="199"/>
      <c r="HSX91" s="167"/>
      <c r="HSY91" s="199"/>
      <c r="HSZ91" s="200"/>
      <c r="HTA91" s="201"/>
      <c r="HTB91" s="202"/>
      <c r="HTC91" s="202"/>
      <c r="HTD91" s="202"/>
      <c r="HTE91" s="202"/>
      <c r="HTF91" s="203"/>
      <c r="HTG91" s="204"/>
      <c r="HTH91" s="204"/>
      <c r="HTI91" s="204"/>
      <c r="HTJ91" s="205"/>
      <c r="HTK91" s="206"/>
      <c r="HTL91" s="207"/>
      <c r="HTM91" s="207"/>
      <c r="HTN91" s="208"/>
      <c r="HTO91" s="209"/>
      <c r="HTP91" s="207"/>
      <c r="HTQ91" s="210"/>
      <c r="HTR91" s="209"/>
      <c r="HTS91" s="204"/>
      <c r="HTT91" s="204"/>
      <c r="HTU91" s="204"/>
      <c r="HTV91" s="199"/>
      <c r="HTW91" s="167"/>
      <c r="HTX91" s="199"/>
      <c r="HTY91" s="200"/>
      <c r="HTZ91" s="201"/>
      <c r="HUA91" s="202"/>
      <c r="HUB91" s="202"/>
      <c r="HUC91" s="202"/>
      <c r="HUD91" s="202"/>
      <c r="HUE91" s="203"/>
      <c r="HUF91" s="204"/>
      <c r="HUG91" s="204"/>
      <c r="HUH91" s="204"/>
      <c r="HUI91" s="205"/>
      <c r="HUJ91" s="206"/>
      <c r="HUK91" s="207"/>
      <c r="HUL91" s="207"/>
      <c r="HUM91" s="208"/>
      <c r="HUN91" s="209"/>
      <c r="HUO91" s="207"/>
      <c r="HUP91" s="210"/>
      <c r="HUQ91" s="209"/>
      <c r="HUR91" s="204"/>
      <c r="HUS91" s="204"/>
      <c r="HUT91" s="204"/>
      <c r="HUU91" s="199"/>
      <c r="HUV91" s="167"/>
      <c r="HUW91" s="199"/>
      <c r="HUX91" s="200"/>
      <c r="HUY91" s="201"/>
      <c r="HUZ91" s="202"/>
      <c r="HVA91" s="202"/>
      <c r="HVB91" s="202"/>
      <c r="HVC91" s="202"/>
      <c r="HVD91" s="203"/>
      <c r="HVE91" s="204"/>
      <c r="HVF91" s="204"/>
      <c r="HVG91" s="204"/>
      <c r="HVH91" s="205"/>
      <c r="HVI91" s="206"/>
      <c r="HVJ91" s="207"/>
      <c r="HVK91" s="207"/>
      <c r="HVL91" s="208"/>
      <c r="HVM91" s="209"/>
      <c r="HVN91" s="207"/>
      <c r="HVO91" s="210"/>
      <c r="HVP91" s="209"/>
      <c r="HVQ91" s="204"/>
      <c r="HVR91" s="204"/>
      <c r="HVS91" s="204"/>
      <c r="HVT91" s="199"/>
      <c r="HVU91" s="167"/>
      <c r="HVV91" s="199"/>
      <c r="HVW91" s="200"/>
      <c r="HVX91" s="201"/>
      <c r="HVY91" s="202"/>
      <c r="HVZ91" s="202"/>
      <c r="HWA91" s="202"/>
      <c r="HWB91" s="202"/>
      <c r="HWC91" s="203"/>
      <c r="HWD91" s="204"/>
      <c r="HWE91" s="204"/>
      <c r="HWF91" s="204"/>
      <c r="HWG91" s="205"/>
      <c r="HWH91" s="206"/>
      <c r="HWI91" s="207"/>
      <c r="HWJ91" s="207"/>
      <c r="HWK91" s="208"/>
      <c r="HWL91" s="209"/>
      <c r="HWM91" s="207"/>
      <c r="HWN91" s="210"/>
      <c r="HWO91" s="209"/>
      <c r="HWP91" s="204"/>
      <c r="HWQ91" s="204"/>
      <c r="HWR91" s="204"/>
      <c r="HWS91" s="199"/>
      <c r="HWT91" s="167"/>
      <c r="HWU91" s="199"/>
      <c r="HWV91" s="200"/>
      <c r="HWW91" s="201"/>
      <c r="HWX91" s="202"/>
      <c r="HWY91" s="202"/>
      <c r="HWZ91" s="202"/>
      <c r="HXA91" s="202"/>
      <c r="HXB91" s="203"/>
      <c r="HXC91" s="204"/>
      <c r="HXD91" s="204"/>
      <c r="HXE91" s="204"/>
      <c r="HXF91" s="205"/>
      <c r="HXG91" s="206"/>
      <c r="HXH91" s="207"/>
      <c r="HXI91" s="207"/>
      <c r="HXJ91" s="208"/>
      <c r="HXK91" s="209"/>
      <c r="HXL91" s="207"/>
      <c r="HXM91" s="210"/>
      <c r="HXN91" s="209"/>
      <c r="HXO91" s="204"/>
      <c r="HXP91" s="204"/>
      <c r="HXQ91" s="204"/>
      <c r="HXR91" s="199"/>
      <c r="HXS91" s="167"/>
      <c r="HXT91" s="199"/>
      <c r="HXU91" s="200"/>
      <c r="HXV91" s="201"/>
      <c r="HXW91" s="202"/>
      <c r="HXX91" s="202"/>
      <c r="HXY91" s="202"/>
      <c r="HXZ91" s="202"/>
      <c r="HYA91" s="203"/>
      <c r="HYB91" s="204"/>
      <c r="HYC91" s="204"/>
      <c r="HYD91" s="204"/>
      <c r="HYE91" s="205"/>
      <c r="HYF91" s="206"/>
      <c r="HYG91" s="207"/>
      <c r="HYH91" s="207"/>
      <c r="HYI91" s="208"/>
      <c r="HYJ91" s="209"/>
      <c r="HYK91" s="207"/>
      <c r="HYL91" s="210"/>
      <c r="HYM91" s="209"/>
      <c r="HYN91" s="204"/>
      <c r="HYO91" s="204"/>
      <c r="HYP91" s="204"/>
      <c r="HYQ91" s="199"/>
      <c r="HYR91" s="167"/>
      <c r="HYS91" s="199"/>
      <c r="HYT91" s="200"/>
      <c r="HYU91" s="201"/>
      <c r="HYV91" s="202"/>
      <c r="HYW91" s="202"/>
      <c r="HYX91" s="202"/>
      <c r="HYY91" s="202"/>
      <c r="HYZ91" s="203"/>
      <c r="HZA91" s="204"/>
      <c r="HZB91" s="204"/>
      <c r="HZC91" s="204"/>
      <c r="HZD91" s="205"/>
      <c r="HZE91" s="206"/>
      <c r="HZF91" s="207"/>
      <c r="HZG91" s="207"/>
      <c r="HZH91" s="208"/>
      <c r="HZI91" s="209"/>
      <c r="HZJ91" s="207"/>
      <c r="HZK91" s="210"/>
      <c r="HZL91" s="209"/>
      <c r="HZM91" s="204"/>
      <c r="HZN91" s="204"/>
      <c r="HZO91" s="204"/>
      <c r="HZP91" s="199"/>
      <c r="HZQ91" s="167"/>
      <c r="HZR91" s="199"/>
      <c r="HZS91" s="200"/>
      <c r="HZT91" s="201"/>
      <c r="HZU91" s="202"/>
      <c r="HZV91" s="202"/>
      <c r="HZW91" s="202"/>
      <c r="HZX91" s="202"/>
      <c r="HZY91" s="203"/>
      <c r="HZZ91" s="204"/>
      <c r="IAA91" s="204"/>
      <c r="IAB91" s="204"/>
      <c r="IAC91" s="205"/>
      <c r="IAD91" s="206"/>
      <c r="IAE91" s="207"/>
      <c r="IAF91" s="207"/>
      <c r="IAG91" s="208"/>
      <c r="IAH91" s="209"/>
      <c r="IAI91" s="207"/>
      <c r="IAJ91" s="210"/>
      <c r="IAK91" s="209"/>
      <c r="IAL91" s="204"/>
      <c r="IAM91" s="204"/>
      <c r="IAN91" s="204"/>
      <c r="IAO91" s="199"/>
      <c r="IAP91" s="167"/>
      <c r="IAQ91" s="199"/>
      <c r="IAR91" s="200"/>
      <c r="IAS91" s="201"/>
      <c r="IAT91" s="202"/>
      <c r="IAU91" s="202"/>
      <c r="IAV91" s="202"/>
      <c r="IAW91" s="202"/>
      <c r="IAX91" s="203"/>
      <c r="IAY91" s="204"/>
      <c r="IAZ91" s="204"/>
      <c r="IBA91" s="204"/>
      <c r="IBB91" s="205"/>
      <c r="IBC91" s="206"/>
      <c r="IBD91" s="207"/>
      <c r="IBE91" s="207"/>
      <c r="IBF91" s="208"/>
      <c r="IBG91" s="209"/>
      <c r="IBH91" s="207"/>
      <c r="IBI91" s="210"/>
      <c r="IBJ91" s="209"/>
      <c r="IBK91" s="204"/>
      <c r="IBL91" s="204"/>
      <c r="IBM91" s="204"/>
      <c r="IBN91" s="199"/>
      <c r="IBO91" s="167"/>
      <c r="IBP91" s="199"/>
      <c r="IBQ91" s="200"/>
      <c r="IBR91" s="201"/>
      <c r="IBS91" s="202"/>
      <c r="IBT91" s="202"/>
      <c r="IBU91" s="202"/>
      <c r="IBV91" s="202"/>
      <c r="IBW91" s="203"/>
      <c r="IBX91" s="204"/>
      <c r="IBY91" s="204"/>
      <c r="IBZ91" s="204"/>
      <c r="ICA91" s="205"/>
      <c r="ICB91" s="206"/>
      <c r="ICC91" s="207"/>
      <c r="ICD91" s="207"/>
      <c r="ICE91" s="208"/>
      <c r="ICF91" s="209"/>
      <c r="ICG91" s="207"/>
      <c r="ICH91" s="210"/>
      <c r="ICI91" s="209"/>
      <c r="ICJ91" s="204"/>
      <c r="ICK91" s="204"/>
      <c r="ICL91" s="204"/>
      <c r="ICM91" s="199"/>
      <c r="ICN91" s="167"/>
      <c r="ICO91" s="199"/>
      <c r="ICP91" s="200"/>
      <c r="ICQ91" s="201"/>
      <c r="ICR91" s="202"/>
      <c r="ICS91" s="202"/>
      <c r="ICT91" s="202"/>
      <c r="ICU91" s="202"/>
      <c r="ICV91" s="203"/>
      <c r="ICW91" s="204"/>
      <c r="ICX91" s="204"/>
      <c r="ICY91" s="204"/>
      <c r="ICZ91" s="205"/>
      <c r="IDA91" s="206"/>
      <c r="IDB91" s="207"/>
      <c r="IDC91" s="207"/>
      <c r="IDD91" s="208"/>
      <c r="IDE91" s="209"/>
      <c r="IDF91" s="207"/>
      <c r="IDG91" s="210"/>
      <c r="IDH91" s="209"/>
      <c r="IDI91" s="204"/>
      <c r="IDJ91" s="204"/>
      <c r="IDK91" s="204"/>
      <c r="IDL91" s="199"/>
      <c r="IDM91" s="167"/>
      <c r="IDN91" s="199"/>
      <c r="IDO91" s="200"/>
      <c r="IDP91" s="201"/>
      <c r="IDQ91" s="202"/>
      <c r="IDR91" s="202"/>
      <c r="IDS91" s="202"/>
      <c r="IDT91" s="202"/>
      <c r="IDU91" s="203"/>
      <c r="IDV91" s="204"/>
      <c r="IDW91" s="204"/>
      <c r="IDX91" s="204"/>
      <c r="IDY91" s="205"/>
      <c r="IDZ91" s="206"/>
      <c r="IEA91" s="207"/>
      <c r="IEB91" s="207"/>
      <c r="IEC91" s="208"/>
      <c r="IED91" s="209"/>
      <c r="IEE91" s="207"/>
      <c r="IEF91" s="210"/>
      <c r="IEG91" s="209"/>
      <c r="IEH91" s="204"/>
      <c r="IEI91" s="204"/>
      <c r="IEJ91" s="204"/>
      <c r="IEK91" s="199"/>
      <c r="IEL91" s="167"/>
      <c r="IEM91" s="199"/>
      <c r="IEN91" s="200"/>
      <c r="IEO91" s="201"/>
      <c r="IEP91" s="202"/>
      <c r="IEQ91" s="202"/>
      <c r="IER91" s="202"/>
      <c r="IES91" s="202"/>
      <c r="IET91" s="203"/>
      <c r="IEU91" s="204"/>
      <c r="IEV91" s="204"/>
      <c r="IEW91" s="204"/>
      <c r="IEX91" s="205"/>
      <c r="IEY91" s="206"/>
      <c r="IEZ91" s="207"/>
      <c r="IFA91" s="207"/>
      <c r="IFB91" s="208"/>
      <c r="IFC91" s="209"/>
      <c r="IFD91" s="207"/>
      <c r="IFE91" s="210"/>
      <c r="IFF91" s="209"/>
      <c r="IFG91" s="204"/>
      <c r="IFH91" s="204"/>
      <c r="IFI91" s="204"/>
      <c r="IFJ91" s="199"/>
      <c r="IFK91" s="167"/>
      <c r="IFL91" s="199"/>
      <c r="IFM91" s="200"/>
      <c r="IFN91" s="201"/>
      <c r="IFO91" s="202"/>
      <c r="IFP91" s="202"/>
      <c r="IFQ91" s="202"/>
      <c r="IFR91" s="202"/>
      <c r="IFS91" s="203"/>
      <c r="IFT91" s="204"/>
      <c r="IFU91" s="204"/>
      <c r="IFV91" s="204"/>
      <c r="IFW91" s="205"/>
      <c r="IFX91" s="206"/>
      <c r="IFY91" s="207"/>
      <c r="IFZ91" s="207"/>
      <c r="IGA91" s="208"/>
      <c r="IGB91" s="209"/>
      <c r="IGC91" s="207"/>
      <c r="IGD91" s="210"/>
      <c r="IGE91" s="209"/>
      <c r="IGF91" s="204"/>
      <c r="IGG91" s="204"/>
      <c r="IGH91" s="204"/>
      <c r="IGI91" s="199"/>
      <c r="IGJ91" s="167"/>
      <c r="IGK91" s="199"/>
      <c r="IGL91" s="200"/>
      <c r="IGM91" s="201"/>
      <c r="IGN91" s="202"/>
      <c r="IGO91" s="202"/>
      <c r="IGP91" s="202"/>
      <c r="IGQ91" s="202"/>
      <c r="IGR91" s="203"/>
      <c r="IGS91" s="204"/>
      <c r="IGT91" s="204"/>
      <c r="IGU91" s="204"/>
      <c r="IGV91" s="205"/>
      <c r="IGW91" s="206"/>
      <c r="IGX91" s="207"/>
      <c r="IGY91" s="207"/>
      <c r="IGZ91" s="208"/>
      <c r="IHA91" s="209"/>
      <c r="IHB91" s="207"/>
      <c r="IHC91" s="210"/>
      <c r="IHD91" s="209"/>
      <c r="IHE91" s="204"/>
      <c r="IHF91" s="204"/>
      <c r="IHG91" s="204"/>
      <c r="IHH91" s="199"/>
      <c r="IHI91" s="167"/>
      <c r="IHJ91" s="199"/>
      <c r="IHK91" s="200"/>
      <c r="IHL91" s="201"/>
      <c r="IHM91" s="202"/>
      <c r="IHN91" s="202"/>
      <c r="IHO91" s="202"/>
      <c r="IHP91" s="202"/>
      <c r="IHQ91" s="203"/>
      <c r="IHR91" s="204"/>
      <c r="IHS91" s="204"/>
      <c r="IHT91" s="204"/>
      <c r="IHU91" s="205"/>
      <c r="IHV91" s="206"/>
      <c r="IHW91" s="207"/>
      <c r="IHX91" s="207"/>
      <c r="IHY91" s="208"/>
      <c r="IHZ91" s="209"/>
      <c r="IIA91" s="207"/>
      <c r="IIB91" s="210"/>
      <c r="IIC91" s="209"/>
      <c r="IID91" s="204"/>
      <c r="IIE91" s="204"/>
      <c r="IIF91" s="204"/>
      <c r="IIG91" s="199"/>
      <c r="IIH91" s="167"/>
      <c r="III91" s="199"/>
      <c r="IIJ91" s="200"/>
      <c r="IIK91" s="201"/>
      <c r="IIL91" s="202"/>
      <c r="IIM91" s="202"/>
      <c r="IIN91" s="202"/>
      <c r="IIO91" s="202"/>
      <c r="IIP91" s="203"/>
      <c r="IIQ91" s="204"/>
      <c r="IIR91" s="204"/>
      <c r="IIS91" s="204"/>
      <c r="IIT91" s="205"/>
      <c r="IIU91" s="206"/>
      <c r="IIV91" s="207"/>
      <c r="IIW91" s="207"/>
      <c r="IIX91" s="208"/>
      <c r="IIY91" s="209"/>
      <c r="IIZ91" s="207"/>
      <c r="IJA91" s="210"/>
      <c r="IJB91" s="209"/>
      <c r="IJC91" s="204"/>
      <c r="IJD91" s="204"/>
      <c r="IJE91" s="204"/>
      <c r="IJF91" s="199"/>
      <c r="IJG91" s="167"/>
      <c r="IJH91" s="199"/>
      <c r="IJI91" s="200"/>
      <c r="IJJ91" s="201"/>
      <c r="IJK91" s="202"/>
      <c r="IJL91" s="202"/>
      <c r="IJM91" s="202"/>
      <c r="IJN91" s="202"/>
      <c r="IJO91" s="203"/>
      <c r="IJP91" s="204"/>
      <c r="IJQ91" s="204"/>
      <c r="IJR91" s="204"/>
      <c r="IJS91" s="205"/>
      <c r="IJT91" s="206"/>
      <c r="IJU91" s="207"/>
      <c r="IJV91" s="207"/>
      <c r="IJW91" s="208"/>
      <c r="IJX91" s="209"/>
      <c r="IJY91" s="207"/>
      <c r="IJZ91" s="210"/>
      <c r="IKA91" s="209"/>
      <c r="IKB91" s="204"/>
      <c r="IKC91" s="204"/>
      <c r="IKD91" s="204"/>
      <c r="IKE91" s="199"/>
      <c r="IKF91" s="167"/>
      <c r="IKG91" s="199"/>
      <c r="IKH91" s="200"/>
      <c r="IKI91" s="201"/>
      <c r="IKJ91" s="202"/>
      <c r="IKK91" s="202"/>
      <c r="IKL91" s="202"/>
      <c r="IKM91" s="202"/>
      <c r="IKN91" s="203"/>
      <c r="IKO91" s="204"/>
      <c r="IKP91" s="204"/>
      <c r="IKQ91" s="204"/>
      <c r="IKR91" s="205"/>
      <c r="IKS91" s="206"/>
      <c r="IKT91" s="207"/>
      <c r="IKU91" s="207"/>
      <c r="IKV91" s="208"/>
      <c r="IKW91" s="209"/>
      <c r="IKX91" s="207"/>
      <c r="IKY91" s="210"/>
      <c r="IKZ91" s="209"/>
      <c r="ILA91" s="204"/>
      <c r="ILB91" s="204"/>
      <c r="ILC91" s="204"/>
      <c r="ILD91" s="199"/>
      <c r="ILE91" s="167"/>
      <c r="ILF91" s="199"/>
      <c r="ILG91" s="200"/>
      <c r="ILH91" s="201"/>
      <c r="ILI91" s="202"/>
      <c r="ILJ91" s="202"/>
      <c r="ILK91" s="202"/>
      <c r="ILL91" s="202"/>
      <c r="ILM91" s="203"/>
      <c r="ILN91" s="204"/>
      <c r="ILO91" s="204"/>
      <c r="ILP91" s="204"/>
      <c r="ILQ91" s="205"/>
      <c r="ILR91" s="206"/>
      <c r="ILS91" s="207"/>
      <c r="ILT91" s="207"/>
      <c r="ILU91" s="208"/>
      <c r="ILV91" s="209"/>
      <c r="ILW91" s="207"/>
      <c r="ILX91" s="210"/>
      <c r="ILY91" s="209"/>
      <c r="ILZ91" s="204"/>
      <c r="IMA91" s="204"/>
      <c r="IMB91" s="204"/>
      <c r="IMC91" s="199"/>
      <c r="IMD91" s="167"/>
      <c r="IME91" s="199"/>
      <c r="IMF91" s="200"/>
      <c r="IMG91" s="201"/>
      <c r="IMH91" s="202"/>
      <c r="IMI91" s="202"/>
      <c r="IMJ91" s="202"/>
      <c r="IMK91" s="202"/>
      <c r="IML91" s="203"/>
      <c r="IMM91" s="204"/>
      <c r="IMN91" s="204"/>
      <c r="IMO91" s="204"/>
      <c r="IMP91" s="205"/>
      <c r="IMQ91" s="206"/>
      <c r="IMR91" s="207"/>
      <c r="IMS91" s="207"/>
      <c r="IMT91" s="208"/>
      <c r="IMU91" s="209"/>
      <c r="IMV91" s="207"/>
      <c r="IMW91" s="210"/>
      <c r="IMX91" s="209"/>
      <c r="IMY91" s="204"/>
      <c r="IMZ91" s="204"/>
      <c r="INA91" s="204"/>
      <c r="INB91" s="199"/>
      <c r="INC91" s="167"/>
      <c r="IND91" s="199"/>
      <c r="INE91" s="200"/>
      <c r="INF91" s="201"/>
      <c r="ING91" s="202"/>
      <c r="INH91" s="202"/>
      <c r="INI91" s="202"/>
      <c r="INJ91" s="202"/>
      <c r="INK91" s="203"/>
      <c r="INL91" s="204"/>
      <c r="INM91" s="204"/>
      <c r="INN91" s="204"/>
      <c r="INO91" s="205"/>
      <c r="INP91" s="206"/>
      <c r="INQ91" s="207"/>
      <c r="INR91" s="207"/>
      <c r="INS91" s="208"/>
      <c r="INT91" s="209"/>
      <c r="INU91" s="207"/>
      <c r="INV91" s="210"/>
      <c r="INW91" s="209"/>
      <c r="INX91" s="204"/>
      <c r="INY91" s="204"/>
      <c r="INZ91" s="204"/>
      <c r="IOA91" s="199"/>
      <c r="IOB91" s="167"/>
      <c r="IOC91" s="199"/>
      <c r="IOD91" s="200"/>
      <c r="IOE91" s="201"/>
      <c r="IOF91" s="202"/>
      <c r="IOG91" s="202"/>
      <c r="IOH91" s="202"/>
      <c r="IOI91" s="202"/>
      <c r="IOJ91" s="203"/>
      <c r="IOK91" s="204"/>
      <c r="IOL91" s="204"/>
      <c r="IOM91" s="204"/>
      <c r="ION91" s="205"/>
      <c r="IOO91" s="206"/>
      <c r="IOP91" s="207"/>
      <c r="IOQ91" s="207"/>
      <c r="IOR91" s="208"/>
      <c r="IOS91" s="209"/>
      <c r="IOT91" s="207"/>
      <c r="IOU91" s="210"/>
      <c r="IOV91" s="209"/>
      <c r="IOW91" s="204"/>
      <c r="IOX91" s="204"/>
      <c r="IOY91" s="204"/>
      <c r="IOZ91" s="199"/>
      <c r="IPA91" s="167"/>
      <c r="IPB91" s="199"/>
      <c r="IPC91" s="200"/>
      <c r="IPD91" s="201"/>
      <c r="IPE91" s="202"/>
      <c r="IPF91" s="202"/>
      <c r="IPG91" s="202"/>
      <c r="IPH91" s="202"/>
      <c r="IPI91" s="203"/>
      <c r="IPJ91" s="204"/>
      <c r="IPK91" s="204"/>
      <c r="IPL91" s="204"/>
      <c r="IPM91" s="205"/>
      <c r="IPN91" s="206"/>
      <c r="IPO91" s="207"/>
      <c r="IPP91" s="207"/>
      <c r="IPQ91" s="208"/>
      <c r="IPR91" s="209"/>
      <c r="IPS91" s="207"/>
      <c r="IPT91" s="210"/>
      <c r="IPU91" s="209"/>
      <c r="IPV91" s="204"/>
      <c r="IPW91" s="204"/>
      <c r="IPX91" s="204"/>
      <c r="IPY91" s="199"/>
      <c r="IPZ91" s="167"/>
      <c r="IQA91" s="199"/>
      <c r="IQB91" s="200"/>
      <c r="IQC91" s="201"/>
      <c r="IQD91" s="202"/>
      <c r="IQE91" s="202"/>
      <c r="IQF91" s="202"/>
      <c r="IQG91" s="202"/>
      <c r="IQH91" s="203"/>
      <c r="IQI91" s="204"/>
      <c r="IQJ91" s="204"/>
      <c r="IQK91" s="204"/>
      <c r="IQL91" s="205"/>
      <c r="IQM91" s="206"/>
      <c r="IQN91" s="207"/>
      <c r="IQO91" s="207"/>
      <c r="IQP91" s="208"/>
      <c r="IQQ91" s="209"/>
      <c r="IQR91" s="207"/>
      <c r="IQS91" s="210"/>
      <c r="IQT91" s="209"/>
      <c r="IQU91" s="204"/>
      <c r="IQV91" s="204"/>
      <c r="IQW91" s="204"/>
      <c r="IQX91" s="199"/>
      <c r="IQY91" s="167"/>
      <c r="IQZ91" s="199"/>
      <c r="IRA91" s="200"/>
      <c r="IRB91" s="201"/>
      <c r="IRC91" s="202"/>
      <c r="IRD91" s="202"/>
      <c r="IRE91" s="202"/>
      <c r="IRF91" s="202"/>
      <c r="IRG91" s="203"/>
      <c r="IRH91" s="204"/>
      <c r="IRI91" s="204"/>
      <c r="IRJ91" s="204"/>
      <c r="IRK91" s="205"/>
      <c r="IRL91" s="206"/>
      <c r="IRM91" s="207"/>
      <c r="IRN91" s="207"/>
      <c r="IRO91" s="208"/>
      <c r="IRP91" s="209"/>
      <c r="IRQ91" s="207"/>
      <c r="IRR91" s="210"/>
      <c r="IRS91" s="209"/>
      <c r="IRT91" s="204"/>
      <c r="IRU91" s="204"/>
      <c r="IRV91" s="204"/>
      <c r="IRW91" s="199"/>
      <c r="IRX91" s="167"/>
      <c r="IRY91" s="199"/>
      <c r="IRZ91" s="200"/>
      <c r="ISA91" s="201"/>
      <c r="ISB91" s="202"/>
      <c r="ISC91" s="202"/>
      <c r="ISD91" s="202"/>
      <c r="ISE91" s="202"/>
      <c r="ISF91" s="203"/>
      <c r="ISG91" s="204"/>
      <c r="ISH91" s="204"/>
      <c r="ISI91" s="204"/>
      <c r="ISJ91" s="205"/>
      <c r="ISK91" s="206"/>
      <c r="ISL91" s="207"/>
      <c r="ISM91" s="207"/>
      <c r="ISN91" s="208"/>
      <c r="ISO91" s="209"/>
      <c r="ISP91" s="207"/>
      <c r="ISQ91" s="210"/>
      <c r="ISR91" s="209"/>
      <c r="ISS91" s="204"/>
      <c r="IST91" s="204"/>
      <c r="ISU91" s="204"/>
      <c r="ISV91" s="199"/>
      <c r="ISW91" s="167"/>
      <c r="ISX91" s="199"/>
      <c r="ISY91" s="200"/>
      <c r="ISZ91" s="201"/>
      <c r="ITA91" s="202"/>
      <c r="ITB91" s="202"/>
      <c r="ITC91" s="202"/>
      <c r="ITD91" s="202"/>
      <c r="ITE91" s="203"/>
      <c r="ITF91" s="204"/>
      <c r="ITG91" s="204"/>
      <c r="ITH91" s="204"/>
      <c r="ITI91" s="205"/>
      <c r="ITJ91" s="206"/>
      <c r="ITK91" s="207"/>
      <c r="ITL91" s="207"/>
      <c r="ITM91" s="208"/>
      <c r="ITN91" s="209"/>
      <c r="ITO91" s="207"/>
      <c r="ITP91" s="210"/>
      <c r="ITQ91" s="209"/>
      <c r="ITR91" s="204"/>
      <c r="ITS91" s="204"/>
      <c r="ITT91" s="204"/>
      <c r="ITU91" s="199"/>
      <c r="ITV91" s="167"/>
      <c r="ITW91" s="199"/>
      <c r="ITX91" s="200"/>
      <c r="ITY91" s="201"/>
      <c r="ITZ91" s="202"/>
      <c r="IUA91" s="202"/>
      <c r="IUB91" s="202"/>
      <c r="IUC91" s="202"/>
      <c r="IUD91" s="203"/>
      <c r="IUE91" s="204"/>
      <c r="IUF91" s="204"/>
      <c r="IUG91" s="204"/>
      <c r="IUH91" s="205"/>
      <c r="IUI91" s="206"/>
      <c r="IUJ91" s="207"/>
      <c r="IUK91" s="207"/>
      <c r="IUL91" s="208"/>
      <c r="IUM91" s="209"/>
      <c r="IUN91" s="207"/>
      <c r="IUO91" s="210"/>
      <c r="IUP91" s="209"/>
      <c r="IUQ91" s="204"/>
      <c r="IUR91" s="204"/>
      <c r="IUS91" s="204"/>
      <c r="IUT91" s="199"/>
      <c r="IUU91" s="167"/>
      <c r="IUV91" s="199"/>
      <c r="IUW91" s="200"/>
      <c r="IUX91" s="201"/>
      <c r="IUY91" s="202"/>
      <c r="IUZ91" s="202"/>
      <c r="IVA91" s="202"/>
      <c r="IVB91" s="202"/>
      <c r="IVC91" s="203"/>
      <c r="IVD91" s="204"/>
      <c r="IVE91" s="204"/>
      <c r="IVF91" s="204"/>
      <c r="IVG91" s="205"/>
      <c r="IVH91" s="206"/>
      <c r="IVI91" s="207"/>
      <c r="IVJ91" s="207"/>
      <c r="IVK91" s="208"/>
      <c r="IVL91" s="209"/>
      <c r="IVM91" s="207"/>
      <c r="IVN91" s="210"/>
      <c r="IVO91" s="209"/>
      <c r="IVP91" s="204"/>
      <c r="IVQ91" s="204"/>
      <c r="IVR91" s="204"/>
      <c r="IVS91" s="199"/>
      <c r="IVT91" s="167"/>
      <c r="IVU91" s="199"/>
      <c r="IVV91" s="200"/>
      <c r="IVW91" s="201"/>
      <c r="IVX91" s="202"/>
      <c r="IVY91" s="202"/>
      <c r="IVZ91" s="202"/>
      <c r="IWA91" s="202"/>
      <c r="IWB91" s="203"/>
      <c r="IWC91" s="204"/>
      <c r="IWD91" s="204"/>
      <c r="IWE91" s="204"/>
      <c r="IWF91" s="205"/>
      <c r="IWG91" s="206"/>
      <c r="IWH91" s="207"/>
      <c r="IWI91" s="207"/>
      <c r="IWJ91" s="208"/>
      <c r="IWK91" s="209"/>
      <c r="IWL91" s="207"/>
      <c r="IWM91" s="210"/>
      <c r="IWN91" s="209"/>
      <c r="IWO91" s="204"/>
      <c r="IWP91" s="204"/>
      <c r="IWQ91" s="204"/>
      <c r="IWR91" s="199"/>
      <c r="IWS91" s="167"/>
      <c r="IWT91" s="199"/>
      <c r="IWU91" s="200"/>
      <c r="IWV91" s="201"/>
      <c r="IWW91" s="202"/>
      <c r="IWX91" s="202"/>
      <c r="IWY91" s="202"/>
      <c r="IWZ91" s="202"/>
      <c r="IXA91" s="203"/>
      <c r="IXB91" s="204"/>
      <c r="IXC91" s="204"/>
      <c r="IXD91" s="204"/>
      <c r="IXE91" s="205"/>
      <c r="IXF91" s="206"/>
      <c r="IXG91" s="207"/>
      <c r="IXH91" s="207"/>
      <c r="IXI91" s="208"/>
      <c r="IXJ91" s="209"/>
      <c r="IXK91" s="207"/>
      <c r="IXL91" s="210"/>
      <c r="IXM91" s="209"/>
      <c r="IXN91" s="204"/>
      <c r="IXO91" s="204"/>
      <c r="IXP91" s="204"/>
      <c r="IXQ91" s="199"/>
      <c r="IXR91" s="167"/>
      <c r="IXS91" s="199"/>
      <c r="IXT91" s="200"/>
      <c r="IXU91" s="201"/>
      <c r="IXV91" s="202"/>
      <c r="IXW91" s="202"/>
      <c r="IXX91" s="202"/>
      <c r="IXY91" s="202"/>
      <c r="IXZ91" s="203"/>
      <c r="IYA91" s="204"/>
      <c r="IYB91" s="204"/>
      <c r="IYC91" s="204"/>
      <c r="IYD91" s="205"/>
      <c r="IYE91" s="206"/>
      <c r="IYF91" s="207"/>
      <c r="IYG91" s="207"/>
      <c r="IYH91" s="208"/>
      <c r="IYI91" s="209"/>
      <c r="IYJ91" s="207"/>
      <c r="IYK91" s="210"/>
      <c r="IYL91" s="209"/>
      <c r="IYM91" s="204"/>
      <c r="IYN91" s="204"/>
      <c r="IYO91" s="204"/>
      <c r="IYP91" s="199"/>
      <c r="IYQ91" s="167"/>
      <c r="IYR91" s="199"/>
      <c r="IYS91" s="200"/>
      <c r="IYT91" s="201"/>
      <c r="IYU91" s="202"/>
      <c r="IYV91" s="202"/>
      <c r="IYW91" s="202"/>
      <c r="IYX91" s="202"/>
      <c r="IYY91" s="203"/>
      <c r="IYZ91" s="204"/>
      <c r="IZA91" s="204"/>
      <c r="IZB91" s="204"/>
      <c r="IZC91" s="205"/>
      <c r="IZD91" s="206"/>
      <c r="IZE91" s="207"/>
      <c r="IZF91" s="207"/>
      <c r="IZG91" s="208"/>
      <c r="IZH91" s="209"/>
      <c r="IZI91" s="207"/>
      <c r="IZJ91" s="210"/>
      <c r="IZK91" s="209"/>
      <c r="IZL91" s="204"/>
      <c r="IZM91" s="204"/>
      <c r="IZN91" s="204"/>
      <c r="IZO91" s="199"/>
      <c r="IZP91" s="167"/>
      <c r="IZQ91" s="199"/>
      <c r="IZR91" s="200"/>
      <c r="IZS91" s="201"/>
      <c r="IZT91" s="202"/>
      <c r="IZU91" s="202"/>
      <c r="IZV91" s="202"/>
      <c r="IZW91" s="202"/>
      <c r="IZX91" s="203"/>
      <c r="IZY91" s="204"/>
      <c r="IZZ91" s="204"/>
      <c r="JAA91" s="204"/>
      <c r="JAB91" s="205"/>
      <c r="JAC91" s="206"/>
      <c r="JAD91" s="207"/>
      <c r="JAE91" s="207"/>
      <c r="JAF91" s="208"/>
      <c r="JAG91" s="209"/>
      <c r="JAH91" s="207"/>
      <c r="JAI91" s="210"/>
      <c r="JAJ91" s="209"/>
      <c r="JAK91" s="204"/>
      <c r="JAL91" s="204"/>
      <c r="JAM91" s="204"/>
      <c r="JAN91" s="199"/>
      <c r="JAO91" s="167"/>
      <c r="JAP91" s="199"/>
      <c r="JAQ91" s="200"/>
      <c r="JAR91" s="201"/>
      <c r="JAS91" s="202"/>
      <c r="JAT91" s="202"/>
      <c r="JAU91" s="202"/>
      <c r="JAV91" s="202"/>
      <c r="JAW91" s="203"/>
      <c r="JAX91" s="204"/>
      <c r="JAY91" s="204"/>
      <c r="JAZ91" s="204"/>
      <c r="JBA91" s="205"/>
      <c r="JBB91" s="206"/>
      <c r="JBC91" s="207"/>
      <c r="JBD91" s="207"/>
      <c r="JBE91" s="208"/>
      <c r="JBF91" s="209"/>
      <c r="JBG91" s="207"/>
      <c r="JBH91" s="210"/>
      <c r="JBI91" s="209"/>
      <c r="JBJ91" s="204"/>
      <c r="JBK91" s="204"/>
      <c r="JBL91" s="204"/>
      <c r="JBM91" s="199"/>
      <c r="JBN91" s="167"/>
      <c r="JBO91" s="199"/>
      <c r="JBP91" s="200"/>
      <c r="JBQ91" s="201"/>
      <c r="JBR91" s="202"/>
      <c r="JBS91" s="202"/>
      <c r="JBT91" s="202"/>
      <c r="JBU91" s="202"/>
      <c r="JBV91" s="203"/>
      <c r="JBW91" s="204"/>
      <c r="JBX91" s="204"/>
      <c r="JBY91" s="204"/>
      <c r="JBZ91" s="205"/>
      <c r="JCA91" s="206"/>
      <c r="JCB91" s="207"/>
      <c r="JCC91" s="207"/>
      <c r="JCD91" s="208"/>
      <c r="JCE91" s="209"/>
      <c r="JCF91" s="207"/>
      <c r="JCG91" s="210"/>
      <c r="JCH91" s="209"/>
      <c r="JCI91" s="204"/>
      <c r="JCJ91" s="204"/>
      <c r="JCK91" s="204"/>
      <c r="JCL91" s="199"/>
      <c r="JCM91" s="167"/>
      <c r="JCN91" s="199"/>
      <c r="JCO91" s="200"/>
      <c r="JCP91" s="201"/>
      <c r="JCQ91" s="202"/>
      <c r="JCR91" s="202"/>
      <c r="JCS91" s="202"/>
      <c r="JCT91" s="202"/>
      <c r="JCU91" s="203"/>
      <c r="JCV91" s="204"/>
      <c r="JCW91" s="204"/>
      <c r="JCX91" s="204"/>
      <c r="JCY91" s="205"/>
      <c r="JCZ91" s="206"/>
      <c r="JDA91" s="207"/>
      <c r="JDB91" s="207"/>
      <c r="JDC91" s="208"/>
      <c r="JDD91" s="209"/>
      <c r="JDE91" s="207"/>
      <c r="JDF91" s="210"/>
      <c r="JDG91" s="209"/>
      <c r="JDH91" s="204"/>
      <c r="JDI91" s="204"/>
      <c r="JDJ91" s="204"/>
      <c r="JDK91" s="199"/>
      <c r="JDL91" s="167"/>
      <c r="JDM91" s="199"/>
      <c r="JDN91" s="200"/>
      <c r="JDO91" s="201"/>
      <c r="JDP91" s="202"/>
      <c r="JDQ91" s="202"/>
      <c r="JDR91" s="202"/>
      <c r="JDS91" s="202"/>
      <c r="JDT91" s="203"/>
      <c r="JDU91" s="204"/>
      <c r="JDV91" s="204"/>
      <c r="JDW91" s="204"/>
      <c r="JDX91" s="205"/>
      <c r="JDY91" s="206"/>
      <c r="JDZ91" s="207"/>
      <c r="JEA91" s="207"/>
      <c r="JEB91" s="208"/>
      <c r="JEC91" s="209"/>
      <c r="JED91" s="207"/>
      <c r="JEE91" s="210"/>
      <c r="JEF91" s="209"/>
      <c r="JEG91" s="204"/>
      <c r="JEH91" s="204"/>
      <c r="JEI91" s="204"/>
      <c r="JEJ91" s="199"/>
      <c r="JEK91" s="167"/>
      <c r="JEL91" s="199"/>
      <c r="JEM91" s="200"/>
      <c r="JEN91" s="201"/>
      <c r="JEO91" s="202"/>
      <c r="JEP91" s="202"/>
      <c r="JEQ91" s="202"/>
      <c r="JER91" s="202"/>
      <c r="JES91" s="203"/>
      <c r="JET91" s="204"/>
      <c r="JEU91" s="204"/>
      <c r="JEV91" s="204"/>
      <c r="JEW91" s="205"/>
      <c r="JEX91" s="206"/>
      <c r="JEY91" s="207"/>
      <c r="JEZ91" s="207"/>
      <c r="JFA91" s="208"/>
      <c r="JFB91" s="209"/>
      <c r="JFC91" s="207"/>
      <c r="JFD91" s="210"/>
      <c r="JFE91" s="209"/>
      <c r="JFF91" s="204"/>
      <c r="JFG91" s="204"/>
      <c r="JFH91" s="204"/>
      <c r="JFI91" s="199"/>
      <c r="JFJ91" s="167"/>
      <c r="JFK91" s="199"/>
      <c r="JFL91" s="200"/>
      <c r="JFM91" s="201"/>
      <c r="JFN91" s="202"/>
      <c r="JFO91" s="202"/>
      <c r="JFP91" s="202"/>
      <c r="JFQ91" s="202"/>
      <c r="JFR91" s="203"/>
      <c r="JFS91" s="204"/>
      <c r="JFT91" s="204"/>
      <c r="JFU91" s="204"/>
      <c r="JFV91" s="205"/>
      <c r="JFW91" s="206"/>
      <c r="JFX91" s="207"/>
      <c r="JFY91" s="207"/>
      <c r="JFZ91" s="208"/>
      <c r="JGA91" s="209"/>
      <c r="JGB91" s="207"/>
      <c r="JGC91" s="210"/>
      <c r="JGD91" s="209"/>
      <c r="JGE91" s="204"/>
      <c r="JGF91" s="204"/>
      <c r="JGG91" s="204"/>
      <c r="JGH91" s="199"/>
      <c r="JGI91" s="167"/>
      <c r="JGJ91" s="199"/>
      <c r="JGK91" s="200"/>
      <c r="JGL91" s="201"/>
      <c r="JGM91" s="202"/>
      <c r="JGN91" s="202"/>
      <c r="JGO91" s="202"/>
      <c r="JGP91" s="202"/>
      <c r="JGQ91" s="203"/>
      <c r="JGR91" s="204"/>
      <c r="JGS91" s="204"/>
      <c r="JGT91" s="204"/>
      <c r="JGU91" s="205"/>
      <c r="JGV91" s="206"/>
      <c r="JGW91" s="207"/>
      <c r="JGX91" s="207"/>
      <c r="JGY91" s="208"/>
      <c r="JGZ91" s="209"/>
      <c r="JHA91" s="207"/>
      <c r="JHB91" s="210"/>
      <c r="JHC91" s="209"/>
      <c r="JHD91" s="204"/>
      <c r="JHE91" s="204"/>
      <c r="JHF91" s="204"/>
      <c r="JHG91" s="199"/>
      <c r="JHH91" s="167"/>
      <c r="JHI91" s="199"/>
      <c r="JHJ91" s="200"/>
      <c r="JHK91" s="201"/>
      <c r="JHL91" s="202"/>
      <c r="JHM91" s="202"/>
      <c r="JHN91" s="202"/>
      <c r="JHO91" s="202"/>
      <c r="JHP91" s="203"/>
      <c r="JHQ91" s="204"/>
      <c r="JHR91" s="204"/>
      <c r="JHS91" s="204"/>
      <c r="JHT91" s="205"/>
      <c r="JHU91" s="206"/>
      <c r="JHV91" s="207"/>
      <c r="JHW91" s="207"/>
      <c r="JHX91" s="208"/>
      <c r="JHY91" s="209"/>
      <c r="JHZ91" s="207"/>
      <c r="JIA91" s="210"/>
      <c r="JIB91" s="209"/>
      <c r="JIC91" s="204"/>
      <c r="JID91" s="204"/>
      <c r="JIE91" s="204"/>
      <c r="JIF91" s="199"/>
      <c r="JIG91" s="167"/>
      <c r="JIH91" s="199"/>
      <c r="JII91" s="200"/>
      <c r="JIJ91" s="201"/>
      <c r="JIK91" s="202"/>
      <c r="JIL91" s="202"/>
      <c r="JIM91" s="202"/>
      <c r="JIN91" s="202"/>
      <c r="JIO91" s="203"/>
      <c r="JIP91" s="204"/>
      <c r="JIQ91" s="204"/>
      <c r="JIR91" s="204"/>
      <c r="JIS91" s="205"/>
      <c r="JIT91" s="206"/>
      <c r="JIU91" s="207"/>
      <c r="JIV91" s="207"/>
      <c r="JIW91" s="208"/>
      <c r="JIX91" s="209"/>
      <c r="JIY91" s="207"/>
      <c r="JIZ91" s="210"/>
      <c r="JJA91" s="209"/>
      <c r="JJB91" s="204"/>
      <c r="JJC91" s="204"/>
      <c r="JJD91" s="204"/>
      <c r="JJE91" s="199"/>
      <c r="JJF91" s="167"/>
      <c r="JJG91" s="199"/>
      <c r="JJH91" s="200"/>
      <c r="JJI91" s="201"/>
      <c r="JJJ91" s="202"/>
      <c r="JJK91" s="202"/>
      <c r="JJL91" s="202"/>
      <c r="JJM91" s="202"/>
      <c r="JJN91" s="203"/>
      <c r="JJO91" s="204"/>
      <c r="JJP91" s="204"/>
      <c r="JJQ91" s="204"/>
      <c r="JJR91" s="205"/>
      <c r="JJS91" s="206"/>
      <c r="JJT91" s="207"/>
      <c r="JJU91" s="207"/>
      <c r="JJV91" s="208"/>
      <c r="JJW91" s="209"/>
      <c r="JJX91" s="207"/>
      <c r="JJY91" s="210"/>
      <c r="JJZ91" s="209"/>
      <c r="JKA91" s="204"/>
      <c r="JKB91" s="204"/>
      <c r="JKC91" s="204"/>
      <c r="JKD91" s="199"/>
      <c r="JKE91" s="167"/>
      <c r="JKF91" s="199"/>
      <c r="JKG91" s="200"/>
      <c r="JKH91" s="201"/>
      <c r="JKI91" s="202"/>
      <c r="JKJ91" s="202"/>
      <c r="JKK91" s="202"/>
      <c r="JKL91" s="202"/>
      <c r="JKM91" s="203"/>
      <c r="JKN91" s="204"/>
      <c r="JKO91" s="204"/>
      <c r="JKP91" s="204"/>
      <c r="JKQ91" s="205"/>
      <c r="JKR91" s="206"/>
      <c r="JKS91" s="207"/>
      <c r="JKT91" s="207"/>
      <c r="JKU91" s="208"/>
      <c r="JKV91" s="209"/>
      <c r="JKW91" s="207"/>
      <c r="JKX91" s="210"/>
      <c r="JKY91" s="209"/>
      <c r="JKZ91" s="204"/>
      <c r="JLA91" s="204"/>
      <c r="JLB91" s="204"/>
      <c r="JLC91" s="199"/>
      <c r="JLD91" s="167"/>
      <c r="JLE91" s="199"/>
      <c r="JLF91" s="200"/>
      <c r="JLG91" s="201"/>
      <c r="JLH91" s="202"/>
      <c r="JLI91" s="202"/>
      <c r="JLJ91" s="202"/>
      <c r="JLK91" s="202"/>
      <c r="JLL91" s="203"/>
      <c r="JLM91" s="204"/>
      <c r="JLN91" s="204"/>
      <c r="JLO91" s="204"/>
      <c r="JLP91" s="205"/>
      <c r="JLQ91" s="206"/>
      <c r="JLR91" s="207"/>
      <c r="JLS91" s="207"/>
      <c r="JLT91" s="208"/>
      <c r="JLU91" s="209"/>
      <c r="JLV91" s="207"/>
      <c r="JLW91" s="210"/>
      <c r="JLX91" s="209"/>
      <c r="JLY91" s="204"/>
      <c r="JLZ91" s="204"/>
      <c r="JMA91" s="204"/>
      <c r="JMB91" s="199"/>
      <c r="JMC91" s="167"/>
      <c r="JMD91" s="199"/>
      <c r="JME91" s="200"/>
      <c r="JMF91" s="201"/>
      <c r="JMG91" s="202"/>
      <c r="JMH91" s="202"/>
      <c r="JMI91" s="202"/>
      <c r="JMJ91" s="202"/>
      <c r="JMK91" s="203"/>
      <c r="JML91" s="204"/>
      <c r="JMM91" s="204"/>
      <c r="JMN91" s="204"/>
      <c r="JMO91" s="205"/>
      <c r="JMP91" s="206"/>
      <c r="JMQ91" s="207"/>
      <c r="JMR91" s="207"/>
      <c r="JMS91" s="208"/>
      <c r="JMT91" s="209"/>
      <c r="JMU91" s="207"/>
      <c r="JMV91" s="210"/>
      <c r="JMW91" s="209"/>
      <c r="JMX91" s="204"/>
      <c r="JMY91" s="204"/>
      <c r="JMZ91" s="204"/>
      <c r="JNA91" s="199"/>
      <c r="JNB91" s="167"/>
      <c r="JNC91" s="199"/>
      <c r="JND91" s="200"/>
      <c r="JNE91" s="201"/>
      <c r="JNF91" s="202"/>
      <c r="JNG91" s="202"/>
      <c r="JNH91" s="202"/>
      <c r="JNI91" s="202"/>
      <c r="JNJ91" s="203"/>
      <c r="JNK91" s="204"/>
      <c r="JNL91" s="204"/>
      <c r="JNM91" s="204"/>
      <c r="JNN91" s="205"/>
      <c r="JNO91" s="206"/>
      <c r="JNP91" s="207"/>
      <c r="JNQ91" s="207"/>
      <c r="JNR91" s="208"/>
      <c r="JNS91" s="209"/>
      <c r="JNT91" s="207"/>
      <c r="JNU91" s="210"/>
      <c r="JNV91" s="209"/>
      <c r="JNW91" s="204"/>
      <c r="JNX91" s="204"/>
      <c r="JNY91" s="204"/>
      <c r="JNZ91" s="199"/>
      <c r="JOA91" s="167"/>
      <c r="JOB91" s="199"/>
      <c r="JOC91" s="200"/>
      <c r="JOD91" s="201"/>
      <c r="JOE91" s="202"/>
      <c r="JOF91" s="202"/>
      <c r="JOG91" s="202"/>
      <c r="JOH91" s="202"/>
      <c r="JOI91" s="203"/>
      <c r="JOJ91" s="204"/>
      <c r="JOK91" s="204"/>
      <c r="JOL91" s="204"/>
      <c r="JOM91" s="205"/>
      <c r="JON91" s="206"/>
      <c r="JOO91" s="207"/>
      <c r="JOP91" s="207"/>
      <c r="JOQ91" s="208"/>
      <c r="JOR91" s="209"/>
      <c r="JOS91" s="207"/>
      <c r="JOT91" s="210"/>
      <c r="JOU91" s="209"/>
      <c r="JOV91" s="204"/>
      <c r="JOW91" s="204"/>
      <c r="JOX91" s="204"/>
      <c r="JOY91" s="199"/>
      <c r="JOZ91" s="167"/>
      <c r="JPA91" s="199"/>
      <c r="JPB91" s="200"/>
      <c r="JPC91" s="201"/>
      <c r="JPD91" s="202"/>
      <c r="JPE91" s="202"/>
      <c r="JPF91" s="202"/>
      <c r="JPG91" s="202"/>
      <c r="JPH91" s="203"/>
      <c r="JPI91" s="204"/>
      <c r="JPJ91" s="204"/>
      <c r="JPK91" s="204"/>
      <c r="JPL91" s="205"/>
      <c r="JPM91" s="206"/>
      <c r="JPN91" s="207"/>
      <c r="JPO91" s="207"/>
      <c r="JPP91" s="208"/>
      <c r="JPQ91" s="209"/>
      <c r="JPR91" s="207"/>
      <c r="JPS91" s="210"/>
      <c r="JPT91" s="209"/>
      <c r="JPU91" s="204"/>
      <c r="JPV91" s="204"/>
      <c r="JPW91" s="204"/>
      <c r="JPX91" s="199"/>
      <c r="JPY91" s="167"/>
      <c r="JPZ91" s="199"/>
      <c r="JQA91" s="200"/>
      <c r="JQB91" s="201"/>
      <c r="JQC91" s="202"/>
      <c r="JQD91" s="202"/>
      <c r="JQE91" s="202"/>
      <c r="JQF91" s="202"/>
      <c r="JQG91" s="203"/>
      <c r="JQH91" s="204"/>
      <c r="JQI91" s="204"/>
      <c r="JQJ91" s="204"/>
      <c r="JQK91" s="205"/>
      <c r="JQL91" s="206"/>
      <c r="JQM91" s="207"/>
      <c r="JQN91" s="207"/>
      <c r="JQO91" s="208"/>
      <c r="JQP91" s="209"/>
      <c r="JQQ91" s="207"/>
      <c r="JQR91" s="210"/>
      <c r="JQS91" s="209"/>
      <c r="JQT91" s="204"/>
      <c r="JQU91" s="204"/>
      <c r="JQV91" s="204"/>
      <c r="JQW91" s="199"/>
      <c r="JQX91" s="167"/>
      <c r="JQY91" s="199"/>
      <c r="JQZ91" s="200"/>
      <c r="JRA91" s="201"/>
      <c r="JRB91" s="202"/>
      <c r="JRC91" s="202"/>
      <c r="JRD91" s="202"/>
      <c r="JRE91" s="202"/>
      <c r="JRF91" s="203"/>
      <c r="JRG91" s="204"/>
      <c r="JRH91" s="204"/>
      <c r="JRI91" s="204"/>
      <c r="JRJ91" s="205"/>
      <c r="JRK91" s="206"/>
      <c r="JRL91" s="207"/>
      <c r="JRM91" s="207"/>
      <c r="JRN91" s="208"/>
      <c r="JRO91" s="209"/>
      <c r="JRP91" s="207"/>
      <c r="JRQ91" s="210"/>
      <c r="JRR91" s="209"/>
      <c r="JRS91" s="204"/>
      <c r="JRT91" s="204"/>
      <c r="JRU91" s="204"/>
      <c r="JRV91" s="199"/>
      <c r="JRW91" s="167"/>
      <c r="JRX91" s="199"/>
      <c r="JRY91" s="200"/>
      <c r="JRZ91" s="201"/>
      <c r="JSA91" s="202"/>
      <c r="JSB91" s="202"/>
      <c r="JSC91" s="202"/>
      <c r="JSD91" s="202"/>
      <c r="JSE91" s="203"/>
      <c r="JSF91" s="204"/>
      <c r="JSG91" s="204"/>
      <c r="JSH91" s="204"/>
      <c r="JSI91" s="205"/>
      <c r="JSJ91" s="206"/>
      <c r="JSK91" s="207"/>
      <c r="JSL91" s="207"/>
      <c r="JSM91" s="208"/>
      <c r="JSN91" s="209"/>
      <c r="JSO91" s="207"/>
      <c r="JSP91" s="210"/>
      <c r="JSQ91" s="209"/>
      <c r="JSR91" s="204"/>
      <c r="JSS91" s="204"/>
      <c r="JST91" s="204"/>
      <c r="JSU91" s="199"/>
      <c r="JSV91" s="167"/>
      <c r="JSW91" s="199"/>
      <c r="JSX91" s="200"/>
      <c r="JSY91" s="201"/>
      <c r="JSZ91" s="202"/>
      <c r="JTA91" s="202"/>
      <c r="JTB91" s="202"/>
      <c r="JTC91" s="202"/>
      <c r="JTD91" s="203"/>
      <c r="JTE91" s="204"/>
      <c r="JTF91" s="204"/>
      <c r="JTG91" s="204"/>
      <c r="JTH91" s="205"/>
      <c r="JTI91" s="206"/>
      <c r="JTJ91" s="207"/>
      <c r="JTK91" s="207"/>
      <c r="JTL91" s="208"/>
      <c r="JTM91" s="209"/>
      <c r="JTN91" s="207"/>
      <c r="JTO91" s="210"/>
      <c r="JTP91" s="209"/>
      <c r="JTQ91" s="204"/>
      <c r="JTR91" s="204"/>
      <c r="JTS91" s="204"/>
      <c r="JTT91" s="199"/>
      <c r="JTU91" s="167"/>
      <c r="JTV91" s="199"/>
      <c r="JTW91" s="200"/>
      <c r="JTX91" s="201"/>
      <c r="JTY91" s="202"/>
      <c r="JTZ91" s="202"/>
      <c r="JUA91" s="202"/>
      <c r="JUB91" s="202"/>
      <c r="JUC91" s="203"/>
      <c r="JUD91" s="204"/>
      <c r="JUE91" s="204"/>
      <c r="JUF91" s="204"/>
      <c r="JUG91" s="205"/>
      <c r="JUH91" s="206"/>
      <c r="JUI91" s="207"/>
      <c r="JUJ91" s="207"/>
      <c r="JUK91" s="208"/>
      <c r="JUL91" s="209"/>
      <c r="JUM91" s="207"/>
      <c r="JUN91" s="210"/>
      <c r="JUO91" s="209"/>
      <c r="JUP91" s="204"/>
      <c r="JUQ91" s="204"/>
      <c r="JUR91" s="204"/>
      <c r="JUS91" s="199"/>
      <c r="JUT91" s="167"/>
      <c r="JUU91" s="199"/>
      <c r="JUV91" s="200"/>
      <c r="JUW91" s="201"/>
      <c r="JUX91" s="202"/>
      <c r="JUY91" s="202"/>
      <c r="JUZ91" s="202"/>
      <c r="JVA91" s="202"/>
      <c r="JVB91" s="203"/>
      <c r="JVC91" s="204"/>
      <c r="JVD91" s="204"/>
      <c r="JVE91" s="204"/>
      <c r="JVF91" s="205"/>
      <c r="JVG91" s="206"/>
      <c r="JVH91" s="207"/>
      <c r="JVI91" s="207"/>
      <c r="JVJ91" s="208"/>
      <c r="JVK91" s="209"/>
      <c r="JVL91" s="207"/>
      <c r="JVM91" s="210"/>
      <c r="JVN91" s="209"/>
      <c r="JVO91" s="204"/>
      <c r="JVP91" s="204"/>
      <c r="JVQ91" s="204"/>
      <c r="JVR91" s="199"/>
      <c r="JVS91" s="167"/>
      <c r="JVT91" s="199"/>
      <c r="JVU91" s="200"/>
      <c r="JVV91" s="201"/>
      <c r="JVW91" s="202"/>
      <c r="JVX91" s="202"/>
      <c r="JVY91" s="202"/>
      <c r="JVZ91" s="202"/>
      <c r="JWA91" s="203"/>
      <c r="JWB91" s="204"/>
      <c r="JWC91" s="204"/>
      <c r="JWD91" s="204"/>
      <c r="JWE91" s="205"/>
      <c r="JWF91" s="206"/>
      <c r="JWG91" s="207"/>
      <c r="JWH91" s="207"/>
      <c r="JWI91" s="208"/>
      <c r="JWJ91" s="209"/>
      <c r="JWK91" s="207"/>
      <c r="JWL91" s="210"/>
      <c r="JWM91" s="209"/>
      <c r="JWN91" s="204"/>
      <c r="JWO91" s="204"/>
      <c r="JWP91" s="204"/>
      <c r="JWQ91" s="199"/>
      <c r="JWR91" s="167"/>
      <c r="JWS91" s="199"/>
      <c r="JWT91" s="200"/>
      <c r="JWU91" s="201"/>
      <c r="JWV91" s="202"/>
      <c r="JWW91" s="202"/>
      <c r="JWX91" s="202"/>
      <c r="JWY91" s="202"/>
      <c r="JWZ91" s="203"/>
      <c r="JXA91" s="204"/>
      <c r="JXB91" s="204"/>
      <c r="JXC91" s="204"/>
      <c r="JXD91" s="205"/>
      <c r="JXE91" s="206"/>
      <c r="JXF91" s="207"/>
      <c r="JXG91" s="207"/>
      <c r="JXH91" s="208"/>
      <c r="JXI91" s="209"/>
      <c r="JXJ91" s="207"/>
      <c r="JXK91" s="210"/>
      <c r="JXL91" s="209"/>
      <c r="JXM91" s="204"/>
      <c r="JXN91" s="204"/>
      <c r="JXO91" s="204"/>
      <c r="JXP91" s="199"/>
      <c r="JXQ91" s="167"/>
      <c r="JXR91" s="199"/>
      <c r="JXS91" s="200"/>
      <c r="JXT91" s="201"/>
      <c r="JXU91" s="202"/>
      <c r="JXV91" s="202"/>
      <c r="JXW91" s="202"/>
      <c r="JXX91" s="202"/>
      <c r="JXY91" s="203"/>
      <c r="JXZ91" s="204"/>
      <c r="JYA91" s="204"/>
      <c r="JYB91" s="204"/>
      <c r="JYC91" s="205"/>
      <c r="JYD91" s="206"/>
      <c r="JYE91" s="207"/>
      <c r="JYF91" s="207"/>
      <c r="JYG91" s="208"/>
      <c r="JYH91" s="209"/>
      <c r="JYI91" s="207"/>
      <c r="JYJ91" s="210"/>
      <c r="JYK91" s="209"/>
      <c r="JYL91" s="204"/>
      <c r="JYM91" s="204"/>
      <c r="JYN91" s="204"/>
      <c r="JYO91" s="199"/>
      <c r="JYP91" s="167"/>
      <c r="JYQ91" s="199"/>
      <c r="JYR91" s="200"/>
      <c r="JYS91" s="201"/>
      <c r="JYT91" s="202"/>
      <c r="JYU91" s="202"/>
      <c r="JYV91" s="202"/>
      <c r="JYW91" s="202"/>
      <c r="JYX91" s="203"/>
      <c r="JYY91" s="204"/>
      <c r="JYZ91" s="204"/>
      <c r="JZA91" s="204"/>
      <c r="JZB91" s="205"/>
      <c r="JZC91" s="206"/>
      <c r="JZD91" s="207"/>
      <c r="JZE91" s="207"/>
      <c r="JZF91" s="208"/>
      <c r="JZG91" s="209"/>
      <c r="JZH91" s="207"/>
      <c r="JZI91" s="210"/>
      <c r="JZJ91" s="209"/>
      <c r="JZK91" s="204"/>
      <c r="JZL91" s="204"/>
      <c r="JZM91" s="204"/>
      <c r="JZN91" s="199"/>
      <c r="JZO91" s="167"/>
      <c r="JZP91" s="199"/>
      <c r="JZQ91" s="200"/>
      <c r="JZR91" s="201"/>
      <c r="JZS91" s="202"/>
      <c r="JZT91" s="202"/>
      <c r="JZU91" s="202"/>
      <c r="JZV91" s="202"/>
      <c r="JZW91" s="203"/>
      <c r="JZX91" s="204"/>
      <c r="JZY91" s="204"/>
      <c r="JZZ91" s="204"/>
      <c r="KAA91" s="205"/>
      <c r="KAB91" s="206"/>
      <c r="KAC91" s="207"/>
      <c r="KAD91" s="207"/>
      <c r="KAE91" s="208"/>
      <c r="KAF91" s="209"/>
      <c r="KAG91" s="207"/>
      <c r="KAH91" s="210"/>
      <c r="KAI91" s="209"/>
      <c r="KAJ91" s="204"/>
      <c r="KAK91" s="204"/>
      <c r="KAL91" s="204"/>
      <c r="KAM91" s="199"/>
      <c r="KAN91" s="167"/>
      <c r="KAO91" s="199"/>
      <c r="KAP91" s="200"/>
      <c r="KAQ91" s="201"/>
      <c r="KAR91" s="202"/>
      <c r="KAS91" s="202"/>
      <c r="KAT91" s="202"/>
      <c r="KAU91" s="202"/>
      <c r="KAV91" s="203"/>
      <c r="KAW91" s="204"/>
      <c r="KAX91" s="204"/>
      <c r="KAY91" s="204"/>
      <c r="KAZ91" s="205"/>
      <c r="KBA91" s="206"/>
      <c r="KBB91" s="207"/>
      <c r="KBC91" s="207"/>
      <c r="KBD91" s="208"/>
      <c r="KBE91" s="209"/>
      <c r="KBF91" s="207"/>
      <c r="KBG91" s="210"/>
      <c r="KBH91" s="209"/>
      <c r="KBI91" s="204"/>
      <c r="KBJ91" s="204"/>
      <c r="KBK91" s="204"/>
      <c r="KBL91" s="199"/>
      <c r="KBM91" s="167"/>
      <c r="KBN91" s="199"/>
      <c r="KBO91" s="200"/>
      <c r="KBP91" s="201"/>
      <c r="KBQ91" s="202"/>
      <c r="KBR91" s="202"/>
      <c r="KBS91" s="202"/>
      <c r="KBT91" s="202"/>
      <c r="KBU91" s="203"/>
      <c r="KBV91" s="204"/>
      <c r="KBW91" s="204"/>
      <c r="KBX91" s="204"/>
      <c r="KBY91" s="205"/>
      <c r="KBZ91" s="206"/>
      <c r="KCA91" s="207"/>
      <c r="KCB91" s="207"/>
      <c r="KCC91" s="208"/>
      <c r="KCD91" s="209"/>
      <c r="KCE91" s="207"/>
      <c r="KCF91" s="210"/>
      <c r="KCG91" s="209"/>
      <c r="KCH91" s="204"/>
      <c r="KCI91" s="204"/>
      <c r="KCJ91" s="204"/>
      <c r="KCK91" s="199"/>
      <c r="KCL91" s="167"/>
      <c r="KCM91" s="199"/>
      <c r="KCN91" s="200"/>
      <c r="KCO91" s="201"/>
      <c r="KCP91" s="202"/>
      <c r="KCQ91" s="202"/>
      <c r="KCR91" s="202"/>
      <c r="KCS91" s="202"/>
      <c r="KCT91" s="203"/>
      <c r="KCU91" s="204"/>
      <c r="KCV91" s="204"/>
      <c r="KCW91" s="204"/>
      <c r="KCX91" s="205"/>
      <c r="KCY91" s="206"/>
      <c r="KCZ91" s="207"/>
      <c r="KDA91" s="207"/>
      <c r="KDB91" s="208"/>
      <c r="KDC91" s="209"/>
      <c r="KDD91" s="207"/>
      <c r="KDE91" s="210"/>
      <c r="KDF91" s="209"/>
      <c r="KDG91" s="204"/>
      <c r="KDH91" s="204"/>
      <c r="KDI91" s="204"/>
      <c r="KDJ91" s="199"/>
      <c r="KDK91" s="167"/>
      <c r="KDL91" s="199"/>
      <c r="KDM91" s="200"/>
      <c r="KDN91" s="201"/>
      <c r="KDO91" s="202"/>
      <c r="KDP91" s="202"/>
      <c r="KDQ91" s="202"/>
      <c r="KDR91" s="202"/>
      <c r="KDS91" s="203"/>
      <c r="KDT91" s="204"/>
      <c r="KDU91" s="204"/>
      <c r="KDV91" s="204"/>
      <c r="KDW91" s="205"/>
      <c r="KDX91" s="206"/>
      <c r="KDY91" s="207"/>
      <c r="KDZ91" s="207"/>
      <c r="KEA91" s="208"/>
      <c r="KEB91" s="209"/>
      <c r="KEC91" s="207"/>
      <c r="KED91" s="210"/>
      <c r="KEE91" s="209"/>
      <c r="KEF91" s="204"/>
      <c r="KEG91" s="204"/>
      <c r="KEH91" s="204"/>
      <c r="KEI91" s="199"/>
      <c r="KEJ91" s="167"/>
      <c r="KEK91" s="199"/>
      <c r="KEL91" s="200"/>
      <c r="KEM91" s="201"/>
      <c r="KEN91" s="202"/>
      <c r="KEO91" s="202"/>
      <c r="KEP91" s="202"/>
      <c r="KEQ91" s="202"/>
      <c r="KER91" s="203"/>
      <c r="KES91" s="204"/>
      <c r="KET91" s="204"/>
      <c r="KEU91" s="204"/>
      <c r="KEV91" s="205"/>
      <c r="KEW91" s="206"/>
      <c r="KEX91" s="207"/>
      <c r="KEY91" s="207"/>
      <c r="KEZ91" s="208"/>
      <c r="KFA91" s="209"/>
      <c r="KFB91" s="207"/>
      <c r="KFC91" s="210"/>
      <c r="KFD91" s="209"/>
      <c r="KFE91" s="204"/>
      <c r="KFF91" s="204"/>
      <c r="KFG91" s="204"/>
      <c r="KFH91" s="199"/>
      <c r="KFI91" s="167"/>
      <c r="KFJ91" s="199"/>
      <c r="KFK91" s="200"/>
      <c r="KFL91" s="201"/>
      <c r="KFM91" s="202"/>
      <c r="KFN91" s="202"/>
      <c r="KFO91" s="202"/>
      <c r="KFP91" s="202"/>
      <c r="KFQ91" s="203"/>
      <c r="KFR91" s="204"/>
      <c r="KFS91" s="204"/>
      <c r="KFT91" s="204"/>
      <c r="KFU91" s="205"/>
      <c r="KFV91" s="206"/>
      <c r="KFW91" s="207"/>
      <c r="KFX91" s="207"/>
      <c r="KFY91" s="208"/>
      <c r="KFZ91" s="209"/>
      <c r="KGA91" s="207"/>
      <c r="KGB91" s="210"/>
      <c r="KGC91" s="209"/>
      <c r="KGD91" s="204"/>
      <c r="KGE91" s="204"/>
      <c r="KGF91" s="204"/>
      <c r="KGG91" s="199"/>
      <c r="KGH91" s="167"/>
      <c r="KGI91" s="199"/>
      <c r="KGJ91" s="200"/>
      <c r="KGK91" s="201"/>
      <c r="KGL91" s="202"/>
      <c r="KGM91" s="202"/>
      <c r="KGN91" s="202"/>
      <c r="KGO91" s="202"/>
      <c r="KGP91" s="203"/>
      <c r="KGQ91" s="204"/>
      <c r="KGR91" s="204"/>
      <c r="KGS91" s="204"/>
      <c r="KGT91" s="205"/>
      <c r="KGU91" s="206"/>
      <c r="KGV91" s="207"/>
      <c r="KGW91" s="207"/>
      <c r="KGX91" s="208"/>
      <c r="KGY91" s="209"/>
      <c r="KGZ91" s="207"/>
      <c r="KHA91" s="210"/>
      <c r="KHB91" s="209"/>
      <c r="KHC91" s="204"/>
      <c r="KHD91" s="204"/>
      <c r="KHE91" s="204"/>
      <c r="KHF91" s="199"/>
      <c r="KHG91" s="167"/>
      <c r="KHH91" s="199"/>
      <c r="KHI91" s="200"/>
      <c r="KHJ91" s="201"/>
      <c r="KHK91" s="202"/>
      <c r="KHL91" s="202"/>
      <c r="KHM91" s="202"/>
      <c r="KHN91" s="202"/>
      <c r="KHO91" s="203"/>
      <c r="KHP91" s="204"/>
      <c r="KHQ91" s="204"/>
      <c r="KHR91" s="204"/>
      <c r="KHS91" s="205"/>
      <c r="KHT91" s="206"/>
      <c r="KHU91" s="207"/>
      <c r="KHV91" s="207"/>
      <c r="KHW91" s="208"/>
      <c r="KHX91" s="209"/>
      <c r="KHY91" s="207"/>
      <c r="KHZ91" s="210"/>
      <c r="KIA91" s="209"/>
      <c r="KIB91" s="204"/>
      <c r="KIC91" s="204"/>
      <c r="KID91" s="204"/>
      <c r="KIE91" s="199"/>
      <c r="KIF91" s="167"/>
      <c r="KIG91" s="199"/>
      <c r="KIH91" s="200"/>
      <c r="KII91" s="201"/>
      <c r="KIJ91" s="202"/>
      <c r="KIK91" s="202"/>
      <c r="KIL91" s="202"/>
      <c r="KIM91" s="202"/>
      <c r="KIN91" s="203"/>
      <c r="KIO91" s="204"/>
      <c r="KIP91" s="204"/>
      <c r="KIQ91" s="204"/>
      <c r="KIR91" s="205"/>
      <c r="KIS91" s="206"/>
      <c r="KIT91" s="207"/>
      <c r="KIU91" s="207"/>
      <c r="KIV91" s="208"/>
      <c r="KIW91" s="209"/>
      <c r="KIX91" s="207"/>
      <c r="KIY91" s="210"/>
      <c r="KIZ91" s="209"/>
      <c r="KJA91" s="204"/>
      <c r="KJB91" s="204"/>
      <c r="KJC91" s="204"/>
      <c r="KJD91" s="199"/>
      <c r="KJE91" s="167"/>
      <c r="KJF91" s="199"/>
      <c r="KJG91" s="200"/>
      <c r="KJH91" s="201"/>
      <c r="KJI91" s="202"/>
      <c r="KJJ91" s="202"/>
      <c r="KJK91" s="202"/>
      <c r="KJL91" s="202"/>
      <c r="KJM91" s="203"/>
      <c r="KJN91" s="204"/>
      <c r="KJO91" s="204"/>
      <c r="KJP91" s="204"/>
      <c r="KJQ91" s="205"/>
      <c r="KJR91" s="206"/>
      <c r="KJS91" s="207"/>
      <c r="KJT91" s="207"/>
      <c r="KJU91" s="208"/>
      <c r="KJV91" s="209"/>
      <c r="KJW91" s="207"/>
      <c r="KJX91" s="210"/>
      <c r="KJY91" s="209"/>
      <c r="KJZ91" s="204"/>
      <c r="KKA91" s="204"/>
      <c r="KKB91" s="204"/>
      <c r="KKC91" s="199"/>
      <c r="KKD91" s="167"/>
      <c r="KKE91" s="199"/>
      <c r="KKF91" s="200"/>
      <c r="KKG91" s="201"/>
      <c r="KKH91" s="202"/>
      <c r="KKI91" s="202"/>
      <c r="KKJ91" s="202"/>
      <c r="KKK91" s="202"/>
      <c r="KKL91" s="203"/>
      <c r="KKM91" s="204"/>
      <c r="KKN91" s="204"/>
      <c r="KKO91" s="204"/>
      <c r="KKP91" s="205"/>
      <c r="KKQ91" s="206"/>
      <c r="KKR91" s="207"/>
      <c r="KKS91" s="207"/>
      <c r="KKT91" s="208"/>
      <c r="KKU91" s="209"/>
      <c r="KKV91" s="207"/>
      <c r="KKW91" s="210"/>
      <c r="KKX91" s="209"/>
      <c r="KKY91" s="204"/>
      <c r="KKZ91" s="204"/>
      <c r="KLA91" s="204"/>
      <c r="KLB91" s="199"/>
      <c r="KLC91" s="167"/>
      <c r="KLD91" s="199"/>
      <c r="KLE91" s="200"/>
      <c r="KLF91" s="201"/>
      <c r="KLG91" s="202"/>
      <c r="KLH91" s="202"/>
      <c r="KLI91" s="202"/>
      <c r="KLJ91" s="202"/>
      <c r="KLK91" s="203"/>
      <c r="KLL91" s="204"/>
      <c r="KLM91" s="204"/>
      <c r="KLN91" s="204"/>
      <c r="KLO91" s="205"/>
      <c r="KLP91" s="206"/>
      <c r="KLQ91" s="207"/>
      <c r="KLR91" s="207"/>
      <c r="KLS91" s="208"/>
      <c r="KLT91" s="209"/>
      <c r="KLU91" s="207"/>
      <c r="KLV91" s="210"/>
      <c r="KLW91" s="209"/>
      <c r="KLX91" s="204"/>
      <c r="KLY91" s="204"/>
      <c r="KLZ91" s="204"/>
      <c r="KMA91" s="199"/>
      <c r="KMB91" s="167"/>
      <c r="KMC91" s="199"/>
      <c r="KMD91" s="200"/>
      <c r="KME91" s="201"/>
      <c r="KMF91" s="202"/>
      <c r="KMG91" s="202"/>
      <c r="KMH91" s="202"/>
      <c r="KMI91" s="202"/>
      <c r="KMJ91" s="203"/>
      <c r="KMK91" s="204"/>
      <c r="KML91" s="204"/>
      <c r="KMM91" s="204"/>
      <c r="KMN91" s="205"/>
      <c r="KMO91" s="206"/>
      <c r="KMP91" s="207"/>
      <c r="KMQ91" s="207"/>
      <c r="KMR91" s="208"/>
      <c r="KMS91" s="209"/>
      <c r="KMT91" s="207"/>
      <c r="KMU91" s="210"/>
      <c r="KMV91" s="209"/>
      <c r="KMW91" s="204"/>
      <c r="KMX91" s="204"/>
      <c r="KMY91" s="204"/>
      <c r="KMZ91" s="199"/>
      <c r="KNA91" s="167"/>
      <c r="KNB91" s="199"/>
      <c r="KNC91" s="200"/>
      <c r="KND91" s="201"/>
      <c r="KNE91" s="202"/>
      <c r="KNF91" s="202"/>
      <c r="KNG91" s="202"/>
      <c r="KNH91" s="202"/>
      <c r="KNI91" s="203"/>
      <c r="KNJ91" s="204"/>
      <c r="KNK91" s="204"/>
      <c r="KNL91" s="204"/>
      <c r="KNM91" s="205"/>
      <c r="KNN91" s="206"/>
      <c r="KNO91" s="207"/>
      <c r="KNP91" s="207"/>
      <c r="KNQ91" s="208"/>
      <c r="KNR91" s="209"/>
      <c r="KNS91" s="207"/>
      <c r="KNT91" s="210"/>
      <c r="KNU91" s="209"/>
      <c r="KNV91" s="204"/>
      <c r="KNW91" s="204"/>
      <c r="KNX91" s="204"/>
      <c r="KNY91" s="199"/>
      <c r="KNZ91" s="167"/>
      <c r="KOA91" s="199"/>
      <c r="KOB91" s="200"/>
      <c r="KOC91" s="201"/>
      <c r="KOD91" s="202"/>
      <c r="KOE91" s="202"/>
      <c r="KOF91" s="202"/>
      <c r="KOG91" s="202"/>
      <c r="KOH91" s="203"/>
      <c r="KOI91" s="204"/>
      <c r="KOJ91" s="204"/>
      <c r="KOK91" s="204"/>
      <c r="KOL91" s="205"/>
      <c r="KOM91" s="206"/>
      <c r="KON91" s="207"/>
      <c r="KOO91" s="207"/>
      <c r="KOP91" s="208"/>
      <c r="KOQ91" s="209"/>
      <c r="KOR91" s="207"/>
      <c r="KOS91" s="210"/>
      <c r="KOT91" s="209"/>
      <c r="KOU91" s="204"/>
      <c r="KOV91" s="204"/>
      <c r="KOW91" s="204"/>
      <c r="KOX91" s="199"/>
      <c r="KOY91" s="167"/>
      <c r="KOZ91" s="199"/>
      <c r="KPA91" s="200"/>
      <c r="KPB91" s="201"/>
      <c r="KPC91" s="202"/>
      <c r="KPD91" s="202"/>
      <c r="KPE91" s="202"/>
      <c r="KPF91" s="202"/>
      <c r="KPG91" s="203"/>
      <c r="KPH91" s="204"/>
      <c r="KPI91" s="204"/>
      <c r="KPJ91" s="204"/>
      <c r="KPK91" s="205"/>
      <c r="KPL91" s="206"/>
      <c r="KPM91" s="207"/>
      <c r="KPN91" s="207"/>
      <c r="KPO91" s="208"/>
      <c r="KPP91" s="209"/>
      <c r="KPQ91" s="207"/>
      <c r="KPR91" s="210"/>
      <c r="KPS91" s="209"/>
      <c r="KPT91" s="204"/>
      <c r="KPU91" s="204"/>
      <c r="KPV91" s="204"/>
      <c r="KPW91" s="199"/>
      <c r="KPX91" s="167"/>
      <c r="KPY91" s="199"/>
      <c r="KPZ91" s="200"/>
      <c r="KQA91" s="201"/>
      <c r="KQB91" s="202"/>
      <c r="KQC91" s="202"/>
      <c r="KQD91" s="202"/>
      <c r="KQE91" s="202"/>
      <c r="KQF91" s="203"/>
      <c r="KQG91" s="204"/>
      <c r="KQH91" s="204"/>
      <c r="KQI91" s="204"/>
      <c r="KQJ91" s="205"/>
      <c r="KQK91" s="206"/>
      <c r="KQL91" s="207"/>
      <c r="KQM91" s="207"/>
      <c r="KQN91" s="208"/>
      <c r="KQO91" s="209"/>
      <c r="KQP91" s="207"/>
      <c r="KQQ91" s="210"/>
      <c r="KQR91" s="209"/>
      <c r="KQS91" s="204"/>
      <c r="KQT91" s="204"/>
      <c r="KQU91" s="204"/>
      <c r="KQV91" s="199"/>
      <c r="KQW91" s="167"/>
      <c r="KQX91" s="199"/>
      <c r="KQY91" s="200"/>
      <c r="KQZ91" s="201"/>
      <c r="KRA91" s="202"/>
      <c r="KRB91" s="202"/>
      <c r="KRC91" s="202"/>
      <c r="KRD91" s="202"/>
      <c r="KRE91" s="203"/>
      <c r="KRF91" s="204"/>
      <c r="KRG91" s="204"/>
      <c r="KRH91" s="204"/>
      <c r="KRI91" s="205"/>
      <c r="KRJ91" s="206"/>
      <c r="KRK91" s="207"/>
      <c r="KRL91" s="207"/>
      <c r="KRM91" s="208"/>
      <c r="KRN91" s="209"/>
      <c r="KRO91" s="207"/>
      <c r="KRP91" s="210"/>
      <c r="KRQ91" s="209"/>
      <c r="KRR91" s="204"/>
      <c r="KRS91" s="204"/>
      <c r="KRT91" s="204"/>
      <c r="KRU91" s="199"/>
      <c r="KRV91" s="167"/>
      <c r="KRW91" s="199"/>
      <c r="KRX91" s="200"/>
      <c r="KRY91" s="201"/>
      <c r="KRZ91" s="202"/>
      <c r="KSA91" s="202"/>
      <c r="KSB91" s="202"/>
      <c r="KSC91" s="202"/>
      <c r="KSD91" s="203"/>
      <c r="KSE91" s="204"/>
      <c r="KSF91" s="204"/>
      <c r="KSG91" s="204"/>
      <c r="KSH91" s="205"/>
      <c r="KSI91" s="206"/>
      <c r="KSJ91" s="207"/>
      <c r="KSK91" s="207"/>
      <c r="KSL91" s="208"/>
      <c r="KSM91" s="209"/>
      <c r="KSN91" s="207"/>
      <c r="KSO91" s="210"/>
      <c r="KSP91" s="209"/>
      <c r="KSQ91" s="204"/>
      <c r="KSR91" s="204"/>
      <c r="KSS91" s="204"/>
      <c r="KST91" s="199"/>
      <c r="KSU91" s="167"/>
      <c r="KSV91" s="199"/>
      <c r="KSW91" s="200"/>
      <c r="KSX91" s="201"/>
      <c r="KSY91" s="202"/>
      <c r="KSZ91" s="202"/>
      <c r="KTA91" s="202"/>
      <c r="KTB91" s="202"/>
      <c r="KTC91" s="203"/>
      <c r="KTD91" s="204"/>
      <c r="KTE91" s="204"/>
      <c r="KTF91" s="204"/>
      <c r="KTG91" s="205"/>
      <c r="KTH91" s="206"/>
      <c r="KTI91" s="207"/>
      <c r="KTJ91" s="207"/>
      <c r="KTK91" s="208"/>
      <c r="KTL91" s="209"/>
      <c r="KTM91" s="207"/>
      <c r="KTN91" s="210"/>
      <c r="KTO91" s="209"/>
      <c r="KTP91" s="204"/>
      <c r="KTQ91" s="204"/>
      <c r="KTR91" s="204"/>
      <c r="KTS91" s="199"/>
      <c r="KTT91" s="167"/>
      <c r="KTU91" s="199"/>
      <c r="KTV91" s="200"/>
      <c r="KTW91" s="201"/>
      <c r="KTX91" s="202"/>
      <c r="KTY91" s="202"/>
      <c r="KTZ91" s="202"/>
      <c r="KUA91" s="202"/>
      <c r="KUB91" s="203"/>
      <c r="KUC91" s="204"/>
      <c r="KUD91" s="204"/>
      <c r="KUE91" s="204"/>
      <c r="KUF91" s="205"/>
      <c r="KUG91" s="206"/>
      <c r="KUH91" s="207"/>
      <c r="KUI91" s="207"/>
      <c r="KUJ91" s="208"/>
      <c r="KUK91" s="209"/>
      <c r="KUL91" s="207"/>
      <c r="KUM91" s="210"/>
      <c r="KUN91" s="209"/>
      <c r="KUO91" s="204"/>
      <c r="KUP91" s="204"/>
      <c r="KUQ91" s="204"/>
      <c r="KUR91" s="199"/>
      <c r="KUS91" s="167"/>
      <c r="KUT91" s="199"/>
      <c r="KUU91" s="200"/>
      <c r="KUV91" s="201"/>
      <c r="KUW91" s="202"/>
      <c r="KUX91" s="202"/>
      <c r="KUY91" s="202"/>
      <c r="KUZ91" s="202"/>
      <c r="KVA91" s="203"/>
      <c r="KVB91" s="204"/>
      <c r="KVC91" s="204"/>
      <c r="KVD91" s="204"/>
      <c r="KVE91" s="205"/>
      <c r="KVF91" s="206"/>
      <c r="KVG91" s="207"/>
      <c r="KVH91" s="207"/>
      <c r="KVI91" s="208"/>
      <c r="KVJ91" s="209"/>
      <c r="KVK91" s="207"/>
      <c r="KVL91" s="210"/>
      <c r="KVM91" s="209"/>
      <c r="KVN91" s="204"/>
      <c r="KVO91" s="204"/>
      <c r="KVP91" s="204"/>
      <c r="KVQ91" s="199"/>
      <c r="KVR91" s="167"/>
      <c r="KVS91" s="199"/>
      <c r="KVT91" s="200"/>
      <c r="KVU91" s="201"/>
      <c r="KVV91" s="202"/>
      <c r="KVW91" s="202"/>
      <c r="KVX91" s="202"/>
      <c r="KVY91" s="202"/>
      <c r="KVZ91" s="203"/>
      <c r="KWA91" s="204"/>
      <c r="KWB91" s="204"/>
      <c r="KWC91" s="204"/>
      <c r="KWD91" s="205"/>
      <c r="KWE91" s="206"/>
      <c r="KWF91" s="207"/>
      <c r="KWG91" s="207"/>
      <c r="KWH91" s="208"/>
      <c r="KWI91" s="209"/>
      <c r="KWJ91" s="207"/>
      <c r="KWK91" s="210"/>
      <c r="KWL91" s="209"/>
      <c r="KWM91" s="204"/>
      <c r="KWN91" s="204"/>
      <c r="KWO91" s="204"/>
      <c r="KWP91" s="199"/>
      <c r="KWQ91" s="167"/>
      <c r="KWR91" s="199"/>
      <c r="KWS91" s="200"/>
      <c r="KWT91" s="201"/>
      <c r="KWU91" s="202"/>
      <c r="KWV91" s="202"/>
      <c r="KWW91" s="202"/>
      <c r="KWX91" s="202"/>
      <c r="KWY91" s="203"/>
      <c r="KWZ91" s="204"/>
      <c r="KXA91" s="204"/>
      <c r="KXB91" s="204"/>
      <c r="KXC91" s="205"/>
      <c r="KXD91" s="206"/>
      <c r="KXE91" s="207"/>
      <c r="KXF91" s="207"/>
      <c r="KXG91" s="208"/>
      <c r="KXH91" s="209"/>
      <c r="KXI91" s="207"/>
      <c r="KXJ91" s="210"/>
      <c r="KXK91" s="209"/>
      <c r="KXL91" s="204"/>
      <c r="KXM91" s="204"/>
      <c r="KXN91" s="204"/>
      <c r="KXO91" s="199"/>
      <c r="KXP91" s="167"/>
      <c r="KXQ91" s="199"/>
      <c r="KXR91" s="200"/>
      <c r="KXS91" s="201"/>
      <c r="KXT91" s="202"/>
      <c r="KXU91" s="202"/>
      <c r="KXV91" s="202"/>
      <c r="KXW91" s="202"/>
      <c r="KXX91" s="203"/>
      <c r="KXY91" s="204"/>
      <c r="KXZ91" s="204"/>
      <c r="KYA91" s="204"/>
      <c r="KYB91" s="205"/>
      <c r="KYC91" s="206"/>
      <c r="KYD91" s="207"/>
      <c r="KYE91" s="207"/>
      <c r="KYF91" s="208"/>
      <c r="KYG91" s="209"/>
      <c r="KYH91" s="207"/>
      <c r="KYI91" s="210"/>
      <c r="KYJ91" s="209"/>
      <c r="KYK91" s="204"/>
      <c r="KYL91" s="204"/>
      <c r="KYM91" s="204"/>
      <c r="KYN91" s="199"/>
      <c r="KYO91" s="167"/>
      <c r="KYP91" s="199"/>
      <c r="KYQ91" s="200"/>
      <c r="KYR91" s="201"/>
      <c r="KYS91" s="202"/>
      <c r="KYT91" s="202"/>
      <c r="KYU91" s="202"/>
      <c r="KYV91" s="202"/>
      <c r="KYW91" s="203"/>
      <c r="KYX91" s="204"/>
      <c r="KYY91" s="204"/>
      <c r="KYZ91" s="204"/>
      <c r="KZA91" s="205"/>
      <c r="KZB91" s="206"/>
      <c r="KZC91" s="207"/>
      <c r="KZD91" s="207"/>
      <c r="KZE91" s="208"/>
      <c r="KZF91" s="209"/>
      <c r="KZG91" s="207"/>
      <c r="KZH91" s="210"/>
      <c r="KZI91" s="209"/>
      <c r="KZJ91" s="204"/>
      <c r="KZK91" s="204"/>
      <c r="KZL91" s="204"/>
      <c r="KZM91" s="199"/>
      <c r="KZN91" s="167"/>
      <c r="KZO91" s="199"/>
      <c r="KZP91" s="200"/>
      <c r="KZQ91" s="201"/>
      <c r="KZR91" s="202"/>
      <c r="KZS91" s="202"/>
      <c r="KZT91" s="202"/>
      <c r="KZU91" s="202"/>
      <c r="KZV91" s="203"/>
      <c r="KZW91" s="204"/>
      <c r="KZX91" s="204"/>
      <c r="KZY91" s="204"/>
      <c r="KZZ91" s="205"/>
      <c r="LAA91" s="206"/>
      <c r="LAB91" s="207"/>
      <c r="LAC91" s="207"/>
      <c r="LAD91" s="208"/>
      <c r="LAE91" s="209"/>
      <c r="LAF91" s="207"/>
      <c r="LAG91" s="210"/>
      <c r="LAH91" s="209"/>
      <c r="LAI91" s="204"/>
      <c r="LAJ91" s="204"/>
      <c r="LAK91" s="204"/>
      <c r="LAL91" s="199"/>
      <c r="LAM91" s="167"/>
      <c r="LAN91" s="199"/>
      <c r="LAO91" s="200"/>
      <c r="LAP91" s="201"/>
      <c r="LAQ91" s="202"/>
      <c r="LAR91" s="202"/>
      <c r="LAS91" s="202"/>
      <c r="LAT91" s="202"/>
      <c r="LAU91" s="203"/>
      <c r="LAV91" s="204"/>
      <c r="LAW91" s="204"/>
      <c r="LAX91" s="204"/>
      <c r="LAY91" s="205"/>
      <c r="LAZ91" s="206"/>
      <c r="LBA91" s="207"/>
      <c r="LBB91" s="207"/>
      <c r="LBC91" s="208"/>
      <c r="LBD91" s="209"/>
      <c r="LBE91" s="207"/>
      <c r="LBF91" s="210"/>
      <c r="LBG91" s="209"/>
      <c r="LBH91" s="204"/>
      <c r="LBI91" s="204"/>
      <c r="LBJ91" s="204"/>
      <c r="LBK91" s="199"/>
      <c r="LBL91" s="167"/>
      <c r="LBM91" s="199"/>
      <c r="LBN91" s="200"/>
      <c r="LBO91" s="201"/>
      <c r="LBP91" s="202"/>
      <c r="LBQ91" s="202"/>
      <c r="LBR91" s="202"/>
      <c r="LBS91" s="202"/>
      <c r="LBT91" s="203"/>
      <c r="LBU91" s="204"/>
      <c r="LBV91" s="204"/>
      <c r="LBW91" s="204"/>
      <c r="LBX91" s="205"/>
      <c r="LBY91" s="206"/>
      <c r="LBZ91" s="207"/>
      <c r="LCA91" s="207"/>
      <c r="LCB91" s="208"/>
      <c r="LCC91" s="209"/>
      <c r="LCD91" s="207"/>
      <c r="LCE91" s="210"/>
      <c r="LCF91" s="209"/>
      <c r="LCG91" s="204"/>
      <c r="LCH91" s="204"/>
      <c r="LCI91" s="204"/>
      <c r="LCJ91" s="199"/>
      <c r="LCK91" s="167"/>
      <c r="LCL91" s="199"/>
      <c r="LCM91" s="200"/>
      <c r="LCN91" s="201"/>
      <c r="LCO91" s="202"/>
      <c r="LCP91" s="202"/>
      <c r="LCQ91" s="202"/>
      <c r="LCR91" s="202"/>
      <c r="LCS91" s="203"/>
      <c r="LCT91" s="204"/>
      <c r="LCU91" s="204"/>
      <c r="LCV91" s="204"/>
      <c r="LCW91" s="205"/>
      <c r="LCX91" s="206"/>
      <c r="LCY91" s="207"/>
      <c r="LCZ91" s="207"/>
      <c r="LDA91" s="208"/>
      <c r="LDB91" s="209"/>
      <c r="LDC91" s="207"/>
      <c r="LDD91" s="210"/>
      <c r="LDE91" s="209"/>
      <c r="LDF91" s="204"/>
      <c r="LDG91" s="204"/>
      <c r="LDH91" s="204"/>
      <c r="LDI91" s="199"/>
      <c r="LDJ91" s="167"/>
      <c r="LDK91" s="199"/>
      <c r="LDL91" s="200"/>
      <c r="LDM91" s="201"/>
      <c r="LDN91" s="202"/>
      <c r="LDO91" s="202"/>
      <c r="LDP91" s="202"/>
      <c r="LDQ91" s="202"/>
      <c r="LDR91" s="203"/>
      <c r="LDS91" s="204"/>
      <c r="LDT91" s="204"/>
      <c r="LDU91" s="204"/>
      <c r="LDV91" s="205"/>
      <c r="LDW91" s="206"/>
      <c r="LDX91" s="207"/>
      <c r="LDY91" s="207"/>
      <c r="LDZ91" s="208"/>
      <c r="LEA91" s="209"/>
      <c r="LEB91" s="207"/>
      <c r="LEC91" s="210"/>
      <c r="LED91" s="209"/>
      <c r="LEE91" s="204"/>
      <c r="LEF91" s="204"/>
      <c r="LEG91" s="204"/>
      <c r="LEH91" s="199"/>
      <c r="LEI91" s="167"/>
      <c r="LEJ91" s="199"/>
      <c r="LEK91" s="200"/>
      <c r="LEL91" s="201"/>
      <c r="LEM91" s="202"/>
      <c r="LEN91" s="202"/>
      <c r="LEO91" s="202"/>
      <c r="LEP91" s="202"/>
      <c r="LEQ91" s="203"/>
      <c r="LER91" s="204"/>
      <c r="LES91" s="204"/>
      <c r="LET91" s="204"/>
      <c r="LEU91" s="205"/>
      <c r="LEV91" s="206"/>
      <c r="LEW91" s="207"/>
      <c r="LEX91" s="207"/>
      <c r="LEY91" s="208"/>
      <c r="LEZ91" s="209"/>
      <c r="LFA91" s="207"/>
      <c r="LFB91" s="210"/>
      <c r="LFC91" s="209"/>
      <c r="LFD91" s="204"/>
      <c r="LFE91" s="204"/>
      <c r="LFF91" s="204"/>
      <c r="LFG91" s="199"/>
      <c r="LFH91" s="167"/>
      <c r="LFI91" s="199"/>
      <c r="LFJ91" s="200"/>
      <c r="LFK91" s="201"/>
      <c r="LFL91" s="202"/>
      <c r="LFM91" s="202"/>
      <c r="LFN91" s="202"/>
      <c r="LFO91" s="202"/>
      <c r="LFP91" s="203"/>
      <c r="LFQ91" s="204"/>
      <c r="LFR91" s="204"/>
      <c r="LFS91" s="204"/>
      <c r="LFT91" s="205"/>
      <c r="LFU91" s="206"/>
      <c r="LFV91" s="207"/>
      <c r="LFW91" s="207"/>
      <c r="LFX91" s="208"/>
      <c r="LFY91" s="209"/>
      <c r="LFZ91" s="207"/>
      <c r="LGA91" s="210"/>
      <c r="LGB91" s="209"/>
      <c r="LGC91" s="204"/>
      <c r="LGD91" s="204"/>
      <c r="LGE91" s="204"/>
      <c r="LGF91" s="199"/>
      <c r="LGG91" s="167"/>
      <c r="LGH91" s="199"/>
      <c r="LGI91" s="200"/>
      <c r="LGJ91" s="201"/>
      <c r="LGK91" s="202"/>
      <c r="LGL91" s="202"/>
      <c r="LGM91" s="202"/>
      <c r="LGN91" s="202"/>
      <c r="LGO91" s="203"/>
      <c r="LGP91" s="204"/>
      <c r="LGQ91" s="204"/>
      <c r="LGR91" s="204"/>
      <c r="LGS91" s="205"/>
      <c r="LGT91" s="206"/>
      <c r="LGU91" s="207"/>
      <c r="LGV91" s="207"/>
      <c r="LGW91" s="208"/>
      <c r="LGX91" s="209"/>
      <c r="LGY91" s="207"/>
      <c r="LGZ91" s="210"/>
      <c r="LHA91" s="209"/>
      <c r="LHB91" s="204"/>
      <c r="LHC91" s="204"/>
      <c r="LHD91" s="204"/>
      <c r="LHE91" s="199"/>
      <c r="LHF91" s="167"/>
      <c r="LHG91" s="199"/>
      <c r="LHH91" s="200"/>
      <c r="LHI91" s="201"/>
      <c r="LHJ91" s="202"/>
      <c r="LHK91" s="202"/>
      <c r="LHL91" s="202"/>
      <c r="LHM91" s="202"/>
      <c r="LHN91" s="203"/>
      <c r="LHO91" s="204"/>
      <c r="LHP91" s="204"/>
      <c r="LHQ91" s="204"/>
      <c r="LHR91" s="205"/>
      <c r="LHS91" s="206"/>
      <c r="LHT91" s="207"/>
      <c r="LHU91" s="207"/>
      <c r="LHV91" s="208"/>
      <c r="LHW91" s="209"/>
      <c r="LHX91" s="207"/>
      <c r="LHY91" s="210"/>
      <c r="LHZ91" s="209"/>
      <c r="LIA91" s="204"/>
      <c r="LIB91" s="204"/>
      <c r="LIC91" s="204"/>
      <c r="LID91" s="199"/>
      <c r="LIE91" s="167"/>
      <c r="LIF91" s="199"/>
      <c r="LIG91" s="200"/>
      <c r="LIH91" s="201"/>
      <c r="LII91" s="202"/>
      <c r="LIJ91" s="202"/>
      <c r="LIK91" s="202"/>
      <c r="LIL91" s="202"/>
      <c r="LIM91" s="203"/>
      <c r="LIN91" s="204"/>
      <c r="LIO91" s="204"/>
      <c r="LIP91" s="204"/>
      <c r="LIQ91" s="205"/>
      <c r="LIR91" s="206"/>
      <c r="LIS91" s="207"/>
      <c r="LIT91" s="207"/>
      <c r="LIU91" s="208"/>
      <c r="LIV91" s="209"/>
      <c r="LIW91" s="207"/>
      <c r="LIX91" s="210"/>
      <c r="LIY91" s="209"/>
      <c r="LIZ91" s="204"/>
      <c r="LJA91" s="204"/>
      <c r="LJB91" s="204"/>
      <c r="LJC91" s="199"/>
      <c r="LJD91" s="167"/>
      <c r="LJE91" s="199"/>
      <c r="LJF91" s="200"/>
      <c r="LJG91" s="201"/>
      <c r="LJH91" s="202"/>
      <c r="LJI91" s="202"/>
      <c r="LJJ91" s="202"/>
      <c r="LJK91" s="202"/>
      <c r="LJL91" s="203"/>
      <c r="LJM91" s="204"/>
      <c r="LJN91" s="204"/>
      <c r="LJO91" s="204"/>
      <c r="LJP91" s="205"/>
      <c r="LJQ91" s="206"/>
      <c r="LJR91" s="207"/>
      <c r="LJS91" s="207"/>
      <c r="LJT91" s="208"/>
      <c r="LJU91" s="209"/>
      <c r="LJV91" s="207"/>
      <c r="LJW91" s="210"/>
      <c r="LJX91" s="209"/>
      <c r="LJY91" s="204"/>
      <c r="LJZ91" s="204"/>
      <c r="LKA91" s="204"/>
      <c r="LKB91" s="199"/>
      <c r="LKC91" s="167"/>
      <c r="LKD91" s="199"/>
      <c r="LKE91" s="200"/>
      <c r="LKF91" s="201"/>
      <c r="LKG91" s="202"/>
      <c r="LKH91" s="202"/>
      <c r="LKI91" s="202"/>
      <c r="LKJ91" s="202"/>
      <c r="LKK91" s="203"/>
      <c r="LKL91" s="204"/>
      <c r="LKM91" s="204"/>
      <c r="LKN91" s="204"/>
      <c r="LKO91" s="205"/>
      <c r="LKP91" s="206"/>
      <c r="LKQ91" s="207"/>
      <c r="LKR91" s="207"/>
      <c r="LKS91" s="208"/>
      <c r="LKT91" s="209"/>
      <c r="LKU91" s="207"/>
      <c r="LKV91" s="210"/>
      <c r="LKW91" s="209"/>
      <c r="LKX91" s="204"/>
      <c r="LKY91" s="204"/>
      <c r="LKZ91" s="204"/>
      <c r="LLA91" s="199"/>
      <c r="LLB91" s="167"/>
      <c r="LLC91" s="199"/>
      <c r="LLD91" s="200"/>
      <c r="LLE91" s="201"/>
      <c r="LLF91" s="202"/>
      <c r="LLG91" s="202"/>
      <c r="LLH91" s="202"/>
      <c r="LLI91" s="202"/>
      <c r="LLJ91" s="203"/>
      <c r="LLK91" s="204"/>
      <c r="LLL91" s="204"/>
      <c r="LLM91" s="204"/>
      <c r="LLN91" s="205"/>
      <c r="LLO91" s="206"/>
      <c r="LLP91" s="207"/>
      <c r="LLQ91" s="207"/>
      <c r="LLR91" s="208"/>
      <c r="LLS91" s="209"/>
      <c r="LLT91" s="207"/>
      <c r="LLU91" s="210"/>
      <c r="LLV91" s="209"/>
      <c r="LLW91" s="204"/>
      <c r="LLX91" s="204"/>
      <c r="LLY91" s="204"/>
      <c r="LLZ91" s="199"/>
      <c r="LMA91" s="167"/>
      <c r="LMB91" s="199"/>
      <c r="LMC91" s="200"/>
      <c r="LMD91" s="201"/>
      <c r="LME91" s="202"/>
      <c r="LMF91" s="202"/>
      <c r="LMG91" s="202"/>
      <c r="LMH91" s="202"/>
      <c r="LMI91" s="203"/>
      <c r="LMJ91" s="204"/>
      <c r="LMK91" s="204"/>
      <c r="LML91" s="204"/>
      <c r="LMM91" s="205"/>
      <c r="LMN91" s="206"/>
      <c r="LMO91" s="207"/>
      <c r="LMP91" s="207"/>
      <c r="LMQ91" s="208"/>
      <c r="LMR91" s="209"/>
      <c r="LMS91" s="207"/>
      <c r="LMT91" s="210"/>
      <c r="LMU91" s="209"/>
      <c r="LMV91" s="204"/>
      <c r="LMW91" s="204"/>
      <c r="LMX91" s="204"/>
      <c r="LMY91" s="199"/>
      <c r="LMZ91" s="167"/>
      <c r="LNA91" s="199"/>
      <c r="LNB91" s="200"/>
      <c r="LNC91" s="201"/>
      <c r="LND91" s="202"/>
      <c r="LNE91" s="202"/>
      <c r="LNF91" s="202"/>
      <c r="LNG91" s="202"/>
      <c r="LNH91" s="203"/>
      <c r="LNI91" s="204"/>
      <c r="LNJ91" s="204"/>
      <c r="LNK91" s="204"/>
      <c r="LNL91" s="205"/>
      <c r="LNM91" s="206"/>
      <c r="LNN91" s="207"/>
      <c r="LNO91" s="207"/>
      <c r="LNP91" s="208"/>
      <c r="LNQ91" s="209"/>
      <c r="LNR91" s="207"/>
      <c r="LNS91" s="210"/>
      <c r="LNT91" s="209"/>
      <c r="LNU91" s="204"/>
      <c r="LNV91" s="204"/>
      <c r="LNW91" s="204"/>
      <c r="LNX91" s="199"/>
      <c r="LNY91" s="167"/>
      <c r="LNZ91" s="199"/>
      <c r="LOA91" s="200"/>
      <c r="LOB91" s="201"/>
      <c r="LOC91" s="202"/>
      <c r="LOD91" s="202"/>
      <c r="LOE91" s="202"/>
      <c r="LOF91" s="202"/>
      <c r="LOG91" s="203"/>
      <c r="LOH91" s="204"/>
      <c r="LOI91" s="204"/>
      <c r="LOJ91" s="204"/>
      <c r="LOK91" s="205"/>
      <c r="LOL91" s="206"/>
      <c r="LOM91" s="207"/>
      <c r="LON91" s="207"/>
      <c r="LOO91" s="208"/>
      <c r="LOP91" s="209"/>
      <c r="LOQ91" s="207"/>
      <c r="LOR91" s="210"/>
      <c r="LOS91" s="209"/>
      <c r="LOT91" s="204"/>
      <c r="LOU91" s="204"/>
      <c r="LOV91" s="204"/>
      <c r="LOW91" s="199"/>
      <c r="LOX91" s="167"/>
      <c r="LOY91" s="199"/>
      <c r="LOZ91" s="200"/>
      <c r="LPA91" s="201"/>
      <c r="LPB91" s="202"/>
      <c r="LPC91" s="202"/>
      <c r="LPD91" s="202"/>
      <c r="LPE91" s="202"/>
      <c r="LPF91" s="203"/>
      <c r="LPG91" s="204"/>
      <c r="LPH91" s="204"/>
      <c r="LPI91" s="204"/>
      <c r="LPJ91" s="205"/>
      <c r="LPK91" s="206"/>
      <c r="LPL91" s="207"/>
      <c r="LPM91" s="207"/>
      <c r="LPN91" s="208"/>
      <c r="LPO91" s="209"/>
      <c r="LPP91" s="207"/>
      <c r="LPQ91" s="210"/>
      <c r="LPR91" s="209"/>
      <c r="LPS91" s="204"/>
      <c r="LPT91" s="204"/>
      <c r="LPU91" s="204"/>
      <c r="LPV91" s="199"/>
      <c r="LPW91" s="167"/>
      <c r="LPX91" s="199"/>
      <c r="LPY91" s="200"/>
      <c r="LPZ91" s="201"/>
      <c r="LQA91" s="202"/>
      <c r="LQB91" s="202"/>
      <c r="LQC91" s="202"/>
      <c r="LQD91" s="202"/>
      <c r="LQE91" s="203"/>
      <c r="LQF91" s="204"/>
      <c r="LQG91" s="204"/>
      <c r="LQH91" s="204"/>
      <c r="LQI91" s="205"/>
      <c r="LQJ91" s="206"/>
      <c r="LQK91" s="207"/>
      <c r="LQL91" s="207"/>
      <c r="LQM91" s="208"/>
      <c r="LQN91" s="209"/>
      <c r="LQO91" s="207"/>
      <c r="LQP91" s="210"/>
      <c r="LQQ91" s="209"/>
      <c r="LQR91" s="204"/>
      <c r="LQS91" s="204"/>
      <c r="LQT91" s="204"/>
      <c r="LQU91" s="199"/>
      <c r="LQV91" s="167"/>
      <c r="LQW91" s="199"/>
      <c r="LQX91" s="200"/>
      <c r="LQY91" s="201"/>
      <c r="LQZ91" s="202"/>
      <c r="LRA91" s="202"/>
      <c r="LRB91" s="202"/>
      <c r="LRC91" s="202"/>
      <c r="LRD91" s="203"/>
      <c r="LRE91" s="204"/>
      <c r="LRF91" s="204"/>
      <c r="LRG91" s="204"/>
      <c r="LRH91" s="205"/>
      <c r="LRI91" s="206"/>
      <c r="LRJ91" s="207"/>
      <c r="LRK91" s="207"/>
      <c r="LRL91" s="208"/>
      <c r="LRM91" s="209"/>
      <c r="LRN91" s="207"/>
      <c r="LRO91" s="210"/>
      <c r="LRP91" s="209"/>
      <c r="LRQ91" s="204"/>
      <c r="LRR91" s="204"/>
      <c r="LRS91" s="204"/>
      <c r="LRT91" s="199"/>
      <c r="LRU91" s="167"/>
      <c r="LRV91" s="199"/>
      <c r="LRW91" s="200"/>
      <c r="LRX91" s="201"/>
      <c r="LRY91" s="202"/>
      <c r="LRZ91" s="202"/>
      <c r="LSA91" s="202"/>
      <c r="LSB91" s="202"/>
      <c r="LSC91" s="203"/>
      <c r="LSD91" s="204"/>
      <c r="LSE91" s="204"/>
      <c r="LSF91" s="204"/>
      <c r="LSG91" s="205"/>
      <c r="LSH91" s="206"/>
      <c r="LSI91" s="207"/>
      <c r="LSJ91" s="207"/>
      <c r="LSK91" s="208"/>
      <c r="LSL91" s="209"/>
      <c r="LSM91" s="207"/>
      <c r="LSN91" s="210"/>
      <c r="LSO91" s="209"/>
      <c r="LSP91" s="204"/>
      <c r="LSQ91" s="204"/>
      <c r="LSR91" s="204"/>
      <c r="LSS91" s="199"/>
      <c r="LST91" s="167"/>
      <c r="LSU91" s="199"/>
      <c r="LSV91" s="200"/>
      <c r="LSW91" s="201"/>
      <c r="LSX91" s="202"/>
      <c r="LSY91" s="202"/>
      <c r="LSZ91" s="202"/>
      <c r="LTA91" s="202"/>
      <c r="LTB91" s="203"/>
      <c r="LTC91" s="204"/>
      <c r="LTD91" s="204"/>
      <c r="LTE91" s="204"/>
      <c r="LTF91" s="205"/>
      <c r="LTG91" s="206"/>
      <c r="LTH91" s="207"/>
      <c r="LTI91" s="207"/>
      <c r="LTJ91" s="208"/>
      <c r="LTK91" s="209"/>
      <c r="LTL91" s="207"/>
      <c r="LTM91" s="210"/>
      <c r="LTN91" s="209"/>
      <c r="LTO91" s="204"/>
      <c r="LTP91" s="204"/>
      <c r="LTQ91" s="204"/>
      <c r="LTR91" s="199"/>
      <c r="LTS91" s="167"/>
      <c r="LTT91" s="199"/>
      <c r="LTU91" s="200"/>
      <c r="LTV91" s="201"/>
      <c r="LTW91" s="202"/>
      <c r="LTX91" s="202"/>
      <c r="LTY91" s="202"/>
      <c r="LTZ91" s="202"/>
      <c r="LUA91" s="203"/>
      <c r="LUB91" s="204"/>
      <c r="LUC91" s="204"/>
      <c r="LUD91" s="204"/>
      <c r="LUE91" s="205"/>
      <c r="LUF91" s="206"/>
      <c r="LUG91" s="207"/>
      <c r="LUH91" s="207"/>
      <c r="LUI91" s="208"/>
      <c r="LUJ91" s="209"/>
      <c r="LUK91" s="207"/>
      <c r="LUL91" s="210"/>
      <c r="LUM91" s="209"/>
      <c r="LUN91" s="204"/>
      <c r="LUO91" s="204"/>
      <c r="LUP91" s="204"/>
      <c r="LUQ91" s="199"/>
      <c r="LUR91" s="167"/>
      <c r="LUS91" s="199"/>
      <c r="LUT91" s="200"/>
      <c r="LUU91" s="201"/>
      <c r="LUV91" s="202"/>
      <c r="LUW91" s="202"/>
      <c r="LUX91" s="202"/>
      <c r="LUY91" s="202"/>
      <c r="LUZ91" s="203"/>
      <c r="LVA91" s="204"/>
      <c r="LVB91" s="204"/>
      <c r="LVC91" s="204"/>
      <c r="LVD91" s="205"/>
      <c r="LVE91" s="206"/>
      <c r="LVF91" s="207"/>
      <c r="LVG91" s="207"/>
      <c r="LVH91" s="208"/>
      <c r="LVI91" s="209"/>
      <c r="LVJ91" s="207"/>
      <c r="LVK91" s="210"/>
      <c r="LVL91" s="209"/>
      <c r="LVM91" s="204"/>
      <c r="LVN91" s="204"/>
      <c r="LVO91" s="204"/>
      <c r="LVP91" s="199"/>
      <c r="LVQ91" s="167"/>
      <c r="LVR91" s="199"/>
      <c r="LVS91" s="200"/>
      <c r="LVT91" s="201"/>
      <c r="LVU91" s="202"/>
      <c r="LVV91" s="202"/>
      <c r="LVW91" s="202"/>
      <c r="LVX91" s="202"/>
      <c r="LVY91" s="203"/>
      <c r="LVZ91" s="204"/>
      <c r="LWA91" s="204"/>
      <c r="LWB91" s="204"/>
      <c r="LWC91" s="205"/>
      <c r="LWD91" s="206"/>
      <c r="LWE91" s="207"/>
      <c r="LWF91" s="207"/>
      <c r="LWG91" s="208"/>
      <c r="LWH91" s="209"/>
      <c r="LWI91" s="207"/>
      <c r="LWJ91" s="210"/>
      <c r="LWK91" s="209"/>
      <c r="LWL91" s="204"/>
      <c r="LWM91" s="204"/>
      <c r="LWN91" s="204"/>
      <c r="LWO91" s="199"/>
      <c r="LWP91" s="167"/>
      <c r="LWQ91" s="199"/>
      <c r="LWR91" s="200"/>
      <c r="LWS91" s="201"/>
      <c r="LWT91" s="202"/>
      <c r="LWU91" s="202"/>
      <c r="LWV91" s="202"/>
      <c r="LWW91" s="202"/>
      <c r="LWX91" s="203"/>
      <c r="LWY91" s="204"/>
      <c r="LWZ91" s="204"/>
      <c r="LXA91" s="204"/>
      <c r="LXB91" s="205"/>
      <c r="LXC91" s="206"/>
      <c r="LXD91" s="207"/>
      <c r="LXE91" s="207"/>
      <c r="LXF91" s="208"/>
      <c r="LXG91" s="209"/>
      <c r="LXH91" s="207"/>
      <c r="LXI91" s="210"/>
      <c r="LXJ91" s="209"/>
      <c r="LXK91" s="204"/>
      <c r="LXL91" s="204"/>
      <c r="LXM91" s="204"/>
      <c r="LXN91" s="199"/>
      <c r="LXO91" s="167"/>
      <c r="LXP91" s="199"/>
      <c r="LXQ91" s="200"/>
      <c r="LXR91" s="201"/>
      <c r="LXS91" s="202"/>
      <c r="LXT91" s="202"/>
      <c r="LXU91" s="202"/>
      <c r="LXV91" s="202"/>
      <c r="LXW91" s="203"/>
      <c r="LXX91" s="204"/>
      <c r="LXY91" s="204"/>
      <c r="LXZ91" s="204"/>
      <c r="LYA91" s="205"/>
      <c r="LYB91" s="206"/>
      <c r="LYC91" s="207"/>
      <c r="LYD91" s="207"/>
      <c r="LYE91" s="208"/>
      <c r="LYF91" s="209"/>
      <c r="LYG91" s="207"/>
      <c r="LYH91" s="210"/>
      <c r="LYI91" s="209"/>
      <c r="LYJ91" s="204"/>
      <c r="LYK91" s="204"/>
      <c r="LYL91" s="204"/>
      <c r="LYM91" s="199"/>
      <c r="LYN91" s="167"/>
      <c r="LYO91" s="199"/>
      <c r="LYP91" s="200"/>
      <c r="LYQ91" s="201"/>
      <c r="LYR91" s="202"/>
      <c r="LYS91" s="202"/>
      <c r="LYT91" s="202"/>
      <c r="LYU91" s="202"/>
      <c r="LYV91" s="203"/>
      <c r="LYW91" s="204"/>
      <c r="LYX91" s="204"/>
      <c r="LYY91" s="204"/>
      <c r="LYZ91" s="205"/>
      <c r="LZA91" s="206"/>
      <c r="LZB91" s="207"/>
      <c r="LZC91" s="207"/>
      <c r="LZD91" s="208"/>
      <c r="LZE91" s="209"/>
      <c r="LZF91" s="207"/>
      <c r="LZG91" s="210"/>
      <c r="LZH91" s="209"/>
      <c r="LZI91" s="204"/>
      <c r="LZJ91" s="204"/>
      <c r="LZK91" s="204"/>
      <c r="LZL91" s="199"/>
      <c r="LZM91" s="167"/>
      <c r="LZN91" s="199"/>
      <c r="LZO91" s="200"/>
      <c r="LZP91" s="201"/>
      <c r="LZQ91" s="202"/>
      <c r="LZR91" s="202"/>
      <c r="LZS91" s="202"/>
      <c r="LZT91" s="202"/>
      <c r="LZU91" s="203"/>
      <c r="LZV91" s="204"/>
      <c r="LZW91" s="204"/>
      <c r="LZX91" s="204"/>
      <c r="LZY91" s="205"/>
      <c r="LZZ91" s="206"/>
      <c r="MAA91" s="207"/>
      <c r="MAB91" s="207"/>
      <c r="MAC91" s="208"/>
      <c r="MAD91" s="209"/>
      <c r="MAE91" s="207"/>
      <c r="MAF91" s="210"/>
      <c r="MAG91" s="209"/>
      <c r="MAH91" s="204"/>
      <c r="MAI91" s="204"/>
      <c r="MAJ91" s="204"/>
      <c r="MAK91" s="199"/>
      <c r="MAL91" s="167"/>
      <c r="MAM91" s="199"/>
      <c r="MAN91" s="200"/>
      <c r="MAO91" s="201"/>
      <c r="MAP91" s="202"/>
      <c r="MAQ91" s="202"/>
      <c r="MAR91" s="202"/>
      <c r="MAS91" s="202"/>
      <c r="MAT91" s="203"/>
      <c r="MAU91" s="204"/>
      <c r="MAV91" s="204"/>
      <c r="MAW91" s="204"/>
      <c r="MAX91" s="205"/>
      <c r="MAY91" s="206"/>
      <c r="MAZ91" s="207"/>
      <c r="MBA91" s="207"/>
      <c r="MBB91" s="208"/>
      <c r="MBC91" s="209"/>
      <c r="MBD91" s="207"/>
      <c r="MBE91" s="210"/>
      <c r="MBF91" s="209"/>
      <c r="MBG91" s="204"/>
      <c r="MBH91" s="204"/>
      <c r="MBI91" s="204"/>
      <c r="MBJ91" s="199"/>
      <c r="MBK91" s="167"/>
      <c r="MBL91" s="199"/>
      <c r="MBM91" s="200"/>
      <c r="MBN91" s="201"/>
      <c r="MBO91" s="202"/>
      <c r="MBP91" s="202"/>
      <c r="MBQ91" s="202"/>
      <c r="MBR91" s="202"/>
      <c r="MBS91" s="203"/>
      <c r="MBT91" s="204"/>
      <c r="MBU91" s="204"/>
      <c r="MBV91" s="204"/>
      <c r="MBW91" s="205"/>
      <c r="MBX91" s="206"/>
      <c r="MBY91" s="207"/>
      <c r="MBZ91" s="207"/>
      <c r="MCA91" s="208"/>
      <c r="MCB91" s="209"/>
      <c r="MCC91" s="207"/>
      <c r="MCD91" s="210"/>
      <c r="MCE91" s="209"/>
      <c r="MCF91" s="204"/>
      <c r="MCG91" s="204"/>
      <c r="MCH91" s="204"/>
      <c r="MCI91" s="199"/>
      <c r="MCJ91" s="167"/>
      <c r="MCK91" s="199"/>
      <c r="MCL91" s="200"/>
      <c r="MCM91" s="201"/>
      <c r="MCN91" s="202"/>
      <c r="MCO91" s="202"/>
      <c r="MCP91" s="202"/>
      <c r="MCQ91" s="202"/>
      <c r="MCR91" s="203"/>
      <c r="MCS91" s="204"/>
      <c r="MCT91" s="204"/>
      <c r="MCU91" s="204"/>
      <c r="MCV91" s="205"/>
      <c r="MCW91" s="206"/>
      <c r="MCX91" s="207"/>
      <c r="MCY91" s="207"/>
      <c r="MCZ91" s="208"/>
      <c r="MDA91" s="209"/>
      <c r="MDB91" s="207"/>
      <c r="MDC91" s="210"/>
      <c r="MDD91" s="209"/>
      <c r="MDE91" s="204"/>
      <c r="MDF91" s="204"/>
      <c r="MDG91" s="204"/>
      <c r="MDH91" s="199"/>
      <c r="MDI91" s="167"/>
      <c r="MDJ91" s="199"/>
      <c r="MDK91" s="200"/>
      <c r="MDL91" s="201"/>
      <c r="MDM91" s="202"/>
      <c r="MDN91" s="202"/>
      <c r="MDO91" s="202"/>
      <c r="MDP91" s="202"/>
      <c r="MDQ91" s="203"/>
      <c r="MDR91" s="204"/>
      <c r="MDS91" s="204"/>
      <c r="MDT91" s="204"/>
      <c r="MDU91" s="205"/>
      <c r="MDV91" s="206"/>
      <c r="MDW91" s="207"/>
      <c r="MDX91" s="207"/>
      <c r="MDY91" s="208"/>
      <c r="MDZ91" s="209"/>
      <c r="MEA91" s="207"/>
      <c r="MEB91" s="210"/>
      <c r="MEC91" s="209"/>
      <c r="MED91" s="204"/>
      <c r="MEE91" s="204"/>
      <c r="MEF91" s="204"/>
      <c r="MEG91" s="199"/>
      <c r="MEH91" s="167"/>
      <c r="MEI91" s="199"/>
      <c r="MEJ91" s="200"/>
      <c r="MEK91" s="201"/>
      <c r="MEL91" s="202"/>
      <c r="MEM91" s="202"/>
      <c r="MEN91" s="202"/>
      <c r="MEO91" s="202"/>
      <c r="MEP91" s="203"/>
      <c r="MEQ91" s="204"/>
      <c r="MER91" s="204"/>
      <c r="MES91" s="204"/>
      <c r="MET91" s="205"/>
      <c r="MEU91" s="206"/>
      <c r="MEV91" s="207"/>
      <c r="MEW91" s="207"/>
      <c r="MEX91" s="208"/>
      <c r="MEY91" s="209"/>
      <c r="MEZ91" s="207"/>
      <c r="MFA91" s="210"/>
      <c r="MFB91" s="209"/>
      <c r="MFC91" s="204"/>
      <c r="MFD91" s="204"/>
      <c r="MFE91" s="204"/>
      <c r="MFF91" s="199"/>
      <c r="MFG91" s="167"/>
      <c r="MFH91" s="199"/>
      <c r="MFI91" s="200"/>
      <c r="MFJ91" s="201"/>
      <c r="MFK91" s="202"/>
      <c r="MFL91" s="202"/>
      <c r="MFM91" s="202"/>
      <c r="MFN91" s="202"/>
      <c r="MFO91" s="203"/>
      <c r="MFP91" s="204"/>
      <c r="MFQ91" s="204"/>
      <c r="MFR91" s="204"/>
      <c r="MFS91" s="205"/>
      <c r="MFT91" s="206"/>
      <c r="MFU91" s="207"/>
      <c r="MFV91" s="207"/>
      <c r="MFW91" s="208"/>
      <c r="MFX91" s="209"/>
      <c r="MFY91" s="207"/>
      <c r="MFZ91" s="210"/>
      <c r="MGA91" s="209"/>
      <c r="MGB91" s="204"/>
      <c r="MGC91" s="204"/>
      <c r="MGD91" s="204"/>
      <c r="MGE91" s="199"/>
      <c r="MGF91" s="167"/>
      <c r="MGG91" s="199"/>
      <c r="MGH91" s="200"/>
      <c r="MGI91" s="201"/>
      <c r="MGJ91" s="202"/>
      <c r="MGK91" s="202"/>
      <c r="MGL91" s="202"/>
      <c r="MGM91" s="202"/>
      <c r="MGN91" s="203"/>
      <c r="MGO91" s="204"/>
      <c r="MGP91" s="204"/>
      <c r="MGQ91" s="204"/>
      <c r="MGR91" s="205"/>
      <c r="MGS91" s="206"/>
      <c r="MGT91" s="207"/>
      <c r="MGU91" s="207"/>
      <c r="MGV91" s="208"/>
      <c r="MGW91" s="209"/>
      <c r="MGX91" s="207"/>
      <c r="MGY91" s="210"/>
      <c r="MGZ91" s="209"/>
      <c r="MHA91" s="204"/>
      <c r="MHB91" s="204"/>
      <c r="MHC91" s="204"/>
      <c r="MHD91" s="199"/>
      <c r="MHE91" s="167"/>
      <c r="MHF91" s="199"/>
      <c r="MHG91" s="200"/>
      <c r="MHH91" s="201"/>
      <c r="MHI91" s="202"/>
      <c r="MHJ91" s="202"/>
      <c r="MHK91" s="202"/>
      <c r="MHL91" s="202"/>
      <c r="MHM91" s="203"/>
      <c r="MHN91" s="204"/>
      <c r="MHO91" s="204"/>
      <c r="MHP91" s="204"/>
      <c r="MHQ91" s="205"/>
      <c r="MHR91" s="206"/>
      <c r="MHS91" s="207"/>
      <c r="MHT91" s="207"/>
      <c r="MHU91" s="208"/>
      <c r="MHV91" s="209"/>
      <c r="MHW91" s="207"/>
      <c r="MHX91" s="210"/>
      <c r="MHY91" s="209"/>
      <c r="MHZ91" s="204"/>
      <c r="MIA91" s="204"/>
      <c r="MIB91" s="204"/>
      <c r="MIC91" s="199"/>
      <c r="MID91" s="167"/>
      <c r="MIE91" s="199"/>
      <c r="MIF91" s="200"/>
      <c r="MIG91" s="201"/>
      <c r="MIH91" s="202"/>
      <c r="MII91" s="202"/>
      <c r="MIJ91" s="202"/>
      <c r="MIK91" s="202"/>
      <c r="MIL91" s="203"/>
      <c r="MIM91" s="204"/>
      <c r="MIN91" s="204"/>
      <c r="MIO91" s="204"/>
      <c r="MIP91" s="205"/>
      <c r="MIQ91" s="206"/>
      <c r="MIR91" s="207"/>
      <c r="MIS91" s="207"/>
      <c r="MIT91" s="208"/>
      <c r="MIU91" s="209"/>
      <c r="MIV91" s="207"/>
      <c r="MIW91" s="210"/>
      <c r="MIX91" s="209"/>
      <c r="MIY91" s="204"/>
      <c r="MIZ91" s="204"/>
      <c r="MJA91" s="204"/>
      <c r="MJB91" s="199"/>
      <c r="MJC91" s="167"/>
      <c r="MJD91" s="199"/>
      <c r="MJE91" s="200"/>
      <c r="MJF91" s="201"/>
      <c r="MJG91" s="202"/>
      <c r="MJH91" s="202"/>
      <c r="MJI91" s="202"/>
      <c r="MJJ91" s="202"/>
      <c r="MJK91" s="203"/>
      <c r="MJL91" s="204"/>
      <c r="MJM91" s="204"/>
      <c r="MJN91" s="204"/>
      <c r="MJO91" s="205"/>
      <c r="MJP91" s="206"/>
      <c r="MJQ91" s="207"/>
      <c r="MJR91" s="207"/>
      <c r="MJS91" s="208"/>
      <c r="MJT91" s="209"/>
      <c r="MJU91" s="207"/>
      <c r="MJV91" s="210"/>
      <c r="MJW91" s="209"/>
      <c r="MJX91" s="204"/>
      <c r="MJY91" s="204"/>
      <c r="MJZ91" s="204"/>
      <c r="MKA91" s="199"/>
      <c r="MKB91" s="167"/>
      <c r="MKC91" s="199"/>
      <c r="MKD91" s="200"/>
      <c r="MKE91" s="201"/>
      <c r="MKF91" s="202"/>
      <c r="MKG91" s="202"/>
      <c r="MKH91" s="202"/>
      <c r="MKI91" s="202"/>
      <c r="MKJ91" s="203"/>
      <c r="MKK91" s="204"/>
      <c r="MKL91" s="204"/>
      <c r="MKM91" s="204"/>
      <c r="MKN91" s="205"/>
      <c r="MKO91" s="206"/>
      <c r="MKP91" s="207"/>
      <c r="MKQ91" s="207"/>
      <c r="MKR91" s="208"/>
      <c r="MKS91" s="209"/>
      <c r="MKT91" s="207"/>
      <c r="MKU91" s="210"/>
      <c r="MKV91" s="209"/>
      <c r="MKW91" s="204"/>
      <c r="MKX91" s="204"/>
      <c r="MKY91" s="204"/>
      <c r="MKZ91" s="199"/>
      <c r="MLA91" s="167"/>
      <c r="MLB91" s="199"/>
      <c r="MLC91" s="200"/>
      <c r="MLD91" s="201"/>
      <c r="MLE91" s="202"/>
      <c r="MLF91" s="202"/>
      <c r="MLG91" s="202"/>
      <c r="MLH91" s="202"/>
      <c r="MLI91" s="203"/>
      <c r="MLJ91" s="204"/>
      <c r="MLK91" s="204"/>
      <c r="MLL91" s="204"/>
      <c r="MLM91" s="205"/>
      <c r="MLN91" s="206"/>
      <c r="MLO91" s="207"/>
      <c r="MLP91" s="207"/>
      <c r="MLQ91" s="208"/>
      <c r="MLR91" s="209"/>
      <c r="MLS91" s="207"/>
      <c r="MLT91" s="210"/>
      <c r="MLU91" s="209"/>
      <c r="MLV91" s="204"/>
      <c r="MLW91" s="204"/>
      <c r="MLX91" s="204"/>
      <c r="MLY91" s="199"/>
      <c r="MLZ91" s="167"/>
      <c r="MMA91" s="199"/>
      <c r="MMB91" s="200"/>
      <c r="MMC91" s="201"/>
      <c r="MMD91" s="202"/>
      <c r="MME91" s="202"/>
      <c r="MMF91" s="202"/>
      <c r="MMG91" s="202"/>
      <c r="MMH91" s="203"/>
      <c r="MMI91" s="204"/>
      <c r="MMJ91" s="204"/>
      <c r="MMK91" s="204"/>
      <c r="MML91" s="205"/>
      <c r="MMM91" s="206"/>
      <c r="MMN91" s="207"/>
      <c r="MMO91" s="207"/>
      <c r="MMP91" s="208"/>
      <c r="MMQ91" s="209"/>
      <c r="MMR91" s="207"/>
      <c r="MMS91" s="210"/>
      <c r="MMT91" s="209"/>
      <c r="MMU91" s="204"/>
      <c r="MMV91" s="204"/>
      <c r="MMW91" s="204"/>
      <c r="MMX91" s="199"/>
      <c r="MMY91" s="167"/>
      <c r="MMZ91" s="199"/>
      <c r="MNA91" s="200"/>
      <c r="MNB91" s="201"/>
      <c r="MNC91" s="202"/>
      <c r="MND91" s="202"/>
      <c r="MNE91" s="202"/>
      <c r="MNF91" s="202"/>
      <c r="MNG91" s="203"/>
      <c r="MNH91" s="204"/>
      <c r="MNI91" s="204"/>
      <c r="MNJ91" s="204"/>
      <c r="MNK91" s="205"/>
      <c r="MNL91" s="206"/>
      <c r="MNM91" s="207"/>
      <c r="MNN91" s="207"/>
      <c r="MNO91" s="208"/>
      <c r="MNP91" s="209"/>
      <c r="MNQ91" s="207"/>
      <c r="MNR91" s="210"/>
      <c r="MNS91" s="209"/>
      <c r="MNT91" s="204"/>
      <c r="MNU91" s="204"/>
      <c r="MNV91" s="204"/>
      <c r="MNW91" s="199"/>
      <c r="MNX91" s="167"/>
      <c r="MNY91" s="199"/>
      <c r="MNZ91" s="200"/>
      <c r="MOA91" s="201"/>
      <c r="MOB91" s="202"/>
      <c r="MOC91" s="202"/>
      <c r="MOD91" s="202"/>
      <c r="MOE91" s="202"/>
      <c r="MOF91" s="203"/>
      <c r="MOG91" s="204"/>
      <c r="MOH91" s="204"/>
      <c r="MOI91" s="204"/>
      <c r="MOJ91" s="205"/>
      <c r="MOK91" s="206"/>
      <c r="MOL91" s="207"/>
      <c r="MOM91" s="207"/>
      <c r="MON91" s="208"/>
      <c r="MOO91" s="209"/>
      <c r="MOP91" s="207"/>
      <c r="MOQ91" s="210"/>
      <c r="MOR91" s="209"/>
      <c r="MOS91" s="204"/>
      <c r="MOT91" s="204"/>
      <c r="MOU91" s="204"/>
      <c r="MOV91" s="199"/>
      <c r="MOW91" s="167"/>
      <c r="MOX91" s="199"/>
      <c r="MOY91" s="200"/>
      <c r="MOZ91" s="201"/>
      <c r="MPA91" s="202"/>
      <c r="MPB91" s="202"/>
      <c r="MPC91" s="202"/>
      <c r="MPD91" s="202"/>
      <c r="MPE91" s="203"/>
      <c r="MPF91" s="204"/>
      <c r="MPG91" s="204"/>
      <c r="MPH91" s="204"/>
      <c r="MPI91" s="205"/>
      <c r="MPJ91" s="206"/>
      <c r="MPK91" s="207"/>
      <c r="MPL91" s="207"/>
      <c r="MPM91" s="208"/>
      <c r="MPN91" s="209"/>
      <c r="MPO91" s="207"/>
      <c r="MPP91" s="210"/>
      <c r="MPQ91" s="209"/>
      <c r="MPR91" s="204"/>
      <c r="MPS91" s="204"/>
      <c r="MPT91" s="204"/>
      <c r="MPU91" s="199"/>
      <c r="MPV91" s="167"/>
      <c r="MPW91" s="199"/>
      <c r="MPX91" s="200"/>
      <c r="MPY91" s="201"/>
      <c r="MPZ91" s="202"/>
      <c r="MQA91" s="202"/>
      <c r="MQB91" s="202"/>
      <c r="MQC91" s="202"/>
      <c r="MQD91" s="203"/>
      <c r="MQE91" s="204"/>
      <c r="MQF91" s="204"/>
      <c r="MQG91" s="204"/>
      <c r="MQH91" s="205"/>
      <c r="MQI91" s="206"/>
      <c r="MQJ91" s="207"/>
      <c r="MQK91" s="207"/>
      <c r="MQL91" s="208"/>
      <c r="MQM91" s="209"/>
      <c r="MQN91" s="207"/>
      <c r="MQO91" s="210"/>
      <c r="MQP91" s="209"/>
      <c r="MQQ91" s="204"/>
      <c r="MQR91" s="204"/>
      <c r="MQS91" s="204"/>
      <c r="MQT91" s="199"/>
      <c r="MQU91" s="167"/>
      <c r="MQV91" s="199"/>
      <c r="MQW91" s="200"/>
      <c r="MQX91" s="201"/>
      <c r="MQY91" s="202"/>
      <c r="MQZ91" s="202"/>
      <c r="MRA91" s="202"/>
      <c r="MRB91" s="202"/>
      <c r="MRC91" s="203"/>
      <c r="MRD91" s="204"/>
      <c r="MRE91" s="204"/>
      <c r="MRF91" s="204"/>
      <c r="MRG91" s="205"/>
      <c r="MRH91" s="206"/>
      <c r="MRI91" s="207"/>
      <c r="MRJ91" s="207"/>
      <c r="MRK91" s="208"/>
      <c r="MRL91" s="209"/>
      <c r="MRM91" s="207"/>
      <c r="MRN91" s="210"/>
      <c r="MRO91" s="209"/>
      <c r="MRP91" s="204"/>
      <c r="MRQ91" s="204"/>
      <c r="MRR91" s="204"/>
      <c r="MRS91" s="199"/>
      <c r="MRT91" s="167"/>
      <c r="MRU91" s="199"/>
      <c r="MRV91" s="200"/>
      <c r="MRW91" s="201"/>
      <c r="MRX91" s="202"/>
      <c r="MRY91" s="202"/>
      <c r="MRZ91" s="202"/>
      <c r="MSA91" s="202"/>
      <c r="MSB91" s="203"/>
      <c r="MSC91" s="204"/>
      <c r="MSD91" s="204"/>
      <c r="MSE91" s="204"/>
      <c r="MSF91" s="205"/>
      <c r="MSG91" s="206"/>
      <c r="MSH91" s="207"/>
      <c r="MSI91" s="207"/>
      <c r="MSJ91" s="208"/>
      <c r="MSK91" s="209"/>
      <c r="MSL91" s="207"/>
      <c r="MSM91" s="210"/>
      <c r="MSN91" s="209"/>
      <c r="MSO91" s="204"/>
      <c r="MSP91" s="204"/>
      <c r="MSQ91" s="204"/>
      <c r="MSR91" s="199"/>
      <c r="MSS91" s="167"/>
      <c r="MST91" s="199"/>
      <c r="MSU91" s="200"/>
      <c r="MSV91" s="201"/>
      <c r="MSW91" s="202"/>
      <c r="MSX91" s="202"/>
      <c r="MSY91" s="202"/>
      <c r="MSZ91" s="202"/>
      <c r="MTA91" s="203"/>
      <c r="MTB91" s="204"/>
      <c r="MTC91" s="204"/>
      <c r="MTD91" s="204"/>
      <c r="MTE91" s="205"/>
      <c r="MTF91" s="206"/>
      <c r="MTG91" s="207"/>
      <c r="MTH91" s="207"/>
      <c r="MTI91" s="208"/>
      <c r="MTJ91" s="209"/>
      <c r="MTK91" s="207"/>
      <c r="MTL91" s="210"/>
      <c r="MTM91" s="209"/>
      <c r="MTN91" s="204"/>
      <c r="MTO91" s="204"/>
      <c r="MTP91" s="204"/>
      <c r="MTQ91" s="199"/>
      <c r="MTR91" s="167"/>
      <c r="MTS91" s="199"/>
      <c r="MTT91" s="200"/>
      <c r="MTU91" s="201"/>
      <c r="MTV91" s="202"/>
      <c r="MTW91" s="202"/>
      <c r="MTX91" s="202"/>
      <c r="MTY91" s="202"/>
      <c r="MTZ91" s="203"/>
      <c r="MUA91" s="204"/>
      <c r="MUB91" s="204"/>
      <c r="MUC91" s="204"/>
      <c r="MUD91" s="205"/>
      <c r="MUE91" s="206"/>
      <c r="MUF91" s="207"/>
      <c r="MUG91" s="207"/>
      <c r="MUH91" s="208"/>
      <c r="MUI91" s="209"/>
      <c r="MUJ91" s="207"/>
      <c r="MUK91" s="210"/>
      <c r="MUL91" s="209"/>
      <c r="MUM91" s="204"/>
      <c r="MUN91" s="204"/>
      <c r="MUO91" s="204"/>
      <c r="MUP91" s="199"/>
      <c r="MUQ91" s="167"/>
      <c r="MUR91" s="199"/>
      <c r="MUS91" s="200"/>
      <c r="MUT91" s="201"/>
      <c r="MUU91" s="202"/>
      <c r="MUV91" s="202"/>
      <c r="MUW91" s="202"/>
      <c r="MUX91" s="202"/>
      <c r="MUY91" s="203"/>
      <c r="MUZ91" s="204"/>
      <c r="MVA91" s="204"/>
      <c r="MVB91" s="204"/>
      <c r="MVC91" s="205"/>
      <c r="MVD91" s="206"/>
      <c r="MVE91" s="207"/>
      <c r="MVF91" s="207"/>
      <c r="MVG91" s="208"/>
      <c r="MVH91" s="209"/>
      <c r="MVI91" s="207"/>
      <c r="MVJ91" s="210"/>
      <c r="MVK91" s="209"/>
      <c r="MVL91" s="204"/>
      <c r="MVM91" s="204"/>
      <c r="MVN91" s="204"/>
      <c r="MVO91" s="199"/>
      <c r="MVP91" s="167"/>
      <c r="MVQ91" s="199"/>
      <c r="MVR91" s="200"/>
      <c r="MVS91" s="201"/>
      <c r="MVT91" s="202"/>
      <c r="MVU91" s="202"/>
      <c r="MVV91" s="202"/>
      <c r="MVW91" s="202"/>
      <c r="MVX91" s="203"/>
      <c r="MVY91" s="204"/>
      <c r="MVZ91" s="204"/>
      <c r="MWA91" s="204"/>
      <c r="MWB91" s="205"/>
      <c r="MWC91" s="206"/>
      <c r="MWD91" s="207"/>
      <c r="MWE91" s="207"/>
      <c r="MWF91" s="208"/>
      <c r="MWG91" s="209"/>
      <c r="MWH91" s="207"/>
      <c r="MWI91" s="210"/>
      <c r="MWJ91" s="209"/>
      <c r="MWK91" s="204"/>
      <c r="MWL91" s="204"/>
      <c r="MWM91" s="204"/>
      <c r="MWN91" s="199"/>
      <c r="MWO91" s="167"/>
      <c r="MWP91" s="199"/>
      <c r="MWQ91" s="200"/>
      <c r="MWR91" s="201"/>
      <c r="MWS91" s="202"/>
      <c r="MWT91" s="202"/>
      <c r="MWU91" s="202"/>
      <c r="MWV91" s="202"/>
      <c r="MWW91" s="203"/>
      <c r="MWX91" s="204"/>
      <c r="MWY91" s="204"/>
      <c r="MWZ91" s="204"/>
      <c r="MXA91" s="205"/>
      <c r="MXB91" s="206"/>
      <c r="MXC91" s="207"/>
      <c r="MXD91" s="207"/>
      <c r="MXE91" s="208"/>
      <c r="MXF91" s="209"/>
      <c r="MXG91" s="207"/>
      <c r="MXH91" s="210"/>
      <c r="MXI91" s="209"/>
      <c r="MXJ91" s="204"/>
      <c r="MXK91" s="204"/>
      <c r="MXL91" s="204"/>
      <c r="MXM91" s="199"/>
      <c r="MXN91" s="167"/>
      <c r="MXO91" s="199"/>
      <c r="MXP91" s="200"/>
      <c r="MXQ91" s="201"/>
      <c r="MXR91" s="202"/>
      <c r="MXS91" s="202"/>
      <c r="MXT91" s="202"/>
      <c r="MXU91" s="202"/>
      <c r="MXV91" s="203"/>
      <c r="MXW91" s="204"/>
      <c r="MXX91" s="204"/>
      <c r="MXY91" s="204"/>
      <c r="MXZ91" s="205"/>
      <c r="MYA91" s="206"/>
      <c r="MYB91" s="207"/>
      <c r="MYC91" s="207"/>
      <c r="MYD91" s="208"/>
      <c r="MYE91" s="209"/>
      <c r="MYF91" s="207"/>
      <c r="MYG91" s="210"/>
      <c r="MYH91" s="209"/>
      <c r="MYI91" s="204"/>
      <c r="MYJ91" s="204"/>
      <c r="MYK91" s="204"/>
      <c r="MYL91" s="199"/>
      <c r="MYM91" s="167"/>
      <c r="MYN91" s="199"/>
      <c r="MYO91" s="200"/>
      <c r="MYP91" s="201"/>
      <c r="MYQ91" s="202"/>
      <c r="MYR91" s="202"/>
      <c r="MYS91" s="202"/>
      <c r="MYT91" s="202"/>
      <c r="MYU91" s="203"/>
      <c r="MYV91" s="204"/>
      <c r="MYW91" s="204"/>
      <c r="MYX91" s="204"/>
      <c r="MYY91" s="205"/>
      <c r="MYZ91" s="206"/>
      <c r="MZA91" s="207"/>
      <c r="MZB91" s="207"/>
      <c r="MZC91" s="208"/>
      <c r="MZD91" s="209"/>
      <c r="MZE91" s="207"/>
      <c r="MZF91" s="210"/>
      <c r="MZG91" s="209"/>
      <c r="MZH91" s="204"/>
      <c r="MZI91" s="204"/>
      <c r="MZJ91" s="204"/>
      <c r="MZK91" s="199"/>
      <c r="MZL91" s="167"/>
      <c r="MZM91" s="199"/>
      <c r="MZN91" s="200"/>
      <c r="MZO91" s="201"/>
      <c r="MZP91" s="202"/>
      <c r="MZQ91" s="202"/>
      <c r="MZR91" s="202"/>
      <c r="MZS91" s="202"/>
      <c r="MZT91" s="203"/>
      <c r="MZU91" s="204"/>
      <c r="MZV91" s="204"/>
      <c r="MZW91" s="204"/>
      <c r="MZX91" s="205"/>
      <c r="MZY91" s="206"/>
      <c r="MZZ91" s="207"/>
      <c r="NAA91" s="207"/>
      <c r="NAB91" s="208"/>
      <c r="NAC91" s="209"/>
      <c r="NAD91" s="207"/>
      <c r="NAE91" s="210"/>
      <c r="NAF91" s="209"/>
      <c r="NAG91" s="204"/>
      <c r="NAH91" s="204"/>
      <c r="NAI91" s="204"/>
      <c r="NAJ91" s="199"/>
      <c r="NAK91" s="167"/>
      <c r="NAL91" s="199"/>
      <c r="NAM91" s="200"/>
      <c r="NAN91" s="201"/>
      <c r="NAO91" s="202"/>
      <c r="NAP91" s="202"/>
      <c r="NAQ91" s="202"/>
      <c r="NAR91" s="202"/>
      <c r="NAS91" s="203"/>
      <c r="NAT91" s="204"/>
      <c r="NAU91" s="204"/>
      <c r="NAV91" s="204"/>
      <c r="NAW91" s="205"/>
      <c r="NAX91" s="206"/>
      <c r="NAY91" s="207"/>
      <c r="NAZ91" s="207"/>
      <c r="NBA91" s="208"/>
      <c r="NBB91" s="209"/>
      <c r="NBC91" s="207"/>
      <c r="NBD91" s="210"/>
      <c r="NBE91" s="209"/>
      <c r="NBF91" s="204"/>
      <c r="NBG91" s="204"/>
      <c r="NBH91" s="204"/>
      <c r="NBI91" s="199"/>
      <c r="NBJ91" s="167"/>
      <c r="NBK91" s="199"/>
      <c r="NBL91" s="200"/>
      <c r="NBM91" s="201"/>
      <c r="NBN91" s="202"/>
      <c r="NBO91" s="202"/>
      <c r="NBP91" s="202"/>
      <c r="NBQ91" s="202"/>
      <c r="NBR91" s="203"/>
      <c r="NBS91" s="204"/>
      <c r="NBT91" s="204"/>
      <c r="NBU91" s="204"/>
      <c r="NBV91" s="205"/>
      <c r="NBW91" s="206"/>
      <c r="NBX91" s="207"/>
      <c r="NBY91" s="207"/>
      <c r="NBZ91" s="208"/>
      <c r="NCA91" s="209"/>
      <c r="NCB91" s="207"/>
      <c r="NCC91" s="210"/>
      <c r="NCD91" s="209"/>
      <c r="NCE91" s="204"/>
      <c r="NCF91" s="204"/>
      <c r="NCG91" s="204"/>
      <c r="NCH91" s="199"/>
      <c r="NCI91" s="167"/>
      <c r="NCJ91" s="199"/>
      <c r="NCK91" s="200"/>
      <c r="NCL91" s="201"/>
      <c r="NCM91" s="202"/>
      <c r="NCN91" s="202"/>
      <c r="NCO91" s="202"/>
      <c r="NCP91" s="202"/>
      <c r="NCQ91" s="203"/>
      <c r="NCR91" s="204"/>
      <c r="NCS91" s="204"/>
      <c r="NCT91" s="204"/>
      <c r="NCU91" s="205"/>
      <c r="NCV91" s="206"/>
      <c r="NCW91" s="207"/>
      <c r="NCX91" s="207"/>
      <c r="NCY91" s="208"/>
      <c r="NCZ91" s="209"/>
      <c r="NDA91" s="207"/>
      <c r="NDB91" s="210"/>
      <c r="NDC91" s="209"/>
      <c r="NDD91" s="204"/>
      <c r="NDE91" s="204"/>
      <c r="NDF91" s="204"/>
      <c r="NDG91" s="199"/>
      <c r="NDH91" s="167"/>
      <c r="NDI91" s="199"/>
      <c r="NDJ91" s="200"/>
      <c r="NDK91" s="201"/>
      <c r="NDL91" s="202"/>
      <c r="NDM91" s="202"/>
      <c r="NDN91" s="202"/>
      <c r="NDO91" s="202"/>
      <c r="NDP91" s="203"/>
      <c r="NDQ91" s="204"/>
      <c r="NDR91" s="204"/>
      <c r="NDS91" s="204"/>
      <c r="NDT91" s="205"/>
      <c r="NDU91" s="206"/>
      <c r="NDV91" s="207"/>
      <c r="NDW91" s="207"/>
      <c r="NDX91" s="208"/>
      <c r="NDY91" s="209"/>
      <c r="NDZ91" s="207"/>
      <c r="NEA91" s="210"/>
      <c r="NEB91" s="209"/>
      <c r="NEC91" s="204"/>
      <c r="NED91" s="204"/>
      <c r="NEE91" s="204"/>
      <c r="NEF91" s="199"/>
      <c r="NEG91" s="167"/>
      <c r="NEH91" s="199"/>
      <c r="NEI91" s="200"/>
      <c r="NEJ91" s="201"/>
      <c r="NEK91" s="202"/>
      <c r="NEL91" s="202"/>
      <c r="NEM91" s="202"/>
      <c r="NEN91" s="202"/>
      <c r="NEO91" s="203"/>
      <c r="NEP91" s="204"/>
      <c r="NEQ91" s="204"/>
      <c r="NER91" s="204"/>
      <c r="NES91" s="205"/>
      <c r="NET91" s="206"/>
      <c r="NEU91" s="207"/>
      <c r="NEV91" s="207"/>
      <c r="NEW91" s="208"/>
      <c r="NEX91" s="209"/>
      <c r="NEY91" s="207"/>
      <c r="NEZ91" s="210"/>
      <c r="NFA91" s="209"/>
      <c r="NFB91" s="204"/>
      <c r="NFC91" s="204"/>
      <c r="NFD91" s="204"/>
      <c r="NFE91" s="199"/>
      <c r="NFF91" s="167"/>
      <c r="NFG91" s="199"/>
      <c r="NFH91" s="200"/>
      <c r="NFI91" s="201"/>
      <c r="NFJ91" s="202"/>
      <c r="NFK91" s="202"/>
      <c r="NFL91" s="202"/>
      <c r="NFM91" s="202"/>
      <c r="NFN91" s="203"/>
      <c r="NFO91" s="204"/>
      <c r="NFP91" s="204"/>
      <c r="NFQ91" s="204"/>
      <c r="NFR91" s="205"/>
      <c r="NFS91" s="206"/>
      <c r="NFT91" s="207"/>
      <c r="NFU91" s="207"/>
      <c r="NFV91" s="208"/>
      <c r="NFW91" s="209"/>
      <c r="NFX91" s="207"/>
      <c r="NFY91" s="210"/>
      <c r="NFZ91" s="209"/>
      <c r="NGA91" s="204"/>
      <c r="NGB91" s="204"/>
      <c r="NGC91" s="204"/>
      <c r="NGD91" s="199"/>
      <c r="NGE91" s="167"/>
      <c r="NGF91" s="199"/>
      <c r="NGG91" s="200"/>
      <c r="NGH91" s="201"/>
      <c r="NGI91" s="202"/>
      <c r="NGJ91" s="202"/>
      <c r="NGK91" s="202"/>
      <c r="NGL91" s="202"/>
      <c r="NGM91" s="203"/>
      <c r="NGN91" s="204"/>
      <c r="NGO91" s="204"/>
      <c r="NGP91" s="204"/>
      <c r="NGQ91" s="205"/>
      <c r="NGR91" s="206"/>
      <c r="NGS91" s="207"/>
      <c r="NGT91" s="207"/>
      <c r="NGU91" s="208"/>
      <c r="NGV91" s="209"/>
      <c r="NGW91" s="207"/>
      <c r="NGX91" s="210"/>
      <c r="NGY91" s="209"/>
      <c r="NGZ91" s="204"/>
      <c r="NHA91" s="204"/>
      <c r="NHB91" s="204"/>
      <c r="NHC91" s="199"/>
      <c r="NHD91" s="167"/>
      <c r="NHE91" s="199"/>
      <c r="NHF91" s="200"/>
      <c r="NHG91" s="201"/>
      <c r="NHH91" s="202"/>
      <c r="NHI91" s="202"/>
      <c r="NHJ91" s="202"/>
      <c r="NHK91" s="202"/>
      <c r="NHL91" s="203"/>
      <c r="NHM91" s="204"/>
      <c r="NHN91" s="204"/>
      <c r="NHO91" s="204"/>
      <c r="NHP91" s="205"/>
      <c r="NHQ91" s="206"/>
      <c r="NHR91" s="207"/>
      <c r="NHS91" s="207"/>
      <c r="NHT91" s="208"/>
      <c r="NHU91" s="209"/>
      <c r="NHV91" s="207"/>
      <c r="NHW91" s="210"/>
      <c r="NHX91" s="209"/>
      <c r="NHY91" s="204"/>
      <c r="NHZ91" s="204"/>
      <c r="NIA91" s="204"/>
      <c r="NIB91" s="199"/>
      <c r="NIC91" s="167"/>
      <c r="NID91" s="199"/>
      <c r="NIE91" s="200"/>
      <c r="NIF91" s="201"/>
      <c r="NIG91" s="202"/>
      <c r="NIH91" s="202"/>
      <c r="NII91" s="202"/>
      <c r="NIJ91" s="202"/>
      <c r="NIK91" s="203"/>
      <c r="NIL91" s="204"/>
      <c r="NIM91" s="204"/>
      <c r="NIN91" s="204"/>
      <c r="NIO91" s="205"/>
      <c r="NIP91" s="206"/>
      <c r="NIQ91" s="207"/>
      <c r="NIR91" s="207"/>
      <c r="NIS91" s="208"/>
      <c r="NIT91" s="209"/>
      <c r="NIU91" s="207"/>
      <c r="NIV91" s="210"/>
      <c r="NIW91" s="209"/>
      <c r="NIX91" s="204"/>
      <c r="NIY91" s="204"/>
      <c r="NIZ91" s="204"/>
      <c r="NJA91" s="199"/>
      <c r="NJB91" s="167"/>
      <c r="NJC91" s="199"/>
      <c r="NJD91" s="200"/>
      <c r="NJE91" s="201"/>
      <c r="NJF91" s="202"/>
      <c r="NJG91" s="202"/>
      <c r="NJH91" s="202"/>
      <c r="NJI91" s="202"/>
      <c r="NJJ91" s="203"/>
      <c r="NJK91" s="204"/>
      <c r="NJL91" s="204"/>
      <c r="NJM91" s="204"/>
      <c r="NJN91" s="205"/>
      <c r="NJO91" s="206"/>
      <c r="NJP91" s="207"/>
      <c r="NJQ91" s="207"/>
      <c r="NJR91" s="208"/>
      <c r="NJS91" s="209"/>
      <c r="NJT91" s="207"/>
      <c r="NJU91" s="210"/>
      <c r="NJV91" s="209"/>
      <c r="NJW91" s="204"/>
      <c r="NJX91" s="204"/>
      <c r="NJY91" s="204"/>
      <c r="NJZ91" s="199"/>
      <c r="NKA91" s="167"/>
      <c r="NKB91" s="199"/>
      <c r="NKC91" s="200"/>
      <c r="NKD91" s="201"/>
      <c r="NKE91" s="202"/>
      <c r="NKF91" s="202"/>
      <c r="NKG91" s="202"/>
      <c r="NKH91" s="202"/>
      <c r="NKI91" s="203"/>
      <c r="NKJ91" s="204"/>
      <c r="NKK91" s="204"/>
      <c r="NKL91" s="204"/>
      <c r="NKM91" s="205"/>
      <c r="NKN91" s="206"/>
      <c r="NKO91" s="207"/>
      <c r="NKP91" s="207"/>
      <c r="NKQ91" s="208"/>
      <c r="NKR91" s="209"/>
      <c r="NKS91" s="207"/>
      <c r="NKT91" s="210"/>
      <c r="NKU91" s="209"/>
      <c r="NKV91" s="204"/>
      <c r="NKW91" s="204"/>
      <c r="NKX91" s="204"/>
      <c r="NKY91" s="199"/>
      <c r="NKZ91" s="167"/>
      <c r="NLA91" s="199"/>
      <c r="NLB91" s="200"/>
      <c r="NLC91" s="201"/>
      <c r="NLD91" s="202"/>
      <c r="NLE91" s="202"/>
      <c r="NLF91" s="202"/>
      <c r="NLG91" s="202"/>
      <c r="NLH91" s="203"/>
      <c r="NLI91" s="204"/>
      <c r="NLJ91" s="204"/>
      <c r="NLK91" s="204"/>
      <c r="NLL91" s="205"/>
      <c r="NLM91" s="206"/>
      <c r="NLN91" s="207"/>
      <c r="NLO91" s="207"/>
      <c r="NLP91" s="208"/>
      <c r="NLQ91" s="209"/>
      <c r="NLR91" s="207"/>
      <c r="NLS91" s="210"/>
      <c r="NLT91" s="209"/>
      <c r="NLU91" s="204"/>
      <c r="NLV91" s="204"/>
      <c r="NLW91" s="204"/>
      <c r="NLX91" s="199"/>
      <c r="NLY91" s="167"/>
      <c r="NLZ91" s="199"/>
      <c r="NMA91" s="200"/>
      <c r="NMB91" s="201"/>
      <c r="NMC91" s="202"/>
      <c r="NMD91" s="202"/>
      <c r="NME91" s="202"/>
      <c r="NMF91" s="202"/>
      <c r="NMG91" s="203"/>
      <c r="NMH91" s="204"/>
      <c r="NMI91" s="204"/>
      <c r="NMJ91" s="204"/>
      <c r="NMK91" s="205"/>
      <c r="NML91" s="206"/>
      <c r="NMM91" s="207"/>
      <c r="NMN91" s="207"/>
      <c r="NMO91" s="208"/>
      <c r="NMP91" s="209"/>
      <c r="NMQ91" s="207"/>
      <c r="NMR91" s="210"/>
      <c r="NMS91" s="209"/>
      <c r="NMT91" s="204"/>
      <c r="NMU91" s="204"/>
      <c r="NMV91" s="204"/>
      <c r="NMW91" s="199"/>
      <c r="NMX91" s="167"/>
      <c r="NMY91" s="199"/>
      <c r="NMZ91" s="200"/>
      <c r="NNA91" s="201"/>
      <c r="NNB91" s="202"/>
      <c r="NNC91" s="202"/>
      <c r="NND91" s="202"/>
      <c r="NNE91" s="202"/>
      <c r="NNF91" s="203"/>
      <c r="NNG91" s="204"/>
      <c r="NNH91" s="204"/>
      <c r="NNI91" s="204"/>
      <c r="NNJ91" s="205"/>
      <c r="NNK91" s="206"/>
      <c r="NNL91" s="207"/>
      <c r="NNM91" s="207"/>
      <c r="NNN91" s="208"/>
      <c r="NNO91" s="209"/>
      <c r="NNP91" s="207"/>
      <c r="NNQ91" s="210"/>
      <c r="NNR91" s="209"/>
      <c r="NNS91" s="204"/>
      <c r="NNT91" s="204"/>
      <c r="NNU91" s="204"/>
      <c r="NNV91" s="199"/>
      <c r="NNW91" s="167"/>
      <c r="NNX91" s="199"/>
      <c r="NNY91" s="200"/>
      <c r="NNZ91" s="201"/>
      <c r="NOA91" s="202"/>
      <c r="NOB91" s="202"/>
      <c r="NOC91" s="202"/>
      <c r="NOD91" s="202"/>
      <c r="NOE91" s="203"/>
      <c r="NOF91" s="204"/>
      <c r="NOG91" s="204"/>
      <c r="NOH91" s="204"/>
      <c r="NOI91" s="205"/>
      <c r="NOJ91" s="206"/>
      <c r="NOK91" s="207"/>
      <c r="NOL91" s="207"/>
      <c r="NOM91" s="208"/>
      <c r="NON91" s="209"/>
      <c r="NOO91" s="207"/>
      <c r="NOP91" s="210"/>
      <c r="NOQ91" s="209"/>
      <c r="NOR91" s="204"/>
      <c r="NOS91" s="204"/>
      <c r="NOT91" s="204"/>
      <c r="NOU91" s="199"/>
      <c r="NOV91" s="167"/>
      <c r="NOW91" s="199"/>
      <c r="NOX91" s="200"/>
      <c r="NOY91" s="201"/>
      <c r="NOZ91" s="202"/>
      <c r="NPA91" s="202"/>
      <c r="NPB91" s="202"/>
      <c r="NPC91" s="202"/>
      <c r="NPD91" s="203"/>
      <c r="NPE91" s="204"/>
      <c r="NPF91" s="204"/>
      <c r="NPG91" s="204"/>
      <c r="NPH91" s="205"/>
      <c r="NPI91" s="206"/>
      <c r="NPJ91" s="207"/>
      <c r="NPK91" s="207"/>
      <c r="NPL91" s="208"/>
      <c r="NPM91" s="209"/>
      <c r="NPN91" s="207"/>
      <c r="NPO91" s="210"/>
      <c r="NPP91" s="209"/>
      <c r="NPQ91" s="204"/>
      <c r="NPR91" s="204"/>
      <c r="NPS91" s="204"/>
      <c r="NPT91" s="199"/>
      <c r="NPU91" s="167"/>
      <c r="NPV91" s="199"/>
      <c r="NPW91" s="200"/>
      <c r="NPX91" s="201"/>
      <c r="NPY91" s="202"/>
      <c r="NPZ91" s="202"/>
      <c r="NQA91" s="202"/>
      <c r="NQB91" s="202"/>
      <c r="NQC91" s="203"/>
      <c r="NQD91" s="204"/>
      <c r="NQE91" s="204"/>
      <c r="NQF91" s="204"/>
      <c r="NQG91" s="205"/>
      <c r="NQH91" s="206"/>
      <c r="NQI91" s="207"/>
      <c r="NQJ91" s="207"/>
      <c r="NQK91" s="208"/>
      <c r="NQL91" s="209"/>
      <c r="NQM91" s="207"/>
      <c r="NQN91" s="210"/>
      <c r="NQO91" s="209"/>
      <c r="NQP91" s="204"/>
      <c r="NQQ91" s="204"/>
      <c r="NQR91" s="204"/>
      <c r="NQS91" s="199"/>
      <c r="NQT91" s="167"/>
      <c r="NQU91" s="199"/>
      <c r="NQV91" s="200"/>
      <c r="NQW91" s="201"/>
      <c r="NQX91" s="202"/>
      <c r="NQY91" s="202"/>
      <c r="NQZ91" s="202"/>
      <c r="NRA91" s="202"/>
      <c r="NRB91" s="203"/>
      <c r="NRC91" s="204"/>
      <c r="NRD91" s="204"/>
      <c r="NRE91" s="204"/>
      <c r="NRF91" s="205"/>
      <c r="NRG91" s="206"/>
      <c r="NRH91" s="207"/>
      <c r="NRI91" s="207"/>
      <c r="NRJ91" s="208"/>
      <c r="NRK91" s="209"/>
      <c r="NRL91" s="207"/>
      <c r="NRM91" s="210"/>
      <c r="NRN91" s="209"/>
      <c r="NRO91" s="204"/>
      <c r="NRP91" s="204"/>
      <c r="NRQ91" s="204"/>
      <c r="NRR91" s="199"/>
      <c r="NRS91" s="167"/>
      <c r="NRT91" s="199"/>
      <c r="NRU91" s="200"/>
      <c r="NRV91" s="201"/>
      <c r="NRW91" s="202"/>
      <c r="NRX91" s="202"/>
      <c r="NRY91" s="202"/>
      <c r="NRZ91" s="202"/>
      <c r="NSA91" s="203"/>
      <c r="NSB91" s="204"/>
      <c r="NSC91" s="204"/>
      <c r="NSD91" s="204"/>
      <c r="NSE91" s="205"/>
      <c r="NSF91" s="206"/>
      <c r="NSG91" s="207"/>
      <c r="NSH91" s="207"/>
      <c r="NSI91" s="208"/>
      <c r="NSJ91" s="209"/>
      <c r="NSK91" s="207"/>
      <c r="NSL91" s="210"/>
      <c r="NSM91" s="209"/>
      <c r="NSN91" s="204"/>
      <c r="NSO91" s="204"/>
      <c r="NSP91" s="204"/>
      <c r="NSQ91" s="199"/>
      <c r="NSR91" s="167"/>
      <c r="NSS91" s="199"/>
      <c r="NST91" s="200"/>
      <c r="NSU91" s="201"/>
      <c r="NSV91" s="202"/>
      <c r="NSW91" s="202"/>
      <c r="NSX91" s="202"/>
      <c r="NSY91" s="202"/>
      <c r="NSZ91" s="203"/>
      <c r="NTA91" s="204"/>
      <c r="NTB91" s="204"/>
      <c r="NTC91" s="204"/>
      <c r="NTD91" s="205"/>
      <c r="NTE91" s="206"/>
      <c r="NTF91" s="207"/>
      <c r="NTG91" s="207"/>
      <c r="NTH91" s="208"/>
      <c r="NTI91" s="209"/>
      <c r="NTJ91" s="207"/>
      <c r="NTK91" s="210"/>
      <c r="NTL91" s="209"/>
      <c r="NTM91" s="204"/>
      <c r="NTN91" s="204"/>
      <c r="NTO91" s="204"/>
      <c r="NTP91" s="199"/>
      <c r="NTQ91" s="167"/>
      <c r="NTR91" s="199"/>
      <c r="NTS91" s="200"/>
      <c r="NTT91" s="201"/>
      <c r="NTU91" s="202"/>
      <c r="NTV91" s="202"/>
      <c r="NTW91" s="202"/>
      <c r="NTX91" s="202"/>
      <c r="NTY91" s="203"/>
      <c r="NTZ91" s="204"/>
      <c r="NUA91" s="204"/>
      <c r="NUB91" s="204"/>
      <c r="NUC91" s="205"/>
      <c r="NUD91" s="206"/>
      <c r="NUE91" s="207"/>
      <c r="NUF91" s="207"/>
      <c r="NUG91" s="208"/>
      <c r="NUH91" s="209"/>
      <c r="NUI91" s="207"/>
      <c r="NUJ91" s="210"/>
      <c r="NUK91" s="209"/>
      <c r="NUL91" s="204"/>
      <c r="NUM91" s="204"/>
      <c r="NUN91" s="204"/>
      <c r="NUO91" s="199"/>
      <c r="NUP91" s="167"/>
      <c r="NUQ91" s="199"/>
      <c r="NUR91" s="200"/>
      <c r="NUS91" s="201"/>
      <c r="NUT91" s="202"/>
      <c r="NUU91" s="202"/>
      <c r="NUV91" s="202"/>
      <c r="NUW91" s="202"/>
      <c r="NUX91" s="203"/>
      <c r="NUY91" s="204"/>
      <c r="NUZ91" s="204"/>
      <c r="NVA91" s="204"/>
      <c r="NVB91" s="205"/>
      <c r="NVC91" s="206"/>
      <c r="NVD91" s="207"/>
      <c r="NVE91" s="207"/>
      <c r="NVF91" s="208"/>
      <c r="NVG91" s="209"/>
      <c r="NVH91" s="207"/>
      <c r="NVI91" s="210"/>
      <c r="NVJ91" s="209"/>
      <c r="NVK91" s="204"/>
      <c r="NVL91" s="204"/>
      <c r="NVM91" s="204"/>
      <c r="NVN91" s="199"/>
      <c r="NVO91" s="167"/>
      <c r="NVP91" s="199"/>
      <c r="NVQ91" s="200"/>
      <c r="NVR91" s="201"/>
      <c r="NVS91" s="202"/>
      <c r="NVT91" s="202"/>
      <c r="NVU91" s="202"/>
      <c r="NVV91" s="202"/>
      <c r="NVW91" s="203"/>
      <c r="NVX91" s="204"/>
      <c r="NVY91" s="204"/>
      <c r="NVZ91" s="204"/>
      <c r="NWA91" s="205"/>
      <c r="NWB91" s="206"/>
      <c r="NWC91" s="207"/>
      <c r="NWD91" s="207"/>
      <c r="NWE91" s="208"/>
      <c r="NWF91" s="209"/>
      <c r="NWG91" s="207"/>
      <c r="NWH91" s="210"/>
      <c r="NWI91" s="209"/>
      <c r="NWJ91" s="204"/>
      <c r="NWK91" s="204"/>
      <c r="NWL91" s="204"/>
      <c r="NWM91" s="199"/>
      <c r="NWN91" s="167"/>
      <c r="NWO91" s="199"/>
      <c r="NWP91" s="200"/>
      <c r="NWQ91" s="201"/>
      <c r="NWR91" s="202"/>
      <c r="NWS91" s="202"/>
      <c r="NWT91" s="202"/>
      <c r="NWU91" s="202"/>
      <c r="NWV91" s="203"/>
      <c r="NWW91" s="204"/>
      <c r="NWX91" s="204"/>
      <c r="NWY91" s="204"/>
      <c r="NWZ91" s="205"/>
      <c r="NXA91" s="206"/>
      <c r="NXB91" s="207"/>
      <c r="NXC91" s="207"/>
      <c r="NXD91" s="208"/>
      <c r="NXE91" s="209"/>
      <c r="NXF91" s="207"/>
      <c r="NXG91" s="210"/>
      <c r="NXH91" s="209"/>
      <c r="NXI91" s="204"/>
      <c r="NXJ91" s="204"/>
      <c r="NXK91" s="204"/>
      <c r="NXL91" s="199"/>
      <c r="NXM91" s="167"/>
      <c r="NXN91" s="199"/>
      <c r="NXO91" s="200"/>
      <c r="NXP91" s="201"/>
      <c r="NXQ91" s="202"/>
      <c r="NXR91" s="202"/>
      <c r="NXS91" s="202"/>
      <c r="NXT91" s="202"/>
      <c r="NXU91" s="203"/>
      <c r="NXV91" s="204"/>
      <c r="NXW91" s="204"/>
      <c r="NXX91" s="204"/>
      <c r="NXY91" s="205"/>
      <c r="NXZ91" s="206"/>
      <c r="NYA91" s="207"/>
      <c r="NYB91" s="207"/>
      <c r="NYC91" s="208"/>
      <c r="NYD91" s="209"/>
      <c r="NYE91" s="207"/>
      <c r="NYF91" s="210"/>
      <c r="NYG91" s="209"/>
      <c r="NYH91" s="204"/>
      <c r="NYI91" s="204"/>
      <c r="NYJ91" s="204"/>
      <c r="NYK91" s="199"/>
      <c r="NYL91" s="167"/>
      <c r="NYM91" s="199"/>
      <c r="NYN91" s="200"/>
      <c r="NYO91" s="201"/>
      <c r="NYP91" s="202"/>
      <c r="NYQ91" s="202"/>
      <c r="NYR91" s="202"/>
      <c r="NYS91" s="202"/>
      <c r="NYT91" s="203"/>
      <c r="NYU91" s="204"/>
      <c r="NYV91" s="204"/>
      <c r="NYW91" s="204"/>
      <c r="NYX91" s="205"/>
      <c r="NYY91" s="206"/>
      <c r="NYZ91" s="207"/>
      <c r="NZA91" s="207"/>
      <c r="NZB91" s="208"/>
      <c r="NZC91" s="209"/>
      <c r="NZD91" s="207"/>
      <c r="NZE91" s="210"/>
      <c r="NZF91" s="209"/>
      <c r="NZG91" s="204"/>
      <c r="NZH91" s="204"/>
      <c r="NZI91" s="204"/>
      <c r="NZJ91" s="199"/>
      <c r="NZK91" s="167"/>
      <c r="NZL91" s="199"/>
      <c r="NZM91" s="200"/>
      <c r="NZN91" s="201"/>
      <c r="NZO91" s="202"/>
      <c r="NZP91" s="202"/>
      <c r="NZQ91" s="202"/>
      <c r="NZR91" s="202"/>
      <c r="NZS91" s="203"/>
      <c r="NZT91" s="204"/>
      <c r="NZU91" s="204"/>
      <c r="NZV91" s="204"/>
      <c r="NZW91" s="205"/>
      <c r="NZX91" s="206"/>
      <c r="NZY91" s="207"/>
      <c r="NZZ91" s="207"/>
      <c r="OAA91" s="208"/>
      <c r="OAB91" s="209"/>
      <c r="OAC91" s="207"/>
      <c r="OAD91" s="210"/>
      <c r="OAE91" s="209"/>
      <c r="OAF91" s="204"/>
      <c r="OAG91" s="204"/>
      <c r="OAH91" s="204"/>
      <c r="OAI91" s="199"/>
      <c r="OAJ91" s="167"/>
      <c r="OAK91" s="199"/>
      <c r="OAL91" s="200"/>
      <c r="OAM91" s="201"/>
      <c r="OAN91" s="202"/>
      <c r="OAO91" s="202"/>
      <c r="OAP91" s="202"/>
      <c r="OAQ91" s="202"/>
      <c r="OAR91" s="203"/>
      <c r="OAS91" s="204"/>
      <c r="OAT91" s="204"/>
      <c r="OAU91" s="204"/>
      <c r="OAV91" s="205"/>
      <c r="OAW91" s="206"/>
      <c r="OAX91" s="207"/>
      <c r="OAY91" s="207"/>
      <c r="OAZ91" s="208"/>
      <c r="OBA91" s="209"/>
      <c r="OBB91" s="207"/>
      <c r="OBC91" s="210"/>
      <c r="OBD91" s="209"/>
      <c r="OBE91" s="204"/>
      <c r="OBF91" s="204"/>
      <c r="OBG91" s="204"/>
      <c r="OBH91" s="199"/>
      <c r="OBI91" s="167"/>
      <c r="OBJ91" s="199"/>
      <c r="OBK91" s="200"/>
      <c r="OBL91" s="201"/>
      <c r="OBM91" s="202"/>
      <c r="OBN91" s="202"/>
      <c r="OBO91" s="202"/>
      <c r="OBP91" s="202"/>
      <c r="OBQ91" s="203"/>
      <c r="OBR91" s="204"/>
      <c r="OBS91" s="204"/>
      <c r="OBT91" s="204"/>
      <c r="OBU91" s="205"/>
      <c r="OBV91" s="206"/>
      <c r="OBW91" s="207"/>
      <c r="OBX91" s="207"/>
      <c r="OBY91" s="208"/>
      <c r="OBZ91" s="209"/>
      <c r="OCA91" s="207"/>
      <c r="OCB91" s="210"/>
      <c r="OCC91" s="209"/>
      <c r="OCD91" s="204"/>
      <c r="OCE91" s="204"/>
      <c r="OCF91" s="204"/>
      <c r="OCG91" s="199"/>
      <c r="OCH91" s="167"/>
      <c r="OCI91" s="199"/>
      <c r="OCJ91" s="200"/>
      <c r="OCK91" s="201"/>
      <c r="OCL91" s="202"/>
      <c r="OCM91" s="202"/>
      <c r="OCN91" s="202"/>
      <c r="OCO91" s="202"/>
      <c r="OCP91" s="203"/>
      <c r="OCQ91" s="204"/>
      <c r="OCR91" s="204"/>
      <c r="OCS91" s="204"/>
      <c r="OCT91" s="205"/>
      <c r="OCU91" s="206"/>
      <c r="OCV91" s="207"/>
      <c r="OCW91" s="207"/>
      <c r="OCX91" s="208"/>
      <c r="OCY91" s="209"/>
      <c r="OCZ91" s="207"/>
      <c r="ODA91" s="210"/>
      <c r="ODB91" s="209"/>
      <c r="ODC91" s="204"/>
      <c r="ODD91" s="204"/>
      <c r="ODE91" s="204"/>
      <c r="ODF91" s="199"/>
      <c r="ODG91" s="167"/>
      <c r="ODH91" s="199"/>
      <c r="ODI91" s="200"/>
      <c r="ODJ91" s="201"/>
      <c r="ODK91" s="202"/>
      <c r="ODL91" s="202"/>
      <c r="ODM91" s="202"/>
      <c r="ODN91" s="202"/>
      <c r="ODO91" s="203"/>
      <c r="ODP91" s="204"/>
      <c r="ODQ91" s="204"/>
      <c r="ODR91" s="204"/>
      <c r="ODS91" s="205"/>
      <c r="ODT91" s="206"/>
      <c r="ODU91" s="207"/>
      <c r="ODV91" s="207"/>
      <c r="ODW91" s="208"/>
      <c r="ODX91" s="209"/>
      <c r="ODY91" s="207"/>
      <c r="ODZ91" s="210"/>
      <c r="OEA91" s="209"/>
      <c r="OEB91" s="204"/>
      <c r="OEC91" s="204"/>
      <c r="OED91" s="204"/>
      <c r="OEE91" s="199"/>
      <c r="OEF91" s="167"/>
      <c r="OEG91" s="199"/>
      <c r="OEH91" s="200"/>
      <c r="OEI91" s="201"/>
      <c r="OEJ91" s="202"/>
      <c r="OEK91" s="202"/>
      <c r="OEL91" s="202"/>
      <c r="OEM91" s="202"/>
      <c r="OEN91" s="203"/>
      <c r="OEO91" s="204"/>
      <c r="OEP91" s="204"/>
      <c r="OEQ91" s="204"/>
      <c r="OER91" s="205"/>
      <c r="OES91" s="206"/>
      <c r="OET91" s="207"/>
      <c r="OEU91" s="207"/>
      <c r="OEV91" s="208"/>
      <c r="OEW91" s="209"/>
      <c r="OEX91" s="207"/>
      <c r="OEY91" s="210"/>
      <c r="OEZ91" s="209"/>
      <c r="OFA91" s="204"/>
      <c r="OFB91" s="204"/>
      <c r="OFC91" s="204"/>
      <c r="OFD91" s="199"/>
      <c r="OFE91" s="167"/>
      <c r="OFF91" s="199"/>
      <c r="OFG91" s="200"/>
      <c r="OFH91" s="201"/>
      <c r="OFI91" s="202"/>
      <c r="OFJ91" s="202"/>
      <c r="OFK91" s="202"/>
      <c r="OFL91" s="202"/>
      <c r="OFM91" s="203"/>
      <c r="OFN91" s="204"/>
      <c r="OFO91" s="204"/>
      <c r="OFP91" s="204"/>
      <c r="OFQ91" s="205"/>
      <c r="OFR91" s="206"/>
      <c r="OFS91" s="207"/>
      <c r="OFT91" s="207"/>
      <c r="OFU91" s="208"/>
      <c r="OFV91" s="209"/>
      <c r="OFW91" s="207"/>
      <c r="OFX91" s="210"/>
      <c r="OFY91" s="209"/>
      <c r="OFZ91" s="204"/>
      <c r="OGA91" s="204"/>
      <c r="OGB91" s="204"/>
      <c r="OGC91" s="199"/>
      <c r="OGD91" s="167"/>
      <c r="OGE91" s="199"/>
      <c r="OGF91" s="200"/>
      <c r="OGG91" s="201"/>
      <c r="OGH91" s="202"/>
      <c r="OGI91" s="202"/>
      <c r="OGJ91" s="202"/>
      <c r="OGK91" s="202"/>
      <c r="OGL91" s="203"/>
      <c r="OGM91" s="204"/>
      <c r="OGN91" s="204"/>
      <c r="OGO91" s="204"/>
      <c r="OGP91" s="205"/>
      <c r="OGQ91" s="206"/>
      <c r="OGR91" s="207"/>
      <c r="OGS91" s="207"/>
      <c r="OGT91" s="208"/>
      <c r="OGU91" s="209"/>
      <c r="OGV91" s="207"/>
      <c r="OGW91" s="210"/>
      <c r="OGX91" s="209"/>
      <c r="OGY91" s="204"/>
      <c r="OGZ91" s="204"/>
      <c r="OHA91" s="204"/>
      <c r="OHB91" s="199"/>
      <c r="OHC91" s="167"/>
      <c r="OHD91" s="199"/>
      <c r="OHE91" s="200"/>
      <c r="OHF91" s="201"/>
      <c r="OHG91" s="202"/>
      <c r="OHH91" s="202"/>
      <c r="OHI91" s="202"/>
      <c r="OHJ91" s="202"/>
      <c r="OHK91" s="203"/>
      <c r="OHL91" s="204"/>
      <c r="OHM91" s="204"/>
      <c r="OHN91" s="204"/>
      <c r="OHO91" s="205"/>
      <c r="OHP91" s="206"/>
      <c r="OHQ91" s="207"/>
      <c r="OHR91" s="207"/>
      <c r="OHS91" s="208"/>
      <c r="OHT91" s="209"/>
      <c r="OHU91" s="207"/>
      <c r="OHV91" s="210"/>
      <c r="OHW91" s="209"/>
      <c r="OHX91" s="204"/>
      <c r="OHY91" s="204"/>
      <c r="OHZ91" s="204"/>
      <c r="OIA91" s="199"/>
      <c r="OIB91" s="167"/>
      <c r="OIC91" s="199"/>
      <c r="OID91" s="200"/>
      <c r="OIE91" s="201"/>
      <c r="OIF91" s="202"/>
      <c r="OIG91" s="202"/>
      <c r="OIH91" s="202"/>
      <c r="OII91" s="202"/>
      <c r="OIJ91" s="203"/>
      <c r="OIK91" s="204"/>
      <c r="OIL91" s="204"/>
      <c r="OIM91" s="204"/>
      <c r="OIN91" s="205"/>
      <c r="OIO91" s="206"/>
      <c r="OIP91" s="207"/>
      <c r="OIQ91" s="207"/>
      <c r="OIR91" s="208"/>
      <c r="OIS91" s="209"/>
      <c r="OIT91" s="207"/>
      <c r="OIU91" s="210"/>
      <c r="OIV91" s="209"/>
      <c r="OIW91" s="204"/>
      <c r="OIX91" s="204"/>
      <c r="OIY91" s="204"/>
      <c r="OIZ91" s="199"/>
      <c r="OJA91" s="167"/>
      <c r="OJB91" s="199"/>
      <c r="OJC91" s="200"/>
      <c r="OJD91" s="201"/>
      <c r="OJE91" s="202"/>
      <c r="OJF91" s="202"/>
      <c r="OJG91" s="202"/>
      <c r="OJH91" s="202"/>
      <c r="OJI91" s="203"/>
      <c r="OJJ91" s="204"/>
      <c r="OJK91" s="204"/>
      <c r="OJL91" s="204"/>
      <c r="OJM91" s="205"/>
      <c r="OJN91" s="206"/>
      <c r="OJO91" s="207"/>
      <c r="OJP91" s="207"/>
      <c r="OJQ91" s="208"/>
      <c r="OJR91" s="209"/>
      <c r="OJS91" s="207"/>
      <c r="OJT91" s="210"/>
      <c r="OJU91" s="209"/>
      <c r="OJV91" s="204"/>
      <c r="OJW91" s="204"/>
      <c r="OJX91" s="204"/>
      <c r="OJY91" s="199"/>
      <c r="OJZ91" s="167"/>
      <c r="OKA91" s="199"/>
      <c r="OKB91" s="200"/>
      <c r="OKC91" s="201"/>
      <c r="OKD91" s="202"/>
      <c r="OKE91" s="202"/>
      <c r="OKF91" s="202"/>
      <c r="OKG91" s="202"/>
      <c r="OKH91" s="203"/>
      <c r="OKI91" s="204"/>
      <c r="OKJ91" s="204"/>
      <c r="OKK91" s="204"/>
      <c r="OKL91" s="205"/>
      <c r="OKM91" s="206"/>
      <c r="OKN91" s="207"/>
      <c r="OKO91" s="207"/>
      <c r="OKP91" s="208"/>
      <c r="OKQ91" s="209"/>
      <c r="OKR91" s="207"/>
      <c r="OKS91" s="210"/>
      <c r="OKT91" s="209"/>
      <c r="OKU91" s="204"/>
      <c r="OKV91" s="204"/>
      <c r="OKW91" s="204"/>
      <c r="OKX91" s="199"/>
      <c r="OKY91" s="167"/>
      <c r="OKZ91" s="199"/>
      <c r="OLA91" s="200"/>
      <c r="OLB91" s="201"/>
      <c r="OLC91" s="202"/>
      <c r="OLD91" s="202"/>
      <c r="OLE91" s="202"/>
      <c r="OLF91" s="202"/>
      <c r="OLG91" s="203"/>
      <c r="OLH91" s="204"/>
      <c r="OLI91" s="204"/>
      <c r="OLJ91" s="204"/>
      <c r="OLK91" s="205"/>
      <c r="OLL91" s="206"/>
      <c r="OLM91" s="207"/>
      <c r="OLN91" s="207"/>
      <c r="OLO91" s="208"/>
      <c r="OLP91" s="209"/>
      <c r="OLQ91" s="207"/>
      <c r="OLR91" s="210"/>
      <c r="OLS91" s="209"/>
      <c r="OLT91" s="204"/>
      <c r="OLU91" s="204"/>
      <c r="OLV91" s="204"/>
      <c r="OLW91" s="199"/>
      <c r="OLX91" s="167"/>
      <c r="OLY91" s="199"/>
      <c r="OLZ91" s="200"/>
      <c r="OMA91" s="201"/>
      <c r="OMB91" s="202"/>
      <c r="OMC91" s="202"/>
      <c r="OMD91" s="202"/>
      <c r="OME91" s="202"/>
      <c r="OMF91" s="203"/>
      <c r="OMG91" s="204"/>
      <c r="OMH91" s="204"/>
      <c r="OMI91" s="204"/>
      <c r="OMJ91" s="205"/>
      <c r="OMK91" s="206"/>
      <c r="OML91" s="207"/>
      <c r="OMM91" s="207"/>
      <c r="OMN91" s="208"/>
      <c r="OMO91" s="209"/>
      <c r="OMP91" s="207"/>
      <c r="OMQ91" s="210"/>
      <c r="OMR91" s="209"/>
      <c r="OMS91" s="204"/>
      <c r="OMT91" s="204"/>
      <c r="OMU91" s="204"/>
      <c r="OMV91" s="199"/>
      <c r="OMW91" s="167"/>
      <c r="OMX91" s="199"/>
      <c r="OMY91" s="200"/>
      <c r="OMZ91" s="201"/>
      <c r="ONA91" s="202"/>
      <c r="ONB91" s="202"/>
      <c r="ONC91" s="202"/>
      <c r="OND91" s="202"/>
      <c r="ONE91" s="203"/>
      <c r="ONF91" s="204"/>
      <c r="ONG91" s="204"/>
      <c r="ONH91" s="204"/>
      <c r="ONI91" s="205"/>
      <c r="ONJ91" s="206"/>
      <c r="ONK91" s="207"/>
      <c r="ONL91" s="207"/>
      <c r="ONM91" s="208"/>
      <c r="ONN91" s="209"/>
      <c r="ONO91" s="207"/>
      <c r="ONP91" s="210"/>
      <c r="ONQ91" s="209"/>
      <c r="ONR91" s="204"/>
      <c r="ONS91" s="204"/>
      <c r="ONT91" s="204"/>
      <c r="ONU91" s="199"/>
      <c r="ONV91" s="167"/>
      <c r="ONW91" s="199"/>
      <c r="ONX91" s="200"/>
      <c r="ONY91" s="201"/>
      <c r="ONZ91" s="202"/>
      <c r="OOA91" s="202"/>
      <c r="OOB91" s="202"/>
      <c r="OOC91" s="202"/>
      <c r="OOD91" s="203"/>
      <c r="OOE91" s="204"/>
      <c r="OOF91" s="204"/>
      <c r="OOG91" s="204"/>
      <c r="OOH91" s="205"/>
      <c r="OOI91" s="206"/>
      <c r="OOJ91" s="207"/>
      <c r="OOK91" s="207"/>
      <c r="OOL91" s="208"/>
      <c r="OOM91" s="209"/>
      <c r="OON91" s="207"/>
      <c r="OOO91" s="210"/>
      <c r="OOP91" s="209"/>
      <c r="OOQ91" s="204"/>
      <c r="OOR91" s="204"/>
      <c r="OOS91" s="204"/>
      <c r="OOT91" s="199"/>
      <c r="OOU91" s="167"/>
      <c r="OOV91" s="199"/>
      <c r="OOW91" s="200"/>
      <c r="OOX91" s="201"/>
      <c r="OOY91" s="202"/>
      <c r="OOZ91" s="202"/>
      <c r="OPA91" s="202"/>
      <c r="OPB91" s="202"/>
      <c r="OPC91" s="203"/>
      <c r="OPD91" s="204"/>
      <c r="OPE91" s="204"/>
      <c r="OPF91" s="204"/>
      <c r="OPG91" s="205"/>
      <c r="OPH91" s="206"/>
      <c r="OPI91" s="207"/>
      <c r="OPJ91" s="207"/>
      <c r="OPK91" s="208"/>
      <c r="OPL91" s="209"/>
      <c r="OPM91" s="207"/>
      <c r="OPN91" s="210"/>
      <c r="OPO91" s="209"/>
      <c r="OPP91" s="204"/>
      <c r="OPQ91" s="204"/>
      <c r="OPR91" s="204"/>
      <c r="OPS91" s="199"/>
      <c r="OPT91" s="167"/>
      <c r="OPU91" s="199"/>
      <c r="OPV91" s="200"/>
      <c r="OPW91" s="201"/>
      <c r="OPX91" s="202"/>
      <c r="OPY91" s="202"/>
      <c r="OPZ91" s="202"/>
      <c r="OQA91" s="202"/>
      <c r="OQB91" s="203"/>
      <c r="OQC91" s="204"/>
      <c r="OQD91" s="204"/>
      <c r="OQE91" s="204"/>
      <c r="OQF91" s="205"/>
      <c r="OQG91" s="206"/>
      <c r="OQH91" s="207"/>
      <c r="OQI91" s="207"/>
      <c r="OQJ91" s="208"/>
      <c r="OQK91" s="209"/>
      <c r="OQL91" s="207"/>
      <c r="OQM91" s="210"/>
      <c r="OQN91" s="209"/>
      <c r="OQO91" s="204"/>
      <c r="OQP91" s="204"/>
      <c r="OQQ91" s="204"/>
      <c r="OQR91" s="199"/>
      <c r="OQS91" s="167"/>
      <c r="OQT91" s="199"/>
      <c r="OQU91" s="200"/>
      <c r="OQV91" s="201"/>
      <c r="OQW91" s="202"/>
      <c r="OQX91" s="202"/>
      <c r="OQY91" s="202"/>
      <c r="OQZ91" s="202"/>
      <c r="ORA91" s="203"/>
      <c r="ORB91" s="204"/>
      <c r="ORC91" s="204"/>
      <c r="ORD91" s="204"/>
      <c r="ORE91" s="205"/>
      <c r="ORF91" s="206"/>
      <c r="ORG91" s="207"/>
      <c r="ORH91" s="207"/>
      <c r="ORI91" s="208"/>
      <c r="ORJ91" s="209"/>
      <c r="ORK91" s="207"/>
      <c r="ORL91" s="210"/>
      <c r="ORM91" s="209"/>
      <c r="ORN91" s="204"/>
      <c r="ORO91" s="204"/>
      <c r="ORP91" s="204"/>
      <c r="ORQ91" s="199"/>
      <c r="ORR91" s="167"/>
      <c r="ORS91" s="199"/>
      <c r="ORT91" s="200"/>
      <c r="ORU91" s="201"/>
      <c r="ORV91" s="202"/>
      <c r="ORW91" s="202"/>
      <c r="ORX91" s="202"/>
      <c r="ORY91" s="202"/>
      <c r="ORZ91" s="203"/>
      <c r="OSA91" s="204"/>
      <c r="OSB91" s="204"/>
      <c r="OSC91" s="204"/>
      <c r="OSD91" s="205"/>
      <c r="OSE91" s="206"/>
      <c r="OSF91" s="207"/>
      <c r="OSG91" s="207"/>
      <c r="OSH91" s="208"/>
      <c r="OSI91" s="209"/>
      <c r="OSJ91" s="207"/>
      <c r="OSK91" s="210"/>
      <c r="OSL91" s="209"/>
      <c r="OSM91" s="204"/>
      <c r="OSN91" s="204"/>
      <c r="OSO91" s="204"/>
      <c r="OSP91" s="199"/>
      <c r="OSQ91" s="167"/>
      <c r="OSR91" s="199"/>
      <c r="OSS91" s="200"/>
      <c r="OST91" s="201"/>
      <c r="OSU91" s="202"/>
      <c r="OSV91" s="202"/>
      <c r="OSW91" s="202"/>
      <c r="OSX91" s="202"/>
      <c r="OSY91" s="203"/>
      <c r="OSZ91" s="204"/>
      <c r="OTA91" s="204"/>
      <c r="OTB91" s="204"/>
      <c r="OTC91" s="205"/>
      <c r="OTD91" s="206"/>
      <c r="OTE91" s="207"/>
      <c r="OTF91" s="207"/>
      <c r="OTG91" s="208"/>
      <c r="OTH91" s="209"/>
      <c r="OTI91" s="207"/>
      <c r="OTJ91" s="210"/>
      <c r="OTK91" s="209"/>
      <c r="OTL91" s="204"/>
      <c r="OTM91" s="204"/>
      <c r="OTN91" s="204"/>
      <c r="OTO91" s="199"/>
      <c r="OTP91" s="167"/>
      <c r="OTQ91" s="199"/>
      <c r="OTR91" s="200"/>
      <c r="OTS91" s="201"/>
      <c r="OTT91" s="202"/>
      <c r="OTU91" s="202"/>
      <c r="OTV91" s="202"/>
      <c r="OTW91" s="202"/>
      <c r="OTX91" s="203"/>
      <c r="OTY91" s="204"/>
      <c r="OTZ91" s="204"/>
      <c r="OUA91" s="204"/>
      <c r="OUB91" s="205"/>
      <c r="OUC91" s="206"/>
      <c r="OUD91" s="207"/>
      <c r="OUE91" s="207"/>
      <c r="OUF91" s="208"/>
      <c r="OUG91" s="209"/>
      <c r="OUH91" s="207"/>
      <c r="OUI91" s="210"/>
      <c r="OUJ91" s="209"/>
      <c r="OUK91" s="204"/>
      <c r="OUL91" s="204"/>
      <c r="OUM91" s="204"/>
      <c r="OUN91" s="199"/>
      <c r="OUO91" s="167"/>
      <c r="OUP91" s="199"/>
      <c r="OUQ91" s="200"/>
      <c r="OUR91" s="201"/>
      <c r="OUS91" s="202"/>
      <c r="OUT91" s="202"/>
      <c r="OUU91" s="202"/>
      <c r="OUV91" s="202"/>
      <c r="OUW91" s="203"/>
      <c r="OUX91" s="204"/>
      <c r="OUY91" s="204"/>
      <c r="OUZ91" s="204"/>
      <c r="OVA91" s="205"/>
      <c r="OVB91" s="206"/>
      <c r="OVC91" s="207"/>
      <c r="OVD91" s="207"/>
      <c r="OVE91" s="208"/>
      <c r="OVF91" s="209"/>
      <c r="OVG91" s="207"/>
      <c r="OVH91" s="210"/>
      <c r="OVI91" s="209"/>
      <c r="OVJ91" s="204"/>
      <c r="OVK91" s="204"/>
      <c r="OVL91" s="204"/>
      <c r="OVM91" s="199"/>
      <c r="OVN91" s="167"/>
      <c r="OVO91" s="199"/>
      <c r="OVP91" s="200"/>
      <c r="OVQ91" s="201"/>
      <c r="OVR91" s="202"/>
      <c r="OVS91" s="202"/>
      <c r="OVT91" s="202"/>
      <c r="OVU91" s="202"/>
      <c r="OVV91" s="203"/>
      <c r="OVW91" s="204"/>
      <c r="OVX91" s="204"/>
      <c r="OVY91" s="204"/>
      <c r="OVZ91" s="205"/>
      <c r="OWA91" s="206"/>
      <c r="OWB91" s="207"/>
      <c r="OWC91" s="207"/>
      <c r="OWD91" s="208"/>
      <c r="OWE91" s="209"/>
      <c r="OWF91" s="207"/>
      <c r="OWG91" s="210"/>
      <c r="OWH91" s="209"/>
      <c r="OWI91" s="204"/>
      <c r="OWJ91" s="204"/>
      <c r="OWK91" s="204"/>
      <c r="OWL91" s="199"/>
      <c r="OWM91" s="167"/>
      <c r="OWN91" s="199"/>
      <c r="OWO91" s="200"/>
      <c r="OWP91" s="201"/>
      <c r="OWQ91" s="202"/>
      <c r="OWR91" s="202"/>
      <c r="OWS91" s="202"/>
      <c r="OWT91" s="202"/>
      <c r="OWU91" s="203"/>
      <c r="OWV91" s="204"/>
      <c r="OWW91" s="204"/>
      <c r="OWX91" s="204"/>
      <c r="OWY91" s="205"/>
      <c r="OWZ91" s="206"/>
      <c r="OXA91" s="207"/>
      <c r="OXB91" s="207"/>
      <c r="OXC91" s="208"/>
      <c r="OXD91" s="209"/>
      <c r="OXE91" s="207"/>
      <c r="OXF91" s="210"/>
      <c r="OXG91" s="209"/>
      <c r="OXH91" s="204"/>
      <c r="OXI91" s="204"/>
      <c r="OXJ91" s="204"/>
      <c r="OXK91" s="199"/>
      <c r="OXL91" s="167"/>
      <c r="OXM91" s="199"/>
      <c r="OXN91" s="200"/>
      <c r="OXO91" s="201"/>
      <c r="OXP91" s="202"/>
      <c r="OXQ91" s="202"/>
      <c r="OXR91" s="202"/>
      <c r="OXS91" s="202"/>
      <c r="OXT91" s="203"/>
      <c r="OXU91" s="204"/>
      <c r="OXV91" s="204"/>
      <c r="OXW91" s="204"/>
      <c r="OXX91" s="205"/>
      <c r="OXY91" s="206"/>
      <c r="OXZ91" s="207"/>
      <c r="OYA91" s="207"/>
      <c r="OYB91" s="208"/>
      <c r="OYC91" s="209"/>
      <c r="OYD91" s="207"/>
      <c r="OYE91" s="210"/>
      <c r="OYF91" s="209"/>
      <c r="OYG91" s="204"/>
      <c r="OYH91" s="204"/>
      <c r="OYI91" s="204"/>
      <c r="OYJ91" s="199"/>
      <c r="OYK91" s="167"/>
      <c r="OYL91" s="199"/>
      <c r="OYM91" s="200"/>
      <c r="OYN91" s="201"/>
      <c r="OYO91" s="202"/>
      <c r="OYP91" s="202"/>
      <c r="OYQ91" s="202"/>
      <c r="OYR91" s="202"/>
      <c r="OYS91" s="203"/>
      <c r="OYT91" s="204"/>
      <c r="OYU91" s="204"/>
      <c r="OYV91" s="204"/>
      <c r="OYW91" s="205"/>
      <c r="OYX91" s="206"/>
      <c r="OYY91" s="207"/>
      <c r="OYZ91" s="207"/>
      <c r="OZA91" s="208"/>
      <c r="OZB91" s="209"/>
      <c r="OZC91" s="207"/>
      <c r="OZD91" s="210"/>
      <c r="OZE91" s="209"/>
      <c r="OZF91" s="204"/>
      <c r="OZG91" s="204"/>
      <c r="OZH91" s="204"/>
      <c r="OZI91" s="199"/>
      <c r="OZJ91" s="167"/>
      <c r="OZK91" s="199"/>
      <c r="OZL91" s="200"/>
      <c r="OZM91" s="201"/>
      <c r="OZN91" s="202"/>
      <c r="OZO91" s="202"/>
      <c r="OZP91" s="202"/>
      <c r="OZQ91" s="202"/>
      <c r="OZR91" s="203"/>
      <c r="OZS91" s="204"/>
      <c r="OZT91" s="204"/>
      <c r="OZU91" s="204"/>
      <c r="OZV91" s="205"/>
      <c r="OZW91" s="206"/>
      <c r="OZX91" s="207"/>
      <c r="OZY91" s="207"/>
      <c r="OZZ91" s="208"/>
      <c r="PAA91" s="209"/>
      <c r="PAB91" s="207"/>
      <c r="PAC91" s="210"/>
      <c r="PAD91" s="209"/>
      <c r="PAE91" s="204"/>
      <c r="PAF91" s="204"/>
      <c r="PAG91" s="204"/>
      <c r="PAH91" s="199"/>
      <c r="PAI91" s="167"/>
      <c r="PAJ91" s="199"/>
      <c r="PAK91" s="200"/>
      <c r="PAL91" s="201"/>
      <c r="PAM91" s="202"/>
      <c r="PAN91" s="202"/>
      <c r="PAO91" s="202"/>
      <c r="PAP91" s="202"/>
      <c r="PAQ91" s="203"/>
      <c r="PAR91" s="204"/>
      <c r="PAS91" s="204"/>
      <c r="PAT91" s="204"/>
      <c r="PAU91" s="205"/>
      <c r="PAV91" s="206"/>
      <c r="PAW91" s="207"/>
      <c r="PAX91" s="207"/>
      <c r="PAY91" s="208"/>
      <c r="PAZ91" s="209"/>
      <c r="PBA91" s="207"/>
      <c r="PBB91" s="210"/>
      <c r="PBC91" s="209"/>
      <c r="PBD91" s="204"/>
      <c r="PBE91" s="204"/>
      <c r="PBF91" s="204"/>
      <c r="PBG91" s="199"/>
      <c r="PBH91" s="167"/>
      <c r="PBI91" s="199"/>
      <c r="PBJ91" s="200"/>
      <c r="PBK91" s="201"/>
      <c r="PBL91" s="202"/>
      <c r="PBM91" s="202"/>
      <c r="PBN91" s="202"/>
      <c r="PBO91" s="202"/>
      <c r="PBP91" s="203"/>
      <c r="PBQ91" s="204"/>
      <c r="PBR91" s="204"/>
      <c r="PBS91" s="204"/>
      <c r="PBT91" s="205"/>
      <c r="PBU91" s="206"/>
      <c r="PBV91" s="207"/>
      <c r="PBW91" s="207"/>
      <c r="PBX91" s="208"/>
      <c r="PBY91" s="209"/>
      <c r="PBZ91" s="207"/>
      <c r="PCA91" s="210"/>
      <c r="PCB91" s="209"/>
      <c r="PCC91" s="204"/>
      <c r="PCD91" s="204"/>
      <c r="PCE91" s="204"/>
      <c r="PCF91" s="199"/>
      <c r="PCG91" s="167"/>
      <c r="PCH91" s="199"/>
      <c r="PCI91" s="200"/>
      <c r="PCJ91" s="201"/>
      <c r="PCK91" s="202"/>
      <c r="PCL91" s="202"/>
      <c r="PCM91" s="202"/>
      <c r="PCN91" s="202"/>
      <c r="PCO91" s="203"/>
      <c r="PCP91" s="204"/>
      <c r="PCQ91" s="204"/>
      <c r="PCR91" s="204"/>
      <c r="PCS91" s="205"/>
      <c r="PCT91" s="206"/>
      <c r="PCU91" s="207"/>
      <c r="PCV91" s="207"/>
      <c r="PCW91" s="208"/>
      <c r="PCX91" s="209"/>
      <c r="PCY91" s="207"/>
      <c r="PCZ91" s="210"/>
      <c r="PDA91" s="209"/>
      <c r="PDB91" s="204"/>
      <c r="PDC91" s="204"/>
      <c r="PDD91" s="204"/>
      <c r="PDE91" s="199"/>
      <c r="PDF91" s="167"/>
      <c r="PDG91" s="199"/>
      <c r="PDH91" s="200"/>
      <c r="PDI91" s="201"/>
      <c r="PDJ91" s="202"/>
      <c r="PDK91" s="202"/>
      <c r="PDL91" s="202"/>
      <c r="PDM91" s="202"/>
      <c r="PDN91" s="203"/>
      <c r="PDO91" s="204"/>
      <c r="PDP91" s="204"/>
      <c r="PDQ91" s="204"/>
      <c r="PDR91" s="205"/>
      <c r="PDS91" s="206"/>
      <c r="PDT91" s="207"/>
      <c r="PDU91" s="207"/>
      <c r="PDV91" s="208"/>
      <c r="PDW91" s="209"/>
      <c r="PDX91" s="207"/>
      <c r="PDY91" s="210"/>
      <c r="PDZ91" s="209"/>
      <c r="PEA91" s="204"/>
      <c r="PEB91" s="204"/>
      <c r="PEC91" s="204"/>
      <c r="PED91" s="199"/>
      <c r="PEE91" s="167"/>
      <c r="PEF91" s="199"/>
      <c r="PEG91" s="200"/>
      <c r="PEH91" s="201"/>
      <c r="PEI91" s="202"/>
      <c r="PEJ91" s="202"/>
      <c r="PEK91" s="202"/>
      <c r="PEL91" s="202"/>
      <c r="PEM91" s="203"/>
      <c r="PEN91" s="204"/>
      <c r="PEO91" s="204"/>
      <c r="PEP91" s="204"/>
      <c r="PEQ91" s="205"/>
      <c r="PER91" s="206"/>
      <c r="PES91" s="207"/>
      <c r="PET91" s="207"/>
      <c r="PEU91" s="208"/>
      <c r="PEV91" s="209"/>
      <c r="PEW91" s="207"/>
      <c r="PEX91" s="210"/>
      <c r="PEY91" s="209"/>
      <c r="PEZ91" s="204"/>
      <c r="PFA91" s="204"/>
      <c r="PFB91" s="204"/>
      <c r="PFC91" s="199"/>
      <c r="PFD91" s="167"/>
      <c r="PFE91" s="199"/>
      <c r="PFF91" s="200"/>
      <c r="PFG91" s="201"/>
      <c r="PFH91" s="202"/>
      <c r="PFI91" s="202"/>
      <c r="PFJ91" s="202"/>
      <c r="PFK91" s="202"/>
      <c r="PFL91" s="203"/>
      <c r="PFM91" s="204"/>
      <c r="PFN91" s="204"/>
      <c r="PFO91" s="204"/>
      <c r="PFP91" s="205"/>
      <c r="PFQ91" s="206"/>
      <c r="PFR91" s="207"/>
      <c r="PFS91" s="207"/>
      <c r="PFT91" s="208"/>
      <c r="PFU91" s="209"/>
      <c r="PFV91" s="207"/>
      <c r="PFW91" s="210"/>
      <c r="PFX91" s="209"/>
      <c r="PFY91" s="204"/>
      <c r="PFZ91" s="204"/>
      <c r="PGA91" s="204"/>
      <c r="PGB91" s="199"/>
      <c r="PGC91" s="167"/>
      <c r="PGD91" s="199"/>
      <c r="PGE91" s="200"/>
      <c r="PGF91" s="201"/>
      <c r="PGG91" s="202"/>
      <c r="PGH91" s="202"/>
      <c r="PGI91" s="202"/>
      <c r="PGJ91" s="202"/>
      <c r="PGK91" s="203"/>
      <c r="PGL91" s="204"/>
      <c r="PGM91" s="204"/>
      <c r="PGN91" s="204"/>
      <c r="PGO91" s="205"/>
      <c r="PGP91" s="206"/>
      <c r="PGQ91" s="207"/>
      <c r="PGR91" s="207"/>
      <c r="PGS91" s="208"/>
      <c r="PGT91" s="209"/>
      <c r="PGU91" s="207"/>
      <c r="PGV91" s="210"/>
      <c r="PGW91" s="209"/>
      <c r="PGX91" s="204"/>
      <c r="PGY91" s="204"/>
      <c r="PGZ91" s="204"/>
      <c r="PHA91" s="199"/>
      <c r="PHB91" s="167"/>
      <c r="PHC91" s="199"/>
      <c r="PHD91" s="200"/>
      <c r="PHE91" s="201"/>
      <c r="PHF91" s="202"/>
      <c r="PHG91" s="202"/>
      <c r="PHH91" s="202"/>
      <c r="PHI91" s="202"/>
      <c r="PHJ91" s="203"/>
      <c r="PHK91" s="204"/>
      <c r="PHL91" s="204"/>
      <c r="PHM91" s="204"/>
      <c r="PHN91" s="205"/>
      <c r="PHO91" s="206"/>
      <c r="PHP91" s="207"/>
      <c r="PHQ91" s="207"/>
      <c r="PHR91" s="208"/>
      <c r="PHS91" s="209"/>
      <c r="PHT91" s="207"/>
      <c r="PHU91" s="210"/>
      <c r="PHV91" s="209"/>
      <c r="PHW91" s="204"/>
      <c r="PHX91" s="204"/>
      <c r="PHY91" s="204"/>
      <c r="PHZ91" s="199"/>
      <c r="PIA91" s="167"/>
      <c r="PIB91" s="199"/>
      <c r="PIC91" s="200"/>
      <c r="PID91" s="201"/>
      <c r="PIE91" s="202"/>
      <c r="PIF91" s="202"/>
      <c r="PIG91" s="202"/>
      <c r="PIH91" s="202"/>
      <c r="PII91" s="203"/>
      <c r="PIJ91" s="204"/>
      <c r="PIK91" s="204"/>
      <c r="PIL91" s="204"/>
      <c r="PIM91" s="205"/>
      <c r="PIN91" s="206"/>
      <c r="PIO91" s="207"/>
      <c r="PIP91" s="207"/>
      <c r="PIQ91" s="208"/>
      <c r="PIR91" s="209"/>
      <c r="PIS91" s="207"/>
      <c r="PIT91" s="210"/>
      <c r="PIU91" s="209"/>
      <c r="PIV91" s="204"/>
      <c r="PIW91" s="204"/>
      <c r="PIX91" s="204"/>
      <c r="PIY91" s="199"/>
      <c r="PIZ91" s="167"/>
      <c r="PJA91" s="199"/>
      <c r="PJB91" s="200"/>
      <c r="PJC91" s="201"/>
      <c r="PJD91" s="202"/>
      <c r="PJE91" s="202"/>
      <c r="PJF91" s="202"/>
      <c r="PJG91" s="202"/>
      <c r="PJH91" s="203"/>
      <c r="PJI91" s="204"/>
      <c r="PJJ91" s="204"/>
      <c r="PJK91" s="204"/>
      <c r="PJL91" s="205"/>
      <c r="PJM91" s="206"/>
      <c r="PJN91" s="207"/>
      <c r="PJO91" s="207"/>
      <c r="PJP91" s="208"/>
      <c r="PJQ91" s="209"/>
      <c r="PJR91" s="207"/>
      <c r="PJS91" s="210"/>
      <c r="PJT91" s="209"/>
      <c r="PJU91" s="204"/>
      <c r="PJV91" s="204"/>
      <c r="PJW91" s="204"/>
      <c r="PJX91" s="199"/>
      <c r="PJY91" s="167"/>
      <c r="PJZ91" s="199"/>
      <c r="PKA91" s="200"/>
      <c r="PKB91" s="201"/>
      <c r="PKC91" s="202"/>
      <c r="PKD91" s="202"/>
      <c r="PKE91" s="202"/>
      <c r="PKF91" s="202"/>
      <c r="PKG91" s="203"/>
      <c r="PKH91" s="204"/>
      <c r="PKI91" s="204"/>
      <c r="PKJ91" s="204"/>
      <c r="PKK91" s="205"/>
      <c r="PKL91" s="206"/>
      <c r="PKM91" s="207"/>
      <c r="PKN91" s="207"/>
      <c r="PKO91" s="208"/>
      <c r="PKP91" s="209"/>
      <c r="PKQ91" s="207"/>
      <c r="PKR91" s="210"/>
      <c r="PKS91" s="209"/>
      <c r="PKT91" s="204"/>
      <c r="PKU91" s="204"/>
      <c r="PKV91" s="204"/>
      <c r="PKW91" s="199"/>
      <c r="PKX91" s="167"/>
      <c r="PKY91" s="199"/>
      <c r="PKZ91" s="200"/>
      <c r="PLA91" s="201"/>
      <c r="PLB91" s="202"/>
      <c r="PLC91" s="202"/>
      <c r="PLD91" s="202"/>
      <c r="PLE91" s="202"/>
      <c r="PLF91" s="203"/>
      <c r="PLG91" s="204"/>
      <c r="PLH91" s="204"/>
      <c r="PLI91" s="204"/>
      <c r="PLJ91" s="205"/>
      <c r="PLK91" s="206"/>
      <c r="PLL91" s="207"/>
      <c r="PLM91" s="207"/>
      <c r="PLN91" s="208"/>
      <c r="PLO91" s="209"/>
      <c r="PLP91" s="207"/>
      <c r="PLQ91" s="210"/>
      <c r="PLR91" s="209"/>
      <c r="PLS91" s="204"/>
      <c r="PLT91" s="204"/>
      <c r="PLU91" s="204"/>
      <c r="PLV91" s="199"/>
      <c r="PLW91" s="167"/>
      <c r="PLX91" s="199"/>
      <c r="PLY91" s="200"/>
      <c r="PLZ91" s="201"/>
      <c r="PMA91" s="202"/>
      <c r="PMB91" s="202"/>
      <c r="PMC91" s="202"/>
      <c r="PMD91" s="202"/>
      <c r="PME91" s="203"/>
      <c r="PMF91" s="204"/>
      <c r="PMG91" s="204"/>
      <c r="PMH91" s="204"/>
      <c r="PMI91" s="205"/>
      <c r="PMJ91" s="206"/>
      <c r="PMK91" s="207"/>
      <c r="PML91" s="207"/>
      <c r="PMM91" s="208"/>
      <c r="PMN91" s="209"/>
      <c r="PMO91" s="207"/>
      <c r="PMP91" s="210"/>
      <c r="PMQ91" s="209"/>
      <c r="PMR91" s="204"/>
      <c r="PMS91" s="204"/>
      <c r="PMT91" s="204"/>
      <c r="PMU91" s="199"/>
      <c r="PMV91" s="167"/>
      <c r="PMW91" s="199"/>
      <c r="PMX91" s="200"/>
      <c r="PMY91" s="201"/>
      <c r="PMZ91" s="202"/>
      <c r="PNA91" s="202"/>
      <c r="PNB91" s="202"/>
      <c r="PNC91" s="202"/>
      <c r="PND91" s="203"/>
      <c r="PNE91" s="204"/>
      <c r="PNF91" s="204"/>
      <c r="PNG91" s="204"/>
      <c r="PNH91" s="205"/>
      <c r="PNI91" s="206"/>
      <c r="PNJ91" s="207"/>
      <c r="PNK91" s="207"/>
      <c r="PNL91" s="208"/>
      <c r="PNM91" s="209"/>
      <c r="PNN91" s="207"/>
      <c r="PNO91" s="210"/>
      <c r="PNP91" s="209"/>
      <c r="PNQ91" s="204"/>
      <c r="PNR91" s="204"/>
      <c r="PNS91" s="204"/>
      <c r="PNT91" s="199"/>
      <c r="PNU91" s="167"/>
      <c r="PNV91" s="199"/>
      <c r="PNW91" s="200"/>
      <c r="PNX91" s="201"/>
      <c r="PNY91" s="202"/>
      <c r="PNZ91" s="202"/>
      <c r="POA91" s="202"/>
      <c r="POB91" s="202"/>
      <c r="POC91" s="203"/>
      <c r="POD91" s="204"/>
      <c r="POE91" s="204"/>
      <c r="POF91" s="204"/>
      <c r="POG91" s="205"/>
      <c r="POH91" s="206"/>
      <c r="POI91" s="207"/>
      <c r="POJ91" s="207"/>
      <c r="POK91" s="208"/>
      <c r="POL91" s="209"/>
      <c r="POM91" s="207"/>
      <c r="PON91" s="210"/>
      <c r="POO91" s="209"/>
      <c r="POP91" s="204"/>
      <c r="POQ91" s="204"/>
      <c r="POR91" s="204"/>
      <c r="POS91" s="199"/>
      <c r="POT91" s="167"/>
      <c r="POU91" s="199"/>
      <c r="POV91" s="200"/>
      <c r="POW91" s="201"/>
      <c r="POX91" s="202"/>
      <c r="POY91" s="202"/>
      <c r="POZ91" s="202"/>
      <c r="PPA91" s="202"/>
      <c r="PPB91" s="203"/>
      <c r="PPC91" s="204"/>
      <c r="PPD91" s="204"/>
      <c r="PPE91" s="204"/>
      <c r="PPF91" s="205"/>
      <c r="PPG91" s="206"/>
      <c r="PPH91" s="207"/>
      <c r="PPI91" s="207"/>
      <c r="PPJ91" s="208"/>
      <c r="PPK91" s="209"/>
      <c r="PPL91" s="207"/>
      <c r="PPM91" s="210"/>
      <c r="PPN91" s="209"/>
      <c r="PPO91" s="204"/>
      <c r="PPP91" s="204"/>
      <c r="PPQ91" s="204"/>
      <c r="PPR91" s="199"/>
      <c r="PPS91" s="167"/>
      <c r="PPT91" s="199"/>
      <c r="PPU91" s="200"/>
      <c r="PPV91" s="201"/>
      <c r="PPW91" s="202"/>
      <c r="PPX91" s="202"/>
      <c r="PPY91" s="202"/>
      <c r="PPZ91" s="202"/>
      <c r="PQA91" s="203"/>
      <c r="PQB91" s="204"/>
      <c r="PQC91" s="204"/>
      <c r="PQD91" s="204"/>
      <c r="PQE91" s="205"/>
      <c r="PQF91" s="206"/>
      <c r="PQG91" s="207"/>
      <c r="PQH91" s="207"/>
      <c r="PQI91" s="208"/>
      <c r="PQJ91" s="209"/>
      <c r="PQK91" s="207"/>
      <c r="PQL91" s="210"/>
      <c r="PQM91" s="209"/>
      <c r="PQN91" s="204"/>
      <c r="PQO91" s="204"/>
      <c r="PQP91" s="204"/>
      <c r="PQQ91" s="199"/>
      <c r="PQR91" s="167"/>
      <c r="PQS91" s="199"/>
      <c r="PQT91" s="200"/>
      <c r="PQU91" s="201"/>
      <c r="PQV91" s="202"/>
      <c r="PQW91" s="202"/>
      <c r="PQX91" s="202"/>
      <c r="PQY91" s="202"/>
      <c r="PQZ91" s="203"/>
      <c r="PRA91" s="204"/>
      <c r="PRB91" s="204"/>
      <c r="PRC91" s="204"/>
      <c r="PRD91" s="205"/>
      <c r="PRE91" s="206"/>
      <c r="PRF91" s="207"/>
      <c r="PRG91" s="207"/>
      <c r="PRH91" s="208"/>
      <c r="PRI91" s="209"/>
      <c r="PRJ91" s="207"/>
      <c r="PRK91" s="210"/>
      <c r="PRL91" s="209"/>
      <c r="PRM91" s="204"/>
      <c r="PRN91" s="204"/>
      <c r="PRO91" s="204"/>
      <c r="PRP91" s="199"/>
      <c r="PRQ91" s="167"/>
      <c r="PRR91" s="199"/>
      <c r="PRS91" s="200"/>
      <c r="PRT91" s="201"/>
      <c r="PRU91" s="202"/>
      <c r="PRV91" s="202"/>
      <c r="PRW91" s="202"/>
      <c r="PRX91" s="202"/>
      <c r="PRY91" s="203"/>
      <c r="PRZ91" s="204"/>
      <c r="PSA91" s="204"/>
      <c r="PSB91" s="204"/>
      <c r="PSC91" s="205"/>
      <c r="PSD91" s="206"/>
      <c r="PSE91" s="207"/>
      <c r="PSF91" s="207"/>
      <c r="PSG91" s="208"/>
      <c r="PSH91" s="209"/>
      <c r="PSI91" s="207"/>
      <c r="PSJ91" s="210"/>
      <c r="PSK91" s="209"/>
      <c r="PSL91" s="204"/>
      <c r="PSM91" s="204"/>
      <c r="PSN91" s="204"/>
      <c r="PSO91" s="199"/>
      <c r="PSP91" s="167"/>
      <c r="PSQ91" s="199"/>
      <c r="PSR91" s="200"/>
      <c r="PSS91" s="201"/>
      <c r="PST91" s="202"/>
      <c r="PSU91" s="202"/>
      <c r="PSV91" s="202"/>
      <c r="PSW91" s="202"/>
      <c r="PSX91" s="203"/>
      <c r="PSY91" s="204"/>
      <c r="PSZ91" s="204"/>
      <c r="PTA91" s="204"/>
      <c r="PTB91" s="205"/>
      <c r="PTC91" s="206"/>
      <c r="PTD91" s="207"/>
      <c r="PTE91" s="207"/>
      <c r="PTF91" s="208"/>
      <c r="PTG91" s="209"/>
      <c r="PTH91" s="207"/>
      <c r="PTI91" s="210"/>
      <c r="PTJ91" s="209"/>
      <c r="PTK91" s="204"/>
      <c r="PTL91" s="204"/>
      <c r="PTM91" s="204"/>
      <c r="PTN91" s="199"/>
      <c r="PTO91" s="167"/>
      <c r="PTP91" s="199"/>
      <c r="PTQ91" s="200"/>
      <c r="PTR91" s="201"/>
      <c r="PTS91" s="202"/>
      <c r="PTT91" s="202"/>
      <c r="PTU91" s="202"/>
      <c r="PTV91" s="202"/>
      <c r="PTW91" s="203"/>
      <c r="PTX91" s="204"/>
      <c r="PTY91" s="204"/>
      <c r="PTZ91" s="204"/>
      <c r="PUA91" s="205"/>
      <c r="PUB91" s="206"/>
      <c r="PUC91" s="207"/>
      <c r="PUD91" s="207"/>
      <c r="PUE91" s="208"/>
      <c r="PUF91" s="209"/>
      <c r="PUG91" s="207"/>
      <c r="PUH91" s="210"/>
      <c r="PUI91" s="209"/>
      <c r="PUJ91" s="204"/>
      <c r="PUK91" s="204"/>
      <c r="PUL91" s="204"/>
      <c r="PUM91" s="199"/>
      <c r="PUN91" s="167"/>
      <c r="PUO91" s="199"/>
      <c r="PUP91" s="200"/>
      <c r="PUQ91" s="201"/>
      <c r="PUR91" s="202"/>
      <c r="PUS91" s="202"/>
      <c r="PUT91" s="202"/>
      <c r="PUU91" s="202"/>
      <c r="PUV91" s="203"/>
      <c r="PUW91" s="204"/>
      <c r="PUX91" s="204"/>
      <c r="PUY91" s="204"/>
      <c r="PUZ91" s="205"/>
      <c r="PVA91" s="206"/>
      <c r="PVB91" s="207"/>
      <c r="PVC91" s="207"/>
      <c r="PVD91" s="208"/>
      <c r="PVE91" s="209"/>
      <c r="PVF91" s="207"/>
      <c r="PVG91" s="210"/>
      <c r="PVH91" s="209"/>
      <c r="PVI91" s="204"/>
      <c r="PVJ91" s="204"/>
      <c r="PVK91" s="204"/>
      <c r="PVL91" s="199"/>
      <c r="PVM91" s="167"/>
      <c r="PVN91" s="199"/>
      <c r="PVO91" s="200"/>
      <c r="PVP91" s="201"/>
      <c r="PVQ91" s="202"/>
      <c r="PVR91" s="202"/>
      <c r="PVS91" s="202"/>
      <c r="PVT91" s="202"/>
      <c r="PVU91" s="203"/>
      <c r="PVV91" s="204"/>
      <c r="PVW91" s="204"/>
      <c r="PVX91" s="204"/>
      <c r="PVY91" s="205"/>
      <c r="PVZ91" s="206"/>
      <c r="PWA91" s="207"/>
      <c r="PWB91" s="207"/>
      <c r="PWC91" s="208"/>
      <c r="PWD91" s="209"/>
      <c r="PWE91" s="207"/>
      <c r="PWF91" s="210"/>
      <c r="PWG91" s="209"/>
      <c r="PWH91" s="204"/>
      <c r="PWI91" s="204"/>
      <c r="PWJ91" s="204"/>
      <c r="PWK91" s="199"/>
      <c r="PWL91" s="167"/>
      <c r="PWM91" s="199"/>
      <c r="PWN91" s="200"/>
      <c r="PWO91" s="201"/>
      <c r="PWP91" s="202"/>
      <c r="PWQ91" s="202"/>
      <c r="PWR91" s="202"/>
      <c r="PWS91" s="202"/>
      <c r="PWT91" s="203"/>
      <c r="PWU91" s="204"/>
      <c r="PWV91" s="204"/>
      <c r="PWW91" s="204"/>
      <c r="PWX91" s="205"/>
      <c r="PWY91" s="206"/>
      <c r="PWZ91" s="207"/>
      <c r="PXA91" s="207"/>
      <c r="PXB91" s="208"/>
      <c r="PXC91" s="209"/>
      <c r="PXD91" s="207"/>
      <c r="PXE91" s="210"/>
      <c r="PXF91" s="209"/>
      <c r="PXG91" s="204"/>
      <c r="PXH91" s="204"/>
      <c r="PXI91" s="204"/>
      <c r="PXJ91" s="199"/>
      <c r="PXK91" s="167"/>
      <c r="PXL91" s="199"/>
      <c r="PXM91" s="200"/>
      <c r="PXN91" s="201"/>
      <c r="PXO91" s="202"/>
      <c r="PXP91" s="202"/>
      <c r="PXQ91" s="202"/>
      <c r="PXR91" s="202"/>
      <c r="PXS91" s="203"/>
      <c r="PXT91" s="204"/>
      <c r="PXU91" s="204"/>
      <c r="PXV91" s="204"/>
      <c r="PXW91" s="205"/>
      <c r="PXX91" s="206"/>
      <c r="PXY91" s="207"/>
      <c r="PXZ91" s="207"/>
      <c r="PYA91" s="208"/>
      <c r="PYB91" s="209"/>
      <c r="PYC91" s="207"/>
      <c r="PYD91" s="210"/>
      <c r="PYE91" s="209"/>
      <c r="PYF91" s="204"/>
      <c r="PYG91" s="204"/>
      <c r="PYH91" s="204"/>
      <c r="PYI91" s="199"/>
      <c r="PYJ91" s="167"/>
      <c r="PYK91" s="199"/>
      <c r="PYL91" s="200"/>
      <c r="PYM91" s="201"/>
      <c r="PYN91" s="202"/>
      <c r="PYO91" s="202"/>
      <c r="PYP91" s="202"/>
      <c r="PYQ91" s="202"/>
      <c r="PYR91" s="203"/>
      <c r="PYS91" s="204"/>
      <c r="PYT91" s="204"/>
      <c r="PYU91" s="204"/>
      <c r="PYV91" s="205"/>
      <c r="PYW91" s="206"/>
      <c r="PYX91" s="207"/>
      <c r="PYY91" s="207"/>
      <c r="PYZ91" s="208"/>
      <c r="PZA91" s="209"/>
      <c r="PZB91" s="207"/>
      <c r="PZC91" s="210"/>
      <c r="PZD91" s="209"/>
      <c r="PZE91" s="204"/>
      <c r="PZF91" s="204"/>
      <c r="PZG91" s="204"/>
      <c r="PZH91" s="199"/>
      <c r="PZI91" s="167"/>
      <c r="PZJ91" s="199"/>
      <c r="PZK91" s="200"/>
      <c r="PZL91" s="201"/>
      <c r="PZM91" s="202"/>
      <c r="PZN91" s="202"/>
      <c r="PZO91" s="202"/>
      <c r="PZP91" s="202"/>
      <c r="PZQ91" s="203"/>
      <c r="PZR91" s="204"/>
      <c r="PZS91" s="204"/>
      <c r="PZT91" s="204"/>
      <c r="PZU91" s="205"/>
      <c r="PZV91" s="206"/>
      <c r="PZW91" s="207"/>
      <c r="PZX91" s="207"/>
      <c r="PZY91" s="208"/>
      <c r="PZZ91" s="209"/>
      <c r="QAA91" s="207"/>
      <c r="QAB91" s="210"/>
      <c r="QAC91" s="209"/>
      <c r="QAD91" s="204"/>
      <c r="QAE91" s="204"/>
      <c r="QAF91" s="204"/>
      <c r="QAG91" s="199"/>
      <c r="QAH91" s="167"/>
      <c r="QAI91" s="199"/>
      <c r="QAJ91" s="200"/>
      <c r="QAK91" s="201"/>
      <c r="QAL91" s="202"/>
      <c r="QAM91" s="202"/>
      <c r="QAN91" s="202"/>
      <c r="QAO91" s="202"/>
      <c r="QAP91" s="203"/>
      <c r="QAQ91" s="204"/>
      <c r="QAR91" s="204"/>
      <c r="QAS91" s="204"/>
      <c r="QAT91" s="205"/>
      <c r="QAU91" s="206"/>
      <c r="QAV91" s="207"/>
      <c r="QAW91" s="207"/>
      <c r="QAX91" s="208"/>
      <c r="QAY91" s="209"/>
      <c r="QAZ91" s="207"/>
      <c r="QBA91" s="210"/>
      <c r="QBB91" s="209"/>
      <c r="QBC91" s="204"/>
      <c r="QBD91" s="204"/>
      <c r="QBE91" s="204"/>
      <c r="QBF91" s="199"/>
      <c r="QBG91" s="167"/>
      <c r="QBH91" s="199"/>
      <c r="QBI91" s="200"/>
      <c r="QBJ91" s="201"/>
      <c r="QBK91" s="202"/>
      <c r="QBL91" s="202"/>
      <c r="QBM91" s="202"/>
      <c r="QBN91" s="202"/>
      <c r="QBO91" s="203"/>
      <c r="QBP91" s="204"/>
      <c r="QBQ91" s="204"/>
      <c r="QBR91" s="204"/>
      <c r="QBS91" s="205"/>
      <c r="QBT91" s="206"/>
      <c r="QBU91" s="207"/>
      <c r="QBV91" s="207"/>
      <c r="QBW91" s="208"/>
      <c r="QBX91" s="209"/>
      <c r="QBY91" s="207"/>
      <c r="QBZ91" s="210"/>
      <c r="QCA91" s="209"/>
      <c r="QCB91" s="204"/>
      <c r="QCC91" s="204"/>
      <c r="QCD91" s="204"/>
      <c r="QCE91" s="199"/>
      <c r="QCF91" s="167"/>
      <c r="QCG91" s="199"/>
      <c r="QCH91" s="200"/>
      <c r="QCI91" s="201"/>
      <c r="QCJ91" s="202"/>
      <c r="QCK91" s="202"/>
      <c r="QCL91" s="202"/>
      <c r="QCM91" s="202"/>
      <c r="QCN91" s="203"/>
      <c r="QCO91" s="204"/>
      <c r="QCP91" s="204"/>
      <c r="QCQ91" s="204"/>
      <c r="QCR91" s="205"/>
      <c r="QCS91" s="206"/>
      <c r="QCT91" s="207"/>
      <c r="QCU91" s="207"/>
      <c r="QCV91" s="208"/>
      <c r="QCW91" s="209"/>
      <c r="QCX91" s="207"/>
      <c r="QCY91" s="210"/>
      <c r="QCZ91" s="209"/>
      <c r="QDA91" s="204"/>
      <c r="QDB91" s="204"/>
      <c r="QDC91" s="204"/>
      <c r="QDD91" s="199"/>
      <c r="QDE91" s="167"/>
      <c r="QDF91" s="199"/>
      <c r="QDG91" s="200"/>
      <c r="QDH91" s="201"/>
      <c r="QDI91" s="202"/>
      <c r="QDJ91" s="202"/>
      <c r="QDK91" s="202"/>
      <c r="QDL91" s="202"/>
      <c r="QDM91" s="203"/>
      <c r="QDN91" s="204"/>
      <c r="QDO91" s="204"/>
      <c r="QDP91" s="204"/>
      <c r="QDQ91" s="205"/>
      <c r="QDR91" s="206"/>
      <c r="QDS91" s="207"/>
      <c r="QDT91" s="207"/>
      <c r="QDU91" s="208"/>
      <c r="QDV91" s="209"/>
      <c r="QDW91" s="207"/>
      <c r="QDX91" s="210"/>
      <c r="QDY91" s="209"/>
      <c r="QDZ91" s="204"/>
      <c r="QEA91" s="204"/>
      <c r="QEB91" s="204"/>
      <c r="QEC91" s="199"/>
      <c r="QED91" s="167"/>
      <c r="QEE91" s="199"/>
      <c r="QEF91" s="200"/>
      <c r="QEG91" s="201"/>
      <c r="QEH91" s="202"/>
      <c r="QEI91" s="202"/>
      <c r="QEJ91" s="202"/>
      <c r="QEK91" s="202"/>
      <c r="QEL91" s="203"/>
      <c r="QEM91" s="204"/>
      <c r="QEN91" s="204"/>
      <c r="QEO91" s="204"/>
      <c r="QEP91" s="205"/>
      <c r="QEQ91" s="206"/>
      <c r="QER91" s="207"/>
      <c r="QES91" s="207"/>
      <c r="QET91" s="208"/>
      <c r="QEU91" s="209"/>
      <c r="QEV91" s="207"/>
      <c r="QEW91" s="210"/>
      <c r="QEX91" s="209"/>
      <c r="QEY91" s="204"/>
      <c r="QEZ91" s="204"/>
      <c r="QFA91" s="204"/>
      <c r="QFB91" s="199"/>
      <c r="QFC91" s="167"/>
      <c r="QFD91" s="199"/>
      <c r="QFE91" s="200"/>
      <c r="QFF91" s="201"/>
      <c r="QFG91" s="202"/>
      <c r="QFH91" s="202"/>
      <c r="QFI91" s="202"/>
      <c r="QFJ91" s="202"/>
      <c r="QFK91" s="203"/>
      <c r="QFL91" s="204"/>
      <c r="QFM91" s="204"/>
      <c r="QFN91" s="204"/>
      <c r="QFO91" s="205"/>
      <c r="QFP91" s="206"/>
      <c r="QFQ91" s="207"/>
      <c r="QFR91" s="207"/>
      <c r="QFS91" s="208"/>
      <c r="QFT91" s="209"/>
      <c r="QFU91" s="207"/>
      <c r="QFV91" s="210"/>
      <c r="QFW91" s="209"/>
      <c r="QFX91" s="204"/>
      <c r="QFY91" s="204"/>
      <c r="QFZ91" s="204"/>
      <c r="QGA91" s="199"/>
      <c r="QGB91" s="167"/>
      <c r="QGC91" s="199"/>
      <c r="QGD91" s="200"/>
      <c r="QGE91" s="201"/>
      <c r="QGF91" s="202"/>
      <c r="QGG91" s="202"/>
      <c r="QGH91" s="202"/>
      <c r="QGI91" s="202"/>
      <c r="QGJ91" s="203"/>
      <c r="QGK91" s="204"/>
      <c r="QGL91" s="204"/>
      <c r="QGM91" s="204"/>
      <c r="QGN91" s="205"/>
      <c r="QGO91" s="206"/>
      <c r="QGP91" s="207"/>
      <c r="QGQ91" s="207"/>
      <c r="QGR91" s="208"/>
      <c r="QGS91" s="209"/>
      <c r="QGT91" s="207"/>
      <c r="QGU91" s="210"/>
      <c r="QGV91" s="209"/>
      <c r="QGW91" s="204"/>
      <c r="QGX91" s="204"/>
      <c r="QGY91" s="204"/>
      <c r="QGZ91" s="199"/>
      <c r="QHA91" s="167"/>
      <c r="QHB91" s="199"/>
      <c r="QHC91" s="200"/>
      <c r="QHD91" s="201"/>
      <c r="QHE91" s="202"/>
      <c r="QHF91" s="202"/>
      <c r="QHG91" s="202"/>
      <c r="QHH91" s="202"/>
      <c r="QHI91" s="203"/>
      <c r="QHJ91" s="204"/>
      <c r="QHK91" s="204"/>
      <c r="QHL91" s="204"/>
      <c r="QHM91" s="205"/>
      <c r="QHN91" s="206"/>
      <c r="QHO91" s="207"/>
      <c r="QHP91" s="207"/>
      <c r="QHQ91" s="208"/>
      <c r="QHR91" s="209"/>
      <c r="QHS91" s="207"/>
      <c r="QHT91" s="210"/>
      <c r="QHU91" s="209"/>
      <c r="QHV91" s="204"/>
      <c r="QHW91" s="204"/>
      <c r="QHX91" s="204"/>
      <c r="QHY91" s="199"/>
      <c r="QHZ91" s="167"/>
      <c r="QIA91" s="199"/>
      <c r="QIB91" s="200"/>
      <c r="QIC91" s="201"/>
      <c r="QID91" s="202"/>
      <c r="QIE91" s="202"/>
      <c r="QIF91" s="202"/>
      <c r="QIG91" s="202"/>
      <c r="QIH91" s="203"/>
      <c r="QII91" s="204"/>
      <c r="QIJ91" s="204"/>
      <c r="QIK91" s="204"/>
      <c r="QIL91" s="205"/>
      <c r="QIM91" s="206"/>
      <c r="QIN91" s="207"/>
      <c r="QIO91" s="207"/>
      <c r="QIP91" s="208"/>
      <c r="QIQ91" s="209"/>
      <c r="QIR91" s="207"/>
      <c r="QIS91" s="210"/>
      <c r="QIT91" s="209"/>
      <c r="QIU91" s="204"/>
      <c r="QIV91" s="204"/>
      <c r="QIW91" s="204"/>
      <c r="QIX91" s="199"/>
      <c r="QIY91" s="167"/>
      <c r="QIZ91" s="199"/>
      <c r="QJA91" s="200"/>
      <c r="QJB91" s="201"/>
      <c r="QJC91" s="202"/>
      <c r="QJD91" s="202"/>
      <c r="QJE91" s="202"/>
      <c r="QJF91" s="202"/>
      <c r="QJG91" s="203"/>
      <c r="QJH91" s="204"/>
      <c r="QJI91" s="204"/>
      <c r="QJJ91" s="204"/>
      <c r="QJK91" s="205"/>
      <c r="QJL91" s="206"/>
      <c r="QJM91" s="207"/>
      <c r="QJN91" s="207"/>
      <c r="QJO91" s="208"/>
      <c r="QJP91" s="209"/>
      <c r="QJQ91" s="207"/>
      <c r="QJR91" s="210"/>
      <c r="QJS91" s="209"/>
      <c r="QJT91" s="204"/>
      <c r="QJU91" s="204"/>
      <c r="QJV91" s="204"/>
      <c r="QJW91" s="199"/>
      <c r="QJX91" s="167"/>
      <c r="QJY91" s="199"/>
      <c r="QJZ91" s="200"/>
      <c r="QKA91" s="201"/>
      <c r="QKB91" s="202"/>
      <c r="QKC91" s="202"/>
      <c r="QKD91" s="202"/>
      <c r="QKE91" s="202"/>
      <c r="QKF91" s="203"/>
      <c r="QKG91" s="204"/>
      <c r="QKH91" s="204"/>
      <c r="QKI91" s="204"/>
      <c r="QKJ91" s="205"/>
      <c r="QKK91" s="206"/>
      <c r="QKL91" s="207"/>
      <c r="QKM91" s="207"/>
      <c r="QKN91" s="208"/>
      <c r="QKO91" s="209"/>
      <c r="QKP91" s="207"/>
      <c r="QKQ91" s="210"/>
      <c r="QKR91" s="209"/>
      <c r="QKS91" s="204"/>
      <c r="QKT91" s="204"/>
      <c r="QKU91" s="204"/>
      <c r="QKV91" s="199"/>
      <c r="QKW91" s="167"/>
      <c r="QKX91" s="199"/>
      <c r="QKY91" s="200"/>
      <c r="QKZ91" s="201"/>
      <c r="QLA91" s="202"/>
      <c r="QLB91" s="202"/>
      <c r="QLC91" s="202"/>
      <c r="QLD91" s="202"/>
      <c r="QLE91" s="203"/>
      <c r="QLF91" s="204"/>
      <c r="QLG91" s="204"/>
      <c r="QLH91" s="204"/>
      <c r="QLI91" s="205"/>
      <c r="QLJ91" s="206"/>
      <c r="QLK91" s="207"/>
      <c r="QLL91" s="207"/>
      <c r="QLM91" s="208"/>
      <c r="QLN91" s="209"/>
      <c r="QLO91" s="207"/>
      <c r="QLP91" s="210"/>
      <c r="QLQ91" s="209"/>
      <c r="QLR91" s="204"/>
      <c r="QLS91" s="204"/>
      <c r="QLT91" s="204"/>
      <c r="QLU91" s="199"/>
      <c r="QLV91" s="167"/>
      <c r="QLW91" s="199"/>
      <c r="QLX91" s="200"/>
      <c r="QLY91" s="201"/>
      <c r="QLZ91" s="202"/>
      <c r="QMA91" s="202"/>
      <c r="QMB91" s="202"/>
      <c r="QMC91" s="202"/>
      <c r="QMD91" s="203"/>
      <c r="QME91" s="204"/>
      <c r="QMF91" s="204"/>
      <c r="QMG91" s="204"/>
      <c r="QMH91" s="205"/>
      <c r="QMI91" s="206"/>
      <c r="QMJ91" s="207"/>
      <c r="QMK91" s="207"/>
      <c r="QML91" s="208"/>
      <c r="QMM91" s="209"/>
      <c r="QMN91" s="207"/>
      <c r="QMO91" s="210"/>
      <c r="QMP91" s="209"/>
      <c r="QMQ91" s="204"/>
      <c r="QMR91" s="204"/>
      <c r="QMS91" s="204"/>
      <c r="QMT91" s="199"/>
      <c r="QMU91" s="167"/>
      <c r="QMV91" s="199"/>
      <c r="QMW91" s="200"/>
      <c r="QMX91" s="201"/>
      <c r="QMY91" s="202"/>
      <c r="QMZ91" s="202"/>
      <c r="QNA91" s="202"/>
      <c r="QNB91" s="202"/>
      <c r="QNC91" s="203"/>
      <c r="QND91" s="204"/>
      <c r="QNE91" s="204"/>
      <c r="QNF91" s="204"/>
      <c r="QNG91" s="205"/>
      <c r="QNH91" s="206"/>
      <c r="QNI91" s="207"/>
      <c r="QNJ91" s="207"/>
      <c r="QNK91" s="208"/>
      <c r="QNL91" s="209"/>
      <c r="QNM91" s="207"/>
      <c r="QNN91" s="210"/>
      <c r="QNO91" s="209"/>
      <c r="QNP91" s="204"/>
      <c r="QNQ91" s="204"/>
      <c r="QNR91" s="204"/>
      <c r="QNS91" s="199"/>
      <c r="QNT91" s="167"/>
      <c r="QNU91" s="199"/>
      <c r="QNV91" s="200"/>
      <c r="QNW91" s="201"/>
      <c r="QNX91" s="202"/>
      <c r="QNY91" s="202"/>
      <c r="QNZ91" s="202"/>
      <c r="QOA91" s="202"/>
      <c r="QOB91" s="203"/>
      <c r="QOC91" s="204"/>
      <c r="QOD91" s="204"/>
      <c r="QOE91" s="204"/>
      <c r="QOF91" s="205"/>
      <c r="QOG91" s="206"/>
      <c r="QOH91" s="207"/>
      <c r="QOI91" s="207"/>
      <c r="QOJ91" s="208"/>
      <c r="QOK91" s="209"/>
      <c r="QOL91" s="207"/>
      <c r="QOM91" s="210"/>
      <c r="QON91" s="209"/>
      <c r="QOO91" s="204"/>
      <c r="QOP91" s="204"/>
      <c r="QOQ91" s="204"/>
      <c r="QOR91" s="199"/>
      <c r="QOS91" s="167"/>
      <c r="QOT91" s="199"/>
      <c r="QOU91" s="200"/>
      <c r="QOV91" s="201"/>
      <c r="QOW91" s="202"/>
      <c r="QOX91" s="202"/>
      <c r="QOY91" s="202"/>
      <c r="QOZ91" s="202"/>
      <c r="QPA91" s="203"/>
      <c r="QPB91" s="204"/>
      <c r="QPC91" s="204"/>
      <c r="QPD91" s="204"/>
      <c r="QPE91" s="205"/>
      <c r="QPF91" s="206"/>
      <c r="QPG91" s="207"/>
      <c r="QPH91" s="207"/>
      <c r="QPI91" s="208"/>
      <c r="QPJ91" s="209"/>
      <c r="QPK91" s="207"/>
      <c r="QPL91" s="210"/>
      <c r="QPM91" s="209"/>
      <c r="QPN91" s="204"/>
      <c r="QPO91" s="204"/>
      <c r="QPP91" s="204"/>
      <c r="QPQ91" s="199"/>
      <c r="QPR91" s="167"/>
      <c r="QPS91" s="199"/>
      <c r="QPT91" s="200"/>
      <c r="QPU91" s="201"/>
      <c r="QPV91" s="202"/>
      <c r="QPW91" s="202"/>
      <c r="QPX91" s="202"/>
      <c r="QPY91" s="202"/>
      <c r="QPZ91" s="203"/>
      <c r="QQA91" s="204"/>
      <c r="QQB91" s="204"/>
      <c r="QQC91" s="204"/>
      <c r="QQD91" s="205"/>
      <c r="QQE91" s="206"/>
      <c r="QQF91" s="207"/>
      <c r="QQG91" s="207"/>
      <c r="QQH91" s="208"/>
      <c r="QQI91" s="209"/>
      <c r="QQJ91" s="207"/>
      <c r="QQK91" s="210"/>
      <c r="QQL91" s="209"/>
      <c r="QQM91" s="204"/>
      <c r="QQN91" s="204"/>
      <c r="QQO91" s="204"/>
      <c r="QQP91" s="199"/>
      <c r="QQQ91" s="167"/>
      <c r="QQR91" s="199"/>
      <c r="QQS91" s="200"/>
      <c r="QQT91" s="201"/>
      <c r="QQU91" s="202"/>
      <c r="QQV91" s="202"/>
      <c r="QQW91" s="202"/>
      <c r="QQX91" s="202"/>
      <c r="QQY91" s="203"/>
      <c r="QQZ91" s="204"/>
      <c r="QRA91" s="204"/>
      <c r="QRB91" s="204"/>
      <c r="QRC91" s="205"/>
      <c r="QRD91" s="206"/>
      <c r="QRE91" s="207"/>
      <c r="QRF91" s="207"/>
      <c r="QRG91" s="208"/>
      <c r="QRH91" s="209"/>
      <c r="QRI91" s="207"/>
      <c r="QRJ91" s="210"/>
      <c r="QRK91" s="209"/>
      <c r="QRL91" s="204"/>
      <c r="QRM91" s="204"/>
      <c r="QRN91" s="204"/>
      <c r="QRO91" s="199"/>
      <c r="QRP91" s="167"/>
      <c r="QRQ91" s="199"/>
      <c r="QRR91" s="200"/>
      <c r="QRS91" s="201"/>
      <c r="QRT91" s="202"/>
      <c r="QRU91" s="202"/>
      <c r="QRV91" s="202"/>
      <c r="QRW91" s="202"/>
      <c r="QRX91" s="203"/>
      <c r="QRY91" s="204"/>
      <c r="QRZ91" s="204"/>
      <c r="QSA91" s="204"/>
      <c r="QSB91" s="205"/>
      <c r="QSC91" s="206"/>
      <c r="QSD91" s="207"/>
      <c r="QSE91" s="207"/>
      <c r="QSF91" s="208"/>
      <c r="QSG91" s="209"/>
      <c r="QSH91" s="207"/>
      <c r="QSI91" s="210"/>
      <c r="QSJ91" s="209"/>
      <c r="QSK91" s="204"/>
      <c r="QSL91" s="204"/>
      <c r="QSM91" s="204"/>
      <c r="QSN91" s="199"/>
      <c r="QSO91" s="167"/>
      <c r="QSP91" s="199"/>
      <c r="QSQ91" s="200"/>
      <c r="QSR91" s="201"/>
      <c r="QSS91" s="202"/>
      <c r="QST91" s="202"/>
      <c r="QSU91" s="202"/>
      <c r="QSV91" s="202"/>
      <c r="QSW91" s="203"/>
      <c r="QSX91" s="204"/>
      <c r="QSY91" s="204"/>
      <c r="QSZ91" s="204"/>
      <c r="QTA91" s="205"/>
      <c r="QTB91" s="206"/>
      <c r="QTC91" s="207"/>
      <c r="QTD91" s="207"/>
      <c r="QTE91" s="208"/>
      <c r="QTF91" s="209"/>
      <c r="QTG91" s="207"/>
      <c r="QTH91" s="210"/>
      <c r="QTI91" s="209"/>
      <c r="QTJ91" s="204"/>
      <c r="QTK91" s="204"/>
      <c r="QTL91" s="204"/>
      <c r="QTM91" s="199"/>
      <c r="QTN91" s="167"/>
      <c r="QTO91" s="199"/>
      <c r="QTP91" s="200"/>
      <c r="QTQ91" s="201"/>
      <c r="QTR91" s="202"/>
      <c r="QTS91" s="202"/>
      <c r="QTT91" s="202"/>
      <c r="QTU91" s="202"/>
      <c r="QTV91" s="203"/>
      <c r="QTW91" s="204"/>
      <c r="QTX91" s="204"/>
      <c r="QTY91" s="204"/>
      <c r="QTZ91" s="205"/>
      <c r="QUA91" s="206"/>
      <c r="QUB91" s="207"/>
      <c r="QUC91" s="207"/>
      <c r="QUD91" s="208"/>
      <c r="QUE91" s="209"/>
      <c r="QUF91" s="207"/>
      <c r="QUG91" s="210"/>
      <c r="QUH91" s="209"/>
      <c r="QUI91" s="204"/>
      <c r="QUJ91" s="204"/>
      <c r="QUK91" s="204"/>
      <c r="QUL91" s="199"/>
      <c r="QUM91" s="167"/>
      <c r="QUN91" s="199"/>
      <c r="QUO91" s="200"/>
      <c r="QUP91" s="201"/>
      <c r="QUQ91" s="202"/>
      <c r="QUR91" s="202"/>
      <c r="QUS91" s="202"/>
      <c r="QUT91" s="202"/>
      <c r="QUU91" s="203"/>
      <c r="QUV91" s="204"/>
      <c r="QUW91" s="204"/>
      <c r="QUX91" s="204"/>
      <c r="QUY91" s="205"/>
      <c r="QUZ91" s="206"/>
      <c r="QVA91" s="207"/>
      <c r="QVB91" s="207"/>
      <c r="QVC91" s="208"/>
      <c r="QVD91" s="209"/>
      <c r="QVE91" s="207"/>
      <c r="QVF91" s="210"/>
      <c r="QVG91" s="209"/>
      <c r="QVH91" s="204"/>
      <c r="QVI91" s="204"/>
      <c r="QVJ91" s="204"/>
      <c r="QVK91" s="199"/>
      <c r="QVL91" s="167"/>
      <c r="QVM91" s="199"/>
      <c r="QVN91" s="200"/>
      <c r="QVO91" s="201"/>
      <c r="QVP91" s="202"/>
      <c r="QVQ91" s="202"/>
      <c r="QVR91" s="202"/>
      <c r="QVS91" s="202"/>
      <c r="QVT91" s="203"/>
      <c r="QVU91" s="204"/>
      <c r="QVV91" s="204"/>
      <c r="QVW91" s="204"/>
      <c r="QVX91" s="205"/>
      <c r="QVY91" s="206"/>
      <c r="QVZ91" s="207"/>
      <c r="QWA91" s="207"/>
      <c r="QWB91" s="208"/>
      <c r="QWC91" s="209"/>
      <c r="QWD91" s="207"/>
      <c r="QWE91" s="210"/>
      <c r="QWF91" s="209"/>
      <c r="QWG91" s="204"/>
      <c r="QWH91" s="204"/>
      <c r="QWI91" s="204"/>
      <c r="QWJ91" s="199"/>
      <c r="QWK91" s="167"/>
      <c r="QWL91" s="199"/>
      <c r="QWM91" s="200"/>
      <c r="QWN91" s="201"/>
      <c r="QWO91" s="202"/>
      <c r="QWP91" s="202"/>
      <c r="QWQ91" s="202"/>
      <c r="QWR91" s="202"/>
      <c r="QWS91" s="203"/>
      <c r="QWT91" s="204"/>
      <c r="QWU91" s="204"/>
      <c r="QWV91" s="204"/>
      <c r="QWW91" s="205"/>
      <c r="QWX91" s="206"/>
      <c r="QWY91" s="207"/>
      <c r="QWZ91" s="207"/>
      <c r="QXA91" s="208"/>
      <c r="QXB91" s="209"/>
      <c r="QXC91" s="207"/>
      <c r="QXD91" s="210"/>
      <c r="QXE91" s="209"/>
      <c r="QXF91" s="204"/>
      <c r="QXG91" s="204"/>
      <c r="QXH91" s="204"/>
      <c r="QXI91" s="199"/>
      <c r="QXJ91" s="167"/>
      <c r="QXK91" s="199"/>
      <c r="QXL91" s="200"/>
      <c r="QXM91" s="201"/>
      <c r="QXN91" s="202"/>
      <c r="QXO91" s="202"/>
      <c r="QXP91" s="202"/>
      <c r="QXQ91" s="202"/>
      <c r="QXR91" s="203"/>
      <c r="QXS91" s="204"/>
      <c r="QXT91" s="204"/>
      <c r="QXU91" s="204"/>
      <c r="QXV91" s="205"/>
      <c r="QXW91" s="206"/>
      <c r="QXX91" s="207"/>
      <c r="QXY91" s="207"/>
      <c r="QXZ91" s="208"/>
      <c r="QYA91" s="209"/>
      <c r="QYB91" s="207"/>
      <c r="QYC91" s="210"/>
      <c r="QYD91" s="209"/>
      <c r="QYE91" s="204"/>
      <c r="QYF91" s="204"/>
      <c r="QYG91" s="204"/>
      <c r="QYH91" s="199"/>
      <c r="QYI91" s="167"/>
      <c r="QYJ91" s="199"/>
      <c r="QYK91" s="200"/>
      <c r="QYL91" s="201"/>
      <c r="QYM91" s="202"/>
      <c r="QYN91" s="202"/>
      <c r="QYO91" s="202"/>
      <c r="QYP91" s="202"/>
      <c r="QYQ91" s="203"/>
      <c r="QYR91" s="204"/>
      <c r="QYS91" s="204"/>
      <c r="QYT91" s="204"/>
      <c r="QYU91" s="205"/>
      <c r="QYV91" s="206"/>
      <c r="QYW91" s="207"/>
      <c r="QYX91" s="207"/>
      <c r="QYY91" s="208"/>
      <c r="QYZ91" s="209"/>
      <c r="QZA91" s="207"/>
      <c r="QZB91" s="210"/>
      <c r="QZC91" s="209"/>
      <c r="QZD91" s="204"/>
      <c r="QZE91" s="204"/>
      <c r="QZF91" s="204"/>
      <c r="QZG91" s="199"/>
      <c r="QZH91" s="167"/>
      <c r="QZI91" s="199"/>
      <c r="QZJ91" s="200"/>
      <c r="QZK91" s="201"/>
      <c r="QZL91" s="202"/>
      <c r="QZM91" s="202"/>
      <c r="QZN91" s="202"/>
      <c r="QZO91" s="202"/>
      <c r="QZP91" s="203"/>
      <c r="QZQ91" s="204"/>
      <c r="QZR91" s="204"/>
      <c r="QZS91" s="204"/>
      <c r="QZT91" s="205"/>
      <c r="QZU91" s="206"/>
      <c r="QZV91" s="207"/>
      <c r="QZW91" s="207"/>
      <c r="QZX91" s="208"/>
      <c r="QZY91" s="209"/>
      <c r="QZZ91" s="207"/>
      <c r="RAA91" s="210"/>
      <c r="RAB91" s="209"/>
      <c r="RAC91" s="204"/>
      <c r="RAD91" s="204"/>
      <c r="RAE91" s="204"/>
      <c r="RAF91" s="199"/>
      <c r="RAG91" s="167"/>
      <c r="RAH91" s="199"/>
      <c r="RAI91" s="200"/>
      <c r="RAJ91" s="201"/>
      <c r="RAK91" s="202"/>
      <c r="RAL91" s="202"/>
      <c r="RAM91" s="202"/>
      <c r="RAN91" s="202"/>
      <c r="RAO91" s="203"/>
      <c r="RAP91" s="204"/>
      <c r="RAQ91" s="204"/>
      <c r="RAR91" s="204"/>
      <c r="RAS91" s="205"/>
      <c r="RAT91" s="206"/>
      <c r="RAU91" s="207"/>
      <c r="RAV91" s="207"/>
      <c r="RAW91" s="208"/>
      <c r="RAX91" s="209"/>
      <c r="RAY91" s="207"/>
      <c r="RAZ91" s="210"/>
      <c r="RBA91" s="209"/>
      <c r="RBB91" s="204"/>
      <c r="RBC91" s="204"/>
      <c r="RBD91" s="204"/>
      <c r="RBE91" s="199"/>
      <c r="RBF91" s="167"/>
      <c r="RBG91" s="199"/>
      <c r="RBH91" s="200"/>
      <c r="RBI91" s="201"/>
      <c r="RBJ91" s="202"/>
      <c r="RBK91" s="202"/>
      <c r="RBL91" s="202"/>
      <c r="RBM91" s="202"/>
      <c r="RBN91" s="203"/>
      <c r="RBO91" s="204"/>
      <c r="RBP91" s="204"/>
      <c r="RBQ91" s="204"/>
      <c r="RBR91" s="205"/>
      <c r="RBS91" s="206"/>
      <c r="RBT91" s="207"/>
      <c r="RBU91" s="207"/>
      <c r="RBV91" s="208"/>
      <c r="RBW91" s="209"/>
      <c r="RBX91" s="207"/>
      <c r="RBY91" s="210"/>
      <c r="RBZ91" s="209"/>
      <c r="RCA91" s="204"/>
      <c r="RCB91" s="204"/>
      <c r="RCC91" s="204"/>
      <c r="RCD91" s="199"/>
      <c r="RCE91" s="167"/>
      <c r="RCF91" s="199"/>
      <c r="RCG91" s="200"/>
      <c r="RCH91" s="201"/>
      <c r="RCI91" s="202"/>
      <c r="RCJ91" s="202"/>
      <c r="RCK91" s="202"/>
      <c r="RCL91" s="202"/>
      <c r="RCM91" s="203"/>
      <c r="RCN91" s="204"/>
      <c r="RCO91" s="204"/>
      <c r="RCP91" s="204"/>
      <c r="RCQ91" s="205"/>
      <c r="RCR91" s="206"/>
      <c r="RCS91" s="207"/>
      <c r="RCT91" s="207"/>
      <c r="RCU91" s="208"/>
      <c r="RCV91" s="209"/>
      <c r="RCW91" s="207"/>
      <c r="RCX91" s="210"/>
      <c r="RCY91" s="209"/>
      <c r="RCZ91" s="204"/>
      <c r="RDA91" s="204"/>
      <c r="RDB91" s="204"/>
      <c r="RDC91" s="199"/>
      <c r="RDD91" s="167"/>
      <c r="RDE91" s="199"/>
      <c r="RDF91" s="200"/>
      <c r="RDG91" s="201"/>
      <c r="RDH91" s="202"/>
      <c r="RDI91" s="202"/>
      <c r="RDJ91" s="202"/>
      <c r="RDK91" s="202"/>
      <c r="RDL91" s="203"/>
      <c r="RDM91" s="204"/>
      <c r="RDN91" s="204"/>
      <c r="RDO91" s="204"/>
      <c r="RDP91" s="205"/>
      <c r="RDQ91" s="206"/>
      <c r="RDR91" s="207"/>
      <c r="RDS91" s="207"/>
      <c r="RDT91" s="208"/>
      <c r="RDU91" s="209"/>
      <c r="RDV91" s="207"/>
      <c r="RDW91" s="210"/>
      <c r="RDX91" s="209"/>
      <c r="RDY91" s="204"/>
      <c r="RDZ91" s="204"/>
      <c r="REA91" s="204"/>
      <c r="REB91" s="199"/>
      <c r="REC91" s="167"/>
      <c r="RED91" s="199"/>
      <c r="REE91" s="200"/>
      <c r="REF91" s="201"/>
      <c r="REG91" s="202"/>
      <c r="REH91" s="202"/>
      <c r="REI91" s="202"/>
      <c r="REJ91" s="202"/>
      <c r="REK91" s="203"/>
      <c r="REL91" s="204"/>
      <c r="REM91" s="204"/>
      <c r="REN91" s="204"/>
      <c r="REO91" s="205"/>
      <c r="REP91" s="206"/>
      <c r="REQ91" s="207"/>
      <c r="RER91" s="207"/>
      <c r="RES91" s="208"/>
      <c r="RET91" s="209"/>
      <c r="REU91" s="207"/>
      <c r="REV91" s="210"/>
      <c r="REW91" s="209"/>
      <c r="REX91" s="204"/>
      <c r="REY91" s="204"/>
      <c r="REZ91" s="204"/>
      <c r="RFA91" s="199"/>
      <c r="RFB91" s="167"/>
      <c r="RFC91" s="199"/>
      <c r="RFD91" s="200"/>
      <c r="RFE91" s="201"/>
      <c r="RFF91" s="202"/>
      <c r="RFG91" s="202"/>
      <c r="RFH91" s="202"/>
      <c r="RFI91" s="202"/>
      <c r="RFJ91" s="203"/>
      <c r="RFK91" s="204"/>
      <c r="RFL91" s="204"/>
      <c r="RFM91" s="204"/>
      <c r="RFN91" s="205"/>
      <c r="RFO91" s="206"/>
      <c r="RFP91" s="207"/>
      <c r="RFQ91" s="207"/>
      <c r="RFR91" s="208"/>
      <c r="RFS91" s="209"/>
      <c r="RFT91" s="207"/>
      <c r="RFU91" s="210"/>
      <c r="RFV91" s="209"/>
      <c r="RFW91" s="204"/>
      <c r="RFX91" s="204"/>
      <c r="RFY91" s="204"/>
      <c r="RFZ91" s="199"/>
      <c r="RGA91" s="167"/>
      <c r="RGB91" s="199"/>
      <c r="RGC91" s="200"/>
      <c r="RGD91" s="201"/>
      <c r="RGE91" s="202"/>
      <c r="RGF91" s="202"/>
      <c r="RGG91" s="202"/>
      <c r="RGH91" s="202"/>
      <c r="RGI91" s="203"/>
      <c r="RGJ91" s="204"/>
      <c r="RGK91" s="204"/>
      <c r="RGL91" s="204"/>
      <c r="RGM91" s="205"/>
      <c r="RGN91" s="206"/>
      <c r="RGO91" s="207"/>
      <c r="RGP91" s="207"/>
      <c r="RGQ91" s="208"/>
      <c r="RGR91" s="209"/>
      <c r="RGS91" s="207"/>
      <c r="RGT91" s="210"/>
      <c r="RGU91" s="209"/>
      <c r="RGV91" s="204"/>
      <c r="RGW91" s="204"/>
      <c r="RGX91" s="204"/>
      <c r="RGY91" s="199"/>
      <c r="RGZ91" s="167"/>
      <c r="RHA91" s="199"/>
      <c r="RHB91" s="200"/>
      <c r="RHC91" s="201"/>
      <c r="RHD91" s="202"/>
      <c r="RHE91" s="202"/>
      <c r="RHF91" s="202"/>
      <c r="RHG91" s="202"/>
      <c r="RHH91" s="203"/>
      <c r="RHI91" s="204"/>
      <c r="RHJ91" s="204"/>
      <c r="RHK91" s="204"/>
      <c r="RHL91" s="205"/>
      <c r="RHM91" s="206"/>
      <c r="RHN91" s="207"/>
      <c r="RHO91" s="207"/>
      <c r="RHP91" s="208"/>
      <c r="RHQ91" s="209"/>
      <c r="RHR91" s="207"/>
      <c r="RHS91" s="210"/>
      <c r="RHT91" s="209"/>
      <c r="RHU91" s="204"/>
      <c r="RHV91" s="204"/>
      <c r="RHW91" s="204"/>
      <c r="RHX91" s="199"/>
      <c r="RHY91" s="167"/>
      <c r="RHZ91" s="199"/>
      <c r="RIA91" s="200"/>
      <c r="RIB91" s="201"/>
      <c r="RIC91" s="202"/>
      <c r="RID91" s="202"/>
      <c r="RIE91" s="202"/>
      <c r="RIF91" s="202"/>
      <c r="RIG91" s="203"/>
      <c r="RIH91" s="204"/>
      <c r="RII91" s="204"/>
      <c r="RIJ91" s="204"/>
      <c r="RIK91" s="205"/>
      <c r="RIL91" s="206"/>
      <c r="RIM91" s="207"/>
      <c r="RIN91" s="207"/>
      <c r="RIO91" s="208"/>
      <c r="RIP91" s="209"/>
      <c r="RIQ91" s="207"/>
      <c r="RIR91" s="210"/>
      <c r="RIS91" s="209"/>
      <c r="RIT91" s="204"/>
      <c r="RIU91" s="204"/>
      <c r="RIV91" s="204"/>
      <c r="RIW91" s="199"/>
      <c r="RIX91" s="167"/>
      <c r="RIY91" s="199"/>
      <c r="RIZ91" s="200"/>
      <c r="RJA91" s="201"/>
      <c r="RJB91" s="202"/>
      <c r="RJC91" s="202"/>
      <c r="RJD91" s="202"/>
      <c r="RJE91" s="202"/>
      <c r="RJF91" s="203"/>
      <c r="RJG91" s="204"/>
      <c r="RJH91" s="204"/>
      <c r="RJI91" s="204"/>
      <c r="RJJ91" s="205"/>
      <c r="RJK91" s="206"/>
      <c r="RJL91" s="207"/>
      <c r="RJM91" s="207"/>
      <c r="RJN91" s="208"/>
      <c r="RJO91" s="209"/>
      <c r="RJP91" s="207"/>
      <c r="RJQ91" s="210"/>
      <c r="RJR91" s="209"/>
      <c r="RJS91" s="204"/>
      <c r="RJT91" s="204"/>
      <c r="RJU91" s="204"/>
      <c r="RJV91" s="199"/>
      <c r="RJW91" s="167"/>
      <c r="RJX91" s="199"/>
      <c r="RJY91" s="200"/>
      <c r="RJZ91" s="201"/>
      <c r="RKA91" s="202"/>
      <c r="RKB91" s="202"/>
      <c r="RKC91" s="202"/>
      <c r="RKD91" s="202"/>
      <c r="RKE91" s="203"/>
      <c r="RKF91" s="204"/>
      <c r="RKG91" s="204"/>
      <c r="RKH91" s="204"/>
      <c r="RKI91" s="205"/>
      <c r="RKJ91" s="206"/>
      <c r="RKK91" s="207"/>
      <c r="RKL91" s="207"/>
      <c r="RKM91" s="208"/>
      <c r="RKN91" s="209"/>
      <c r="RKO91" s="207"/>
      <c r="RKP91" s="210"/>
      <c r="RKQ91" s="209"/>
      <c r="RKR91" s="204"/>
      <c r="RKS91" s="204"/>
      <c r="RKT91" s="204"/>
      <c r="RKU91" s="199"/>
      <c r="RKV91" s="167"/>
      <c r="RKW91" s="199"/>
      <c r="RKX91" s="200"/>
      <c r="RKY91" s="201"/>
      <c r="RKZ91" s="202"/>
      <c r="RLA91" s="202"/>
      <c r="RLB91" s="202"/>
      <c r="RLC91" s="202"/>
      <c r="RLD91" s="203"/>
      <c r="RLE91" s="204"/>
      <c r="RLF91" s="204"/>
      <c r="RLG91" s="204"/>
      <c r="RLH91" s="205"/>
      <c r="RLI91" s="206"/>
      <c r="RLJ91" s="207"/>
      <c r="RLK91" s="207"/>
      <c r="RLL91" s="208"/>
      <c r="RLM91" s="209"/>
      <c r="RLN91" s="207"/>
      <c r="RLO91" s="210"/>
      <c r="RLP91" s="209"/>
      <c r="RLQ91" s="204"/>
      <c r="RLR91" s="204"/>
      <c r="RLS91" s="204"/>
      <c r="RLT91" s="199"/>
      <c r="RLU91" s="167"/>
      <c r="RLV91" s="199"/>
      <c r="RLW91" s="200"/>
      <c r="RLX91" s="201"/>
      <c r="RLY91" s="202"/>
      <c r="RLZ91" s="202"/>
      <c r="RMA91" s="202"/>
      <c r="RMB91" s="202"/>
      <c r="RMC91" s="203"/>
      <c r="RMD91" s="204"/>
      <c r="RME91" s="204"/>
      <c r="RMF91" s="204"/>
      <c r="RMG91" s="205"/>
      <c r="RMH91" s="206"/>
      <c r="RMI91" s="207"/>
      <c r="RMJ91" s="207"/>
      <c r="RMK91" s="208"/>
      <c r="RML91" s="209"/>
      <c r="RMM91" s="207"/>
      <c r="RMN91" s="210"/>
      <c r="RMO91" s="209"/>
      <c r="RMP91" s="204"/>
      <c r="RMQ91" s="204"/>
      <c r="RMR91" s="204"/>
      <c r="RMS91" s="199"/>
      <c r="RMT91" s="167"/>
      <c r="RMU91" s="199"/>
      <c r="RMV91" s="200"/>
      <c r="RMW91" s="201"/>
      <c r="RMX91" s="202"/>
      <c r="RMY91" s="202"/>
      <c r="RMZ91" s="202"/>
      <c r="RNA91" s="202"/>
      <c r="RNB91" s="203"/>
      <c r="RNC91" s="204"/>
      <c r="RND91" s="204"/>
      <c r="RNE91" s="204"/>
      <c r="RNF91" s="205"/>
      <c r="RNG91" s="206"/>
      <c r="RNH91" s="207"/>
      <c r="RNI91" s="207"/>
      <c r="RNJ91" s="208"/>
      <c r="RNK91" s="209"/>
      <c r="RNL91" s="207"/>
      <c r="RNM91" s="210"/>
      <c r="RNN91" s="209"/>
      <c r="RNO91" s="204"/>
      <c r="RNP91" s="204"/>
      <c r="RNQ91" s="204"/>
      <c r="RNR91" s="199"/>
      <c r="RNS91" s="167"/>
      <c r="RNT91" s="199"/>
      <c r="RNU91" s="200"/>
      <c r="RNV91" s="201"/>
      <c r="RNW91" s="202"/>
      <c r="RNX91" s="202"/>
      <c r="RNY91" s="202"/>
      <c r="RNZ91" s="202"/>
      <c r="ROA91" s="203"/>
      <c r="ROB91" s="204"/>
      <c r="ROC91" s="204"/>
      <c r="ROD91" s="204"/>
      <c r="ROE91" s="205"/>
      <c r="ROF91" s="206"/>
      <c r="ROG91" s="207"/>
      <c r="ROH91" s="207"/>
      <c r="ROI91" s="208"/>
      <c r="ROJ91" s="209"/>
      <c r="ROK91" s="207"/>
      <c r="ROL91" s="210"/>
      <c r="ROM91" s="209"/>
      <c r="RON91" s="204"/>
      <c r="ROO91" s="204"/>
      <c r="ROP91" s="204"/>
      <c r="ROQ91" s="199"/>
      <c r="ROR91" s="167"/>
      <c r="ROS91" s="199"/>
      <c r="ROT91" s="200"/>
      <c r="ROU91" s="201"/>
      <c r="ROV91" s="202"/>
      <c r="ROW91" s="202"/>
      <c r="ROX91" s="202"/>
      <c r="ROY91" s="202"/>
      <c r="ROZ91" s="203"/>
      <c r="RPA91" s="204"/>
      <c r="RPB91" s="204"/>
      <c r="RPC91" s="204"/>
      <c r="RPD91" s="205"/>
      <c r="RPE91" s="206"/>
      <c r="RPF91" s="207"/>
      <c r="RPG91" s="207"/>
      <c r="RPH91" s="208"/>
      <c r="RPI91" s="209"/>
      <c r="RPJ91" s="207"/>
      <c r="RPK91" s="210"/>
      <c r="RPL91" s="209"/>
      <c r="RPM91" s="204"/>
      <c r="RPN91" s="204"/>
      <c r="RPO91" s="204"/>
      <c r="RPP91" s="199"/>
      <c r="RPQ91" s="167"/>
      <c r="RPR91" s="199"/>
      <c r="RPS91" s="200"/>
      <c r="RPT91" s="201"/>
      <c r="RPU91" s="202"/>
      <c r="RPV91" s="202"/>
      <c r="RPW91" s="202"/>
      <c r="RPX91" s="202"/>
      <c r="RPY91" s="203"/>
      <c r="RPZ91" s="204"/>
      <c r="RQA91" s="204"/>
      <c r="RQB91" s="204"/>
      <c r="RQC91" s="205"/>
      <c r="RQD91" s="206"/>
      <c r="RQE91" s="207"/>
      <c r="RQF91" s="207"/>
      <c r="RQG91" s="208"/>
      <c r="RQH91" s="209"/>
      <c r="RQI91" s="207"/>
      <c r="RQJ91" s="210"/>
      <c r="RQK91" s="209"/>
      <c r="RQL91" s="204"/>
      <c r="RQM91" s="204"/>
      <c r="RQN91" s="204"/>
      <c r="RQO91" s="199"/>
      <c r="RQP91" s="167"/>
      <c r="RQQ91" s="199"/>
      <c r="RQR91" s="200"/>
      <c r="RQS91" s="201"/>
      <c r="RQT91" s="202"/>
      <c r="RQU91" s="202"/>
      <c r="RQV91" s="202"/>
      <c r="RQW91" s="202"/>
      <c r="RQX91" s="203"/>
      <c r="RQY91" s="204"/>
      <c r="RQZ91" s="204"/>
      <c r="RRA91" s="204"/>
      <c r="RRB91" s="205"/>
      <c r="RRC91" s="206"/>
      <c r="RRD91" s="207"/>
      <c r="RRE91" s="207"/>
      <c r="RRF91" s="208"/>
      <c r="RRG91" s="209"/>
      <c r="RRH91" s="207"/>
      <c r="RRI91" s="210"/>
      <c r="RRJ91" s="209"/>
      <c r="RRK91" s="204"/>
      <c r="RRL91" s="204"/>
      <c r="RRM91" s="204"/>
      <c r="RRN91" s="199"/>
      <c r="RRO91" s="167"/>
      <c r="RRP91" s="199"/>
      <c r="RRQ91" s="200"/>
      <c r="RRR91" s="201"/>
      <c r="RRS91" s="202"/>
      <c r="RRT91" s="202"/>
      <c r="RRU91" s="202"/>
      <c r="RRV91" s="202"/>
      <c r="RRW91" s="203"/>
      <c r="RRX91" s="204"/>
      <c r="RRY91" s="204"/>
      <c r="RRZ91" s="204"/>
      <c r="RSA91" s="205"/>
      <c r="RSB91" s="206"/>
      <c r="RSC91" s="207"/>
      <c r="RSD91" s="207"/>
      <c r="RSE91" s="208"/>
      <c r="RSF91" s="209"/>
      <c r="RSG91" s="207"/>
      <c r="RSH91" s="210"/>
      <c r="RSI91" s="209"/>
      <c r="RSJ91" s="204"/>
      <c r="RSK91" s="204"/>
      <c r="RSL91" s="204"/>
      <c r="RSM91" s="199"/>
      <c r="RSN91" s="167"/>
      <c r="RSO91" s="199"/>
      <c r="RSP91" s="200"/>
      <c r="RSQ91" s="201"/>
      <c r="RSR91" s="202"/>
      <c r="RSS91" s="202"/>
      <c r="RST91" s="202"/>
      <c r="RSU91" s="202"/>
      <c r="RSV91" s="203"/>
      <c r="RSW91" s="204"/>
      <c r="RSX91" s="204"/>
      <c r="RSY91" s="204"/>
      <c r="RSZ91" s="205"/>
      <c r="RTA91" s="206"/>
      <c r="RTB91" s="207"/>
      <c r="RTC91" s="207"/>
      <c r="RTD91" s="208"/>
      <c r="RTE91" s="209"/>
      <c r="RTF91" s="207"/>
      <c r="RTG91" s="210"/>
      <c r="RTH91" s="209"/>
      <c r="RTI91" s="204"/>
      <c r="RTJ91" s="204"/>
      <c r="RTK91" s="204"/>
      <c r="RTL91" s="199"/>
      <c r="RTM91" s="167"/>
      <c r="RTN91" s="199"/>
      <c r="RTO91" s="200"/>
      <c r="RTP91" s="201"/>
      <c r="RTQ91" s="202"/>
      <c r="RTR91" s="202"/>
      <c r="RTS91" s="202"/>
      <c r="RTT91" s="202"/>
      <c r="RTU91" s="203"/>
      <c r="RTV91" s="204"/>
      <c r="RTW91" s="204"/>
      <c r="RTX91" s="204"/>
      <c r="RTY91" s="205"/>
      <c r="RTZ91" s="206"/>
      <c r="RUA91" s="207"/>
      <c r="RUB91" s="207"/>
      <c r="RUC91" s="208"/>
      <c r="RUD91" s="209"/>
      <c r="RUE91" s="207"/>
      <c r="RUF91" s="210"/>
      <c r="RUG91" s="209"/>
      <c r="RUH91" s="204"/>
      <c r="RUI91" s="204"/>
      <c r="RUJ91" s="204"/>
      <c r="RUK91" s="199"/>
      <c r="RUL91" s="167"/>
      <c r="RUM91" s="199"/>
      <c r="RUN91" s="200"/>
      <c r="RUO91" s="201"/>
      <c r="RUP91" s="202"/>
      <c r="RUQ91" s="202"/>
      <c r="RUR91" s="202"/>
      <c r="RUS91" s="202"/>
      <c r="RUT91" s="203"/>
      <c r="RUU91" s="204"/>
      <c r="RUV91" s="204"/>
      <c r="RUW91" s="204"/>
      <c r="RUX91" s="205"/>
      <c r="RUY91" s="206"/>
      <c r="RUZ91" s="207"/>
      <c r="RVA91" s="207"/>
      <c r="RVB91" s="208"/>
      <c r="RVC91" s="209"/>
      <c r="RVD91" s="207"/>
      <c r="RVE91" s="210"/>
      <c r="RVF91" s="209"/>
      <c r="RVG91" s="204"/>
      <c r="RVH91" s="204"/>
      <c r="RVI91" s="204"/>
      <c r="RVJ91" s="199"/>
      <c r="RVK91" s="167"/>
      <c r="RVL91" s="199"/>
      <c r="RVM91" s="200"/>
      <c r="RVN91" s="201"/>
      <c r="RVO91" s="202"/>
      <c r="RVP91" s="202"/>
      <c r="RVQ91" s="202"/>
      <c r="RVR91" s="202"/>
      <c r="RVS91" s="203"/>
      <c r="RVT91" s="204"/>
      <c r="RVU91" s="204"/>
      <c r="RVV91" s="204"/>
      <c r="RVW91" s="205"/>
      <c r="RVX91" s="206"/>
      <c r="RVY91" s="207"/>
      <c r="RVZ91" s="207"/>
      <c r="RWA91" s="208"/>
      <c r="RWB91" s="209"/>
      <c r="RWC91" s="207"/>
      <c r="RWD91" s="210"/>
      <c r="RWE91" s="209"/>
      <c r="RWF91" s="204"/>
      <c r="RWG91" s="204"/>
      <c r="RWH91" s="204"/>
      <c r="RWI91" s="199"/>
      <c r="RWJ91" s="167"/>
      <c r="RWK91" s="199"/>
      <c r="RWL91" s="200"/>
      <c r="RWM91" s="201"/>
      <c r="RWN91" s="202"/>
      <c r="RWO91" s="202"/>
      <c r="RWP91" s="202"/>
      <c r="RWQ91" s="202"/>
      <c r="RWR91" s="203"/>
      <c r="RWS91" s="204"/>
      <c r="RWT91" s="204"/>
      <c r="RWU91" s="204"/>
      <c r="RWV91" s="205"/>
      <c r="RWW91" s="206"/>
      <c r="RWX91" s="207"/>
      <c r="RWY91" s="207"/>
      <c r="RWZ91" s="208"/>
      <c r="RXA91" s="209"/>
      <c r="RXB91" s="207"/>
      <c r="RXC91" s="210"/>
      <c r="RXD91" s="209"/>
      <c r="RXE91" s="204"/>
      <c r="RXF91" s="204"/>
      <c r="RXG91" s="204"/>
      <c r="RXH91" s="199"/>
      <c r="RXI91" s="167"/>
      <c r="RXJ91" s="199"/>
      <c r="RXK91" s="200"/>
      <c r="RXL91" s="201"/>
      <c r="RXM91" s="202"/>
      <c r="RXN91" s="202"/>
      <c r="RXO91" s="202"/>
      <c r="RXP91" s="202"/>
      <c r="RXQ91" s="203"/>
      <c r="RXR91" s="204"/>
      <c r="RXS91" s="204"/>
      <c r="RXT91" s="204"/>
      <c r="RXU91" s="205"/>
      <c r="RXV91" s="206"/>
      <c r="RXW91" s="207"/>
      <c r="RXX91" s="207"/>
      <c r="RXY91" s="208"/>
      <c r="RXZ91" s="209"/>
      <c r="RYA91" s="207"/>
      <c r="RYB91" s="210"/>
      <c r="RYC91" s="209"/>
      <c r="RYD91" s="204"/>
      <c r="RYE91" s="204"/>
      <c r="RYF91" s="204"/>
      <c r="RYG91" s="199"/>
      <c r="RYH91" s="167"/>
      <c r="RYI91" s="199"/>
      <c r="RYJ91" s="200"/>
      <c r="RYK91" s="201"/>
      <c r="RYL91" s="202"/>
      <c r="RYM91" s="202"/>
      <c r="RYN91" s="202"/>
      <c r="RYO91" s="202"/>
      <c r="RYP91" s="203"/>
      <c r="RYQ91" s="204"/>
      <c r="RYR91" s="204"/>
      <c r="RYS91" s="204"/>
      <c r="RYT91" s="205"/>
      <c r="RYU91" s="206"/>
      <c r="RYV91" s="207"/>
      <c r="RYW91" s="207"/>
      <c r="RYX91" s="208"/>
      <c r="RYY91" s="209"/>
      <c r="RYZ91" s="207"/>
      <c r="RZA91" s="210"/>
      <c r="RZB91" s="209"/>
      <c r="RZC91" s="204"/>
      <c r="RZD91" s="204"/>
      <c r="RZE91" s="204"/>
      <c r="RZF91" s="199"/>
      <c r="RZG91" s="167"/>
      <c r="RZH91" s="199"/>
      <c r="RZI91" s="200"/>
      <c r="RZJ91" s="201"/>
      <c r="RZK91" s="202"/>
      <c r="RZL91" s="202"/>
      <c r="RZM91" s="202"/>
      <c r="RZN91" s="202"/>
      <c r="RZO91" s="203"/>
      <c r="RZP91" s="204"/>
      <c r="RZQ91" s="204"/>
      <c r="RZR91" s="204"/>
      <c r="RZS91" s="205"/>
      <c r="RZT91" s="206"/>
      <c r="RZU91" s="207"/>
      <c r="RZV91" s="207"/>
      <c r="RZW91" s="208"/>
      <c r="RZX91" s="209"/>
      <c r="RZY91" s="207"/>
      <c r="RZZ91" s="210"/>
      <c r="SAA91" s="209"/>
      <c r="SAB91" s="204"/>
      <c r="SAC91" s="204"/>
      <c r="SAD91" s="204"/>
      <c r="SAE91" s="199"/>
      <c r="SAF91" s="167"/>
      <c r="SAG91" s="199"/>
      <c r="SAH91" s="200"/>
      <c r="SAI91" s="201"/>
      <c r="SAJ91" s="202"/>
      <c r="SAK91" s="202"/>
      <c r="SAL91" s="202"/>
      <c r="SAM91" s="202"/>
      <c r="SAN91" s="203"/>
      <c r="SAO91" s="204"/>
      <c r="SAP91" s="204"/>
      <c r="SAQ91" s="204"/>
      <c r="SAR91" s="205"/>
      <c r="SAS91" s="206"/>
      <c r="SAT91" s="207"/>
      <c r="SAU91" s="207"/>
      <c r="SAV91" s="208"/>
      <c r="SAW91" s="209"/>
      <c r="SAX91" s="207"/>
      <c r="SAY91" s="210"/>
      <c r="SAZ91" s="209"/>
      <c r="SBA91" s="204"/>
      <c r="SBB91" s="204"/>
      <c r="SBC91" s="204"/>
      <c r="SBD91" s="199"/>
      <c r="SBE91" s="167"/>
      <c r="SBF91" s="199"/>
      <c r="SBG91" s="200"/>
      <c r="SBH91" s="201"/>
      <c r="SBI91" s="202"/>
      <c r="SBJ91" s="202"/>
      <c r="SBK91" s="202"/>
      <c r="SBL91" s="202"/>
      <c r="SBM91" s="203"/>
      <c r="SBN91" s="204"/>
      <c r="SBO91" s="204"/>
      <c r="SBP91" s="204"/>
      <c r="SBQ91" s="205"/>
      <c r="SBR91" s="206"/>
      <c r="SBS91" s="207"/>
      <c r="SBT91" s="207"/>
      <c r="SBU91" s="208"/>
      <c r="SBV91" s="209"/>
      <c r="SBW91" s="207"/>
      <c r="SBX91" s="210"/>
      <c r="SBY91" s="209"/>
      <c r="SBZ91" s="204"/>
      <c r="SCA91" s="204"/>
      <c r="SCB91" s="204"/>
      <c r="SCC91" s="199"/>
      <c r="SCD91" s="167"/>
      <c r="SCE91" s="199"/>
      <c r="SCF91" s="200"/>
      <c r="SCG91" s="201"/>
      <c r="SCH91" s="202"/>
      <c r="SCI91" s="202"/>
      <c r="SCJ91" s="202"/>
      <c r="SCK91" s="202"/>
      <c r="SCL91" s="203"/>
      <c r="SCM91" s="204"/>
      <c r="SCN91" s="204"/>
      <c r="SCO91" s="204"/>
      <c r="SCP91" s="205"/>
      <c r="SCQ91" s="206"/>
      <c r="SCR91" s="207"/>
      <c r="SCS91" s="207"/>
      <c r="SCT91" s="208"/>
      <c r="SCU91" s="209"/>
      <c r="SCV91" s="207"/>
      <c r="SCW91" s="210"/>
      <c r="SCX91" s="209"/>
      <c r="SCY91" s="204"/>
      <c r="SCZ91" s="204"/>
      <c r="SDA91" s="204"/>
      <c r="SDB91" s="199"/>
      <c r="SDC91" s="167"/>
      <c r="SDD91" s="199"/>
      <c r="SDE91" s="200"/>
      <c r="SDF91" s="201"/>
      <c r="SDG91" s="202"/>
      <c r="SDH91" s="202"/>
      <c r="SDI91" s="202"/>
      <c r="SDJ91" s="202"/>
      <c r="SDK91" s="203"/>
      <c r="SDL91" s="204"/>
      <c r="SDM91" s="204"/>
      <c r="SDN91" s="204"/>
      <c r="SDO91" s="205"/>
      <c r="SDP91" s="206"/>
      <c r="SDQ91" s="207"/>
      <c r="SDR91" s="207"/>
      <c r="SDS91" s="208"/>
      <c r="SDT91" s="209"/>
      <c r="SDU91" s="207"/>
      <c r="SDV91" s="210"/>
      <c r="SDW91" s="209"/>
      <c r="SDX91" s="204"/>
      <c r="SDY91" s="204"/>
      <c r="SDZ91" s="204"/>
      <c r="SEA91" s="199"/>
      <c r="SEB91" s="167"/>
      <c r="SEC91" s="199"/>
      <c r="SED91" s="200"/>
      <c r="SEE91" s="201"/>
      <c r="SEF91" s="202"/>
      <c r="SEG91" s="202"/>
      <c r="SEH91" s="202"/>
      <c r="SEI91" s="202"/>
      <c r="SEJ91" s="203"/>
      <c r="SEK91" s="204"/>
      <c r="SEL91" s="204"/>
      <c r="SEM91" s="204"/>
      <c r="SEN91" s="205"/>
      <c r="SEO91" s="206"/>
      <c r="SEP91" s="207"/>
      <c r="SEQ91" s="207"/>
      <c r="SER91" s="208"/>
      <c r="SES91" s="209"/>
      <c r="SET91" s="207"/>
      <c r="SEU91" s="210"/>
      <c r="SEV91" s="209"/>
      <c r="SEW91" s="204"/>
      <c r="SEX91" s="204"/>
      <c r="SEY91" s="204"/>
      <c r="SEZ91" s="199"/>
      <c r="SFA91" s="167"/>
      <c r="SFB91" s="199"/>
      <c r="SFC91" s="200"/>
      <c r="SFD91" s="201"/>
      <c r="SFE91" s="202"/>
      <c r="SFF91" s="202"/>
      <c r="SFG91" s="202"/>
      <c r="SFH91" s="202"/>
      <c r="SFI91" s="203"/>
      <c r="SFJ91" s="204"/>
      <c r="SFK91" s="204"/>
      <c r="SFL91" s="204"/>
      <c r="SFM91" s="205"/>
      <c r="SFN91" s="206"/>
      <c r="SFO91" s="207"/>
      <c r="SFP91" s="207"/>
      <c r="SFQ91" s="208"/>
      <c r="SFR91" s="209"/>
      <c r="SFS91" s="207"/>
      <c r="SFT91" s="210"/>
      <c r="SFU91" s="209"/>
      <c r="SFV91" s="204"/>
      <c r="SFW91" s="204"/>
      <c r="SFX91" s="204"/>
      <c r="SFY91" s="199"/>
      <c r="SFZ91" s="167"/>
      <c r="SGA91" s="199"/>
      <c r="SGB91" s="200"/>
      <c r="SGC91" s="201"/>
      <c r="SGD91" s="202"/>
      <c r="SGE91" s="202"/>
      <c r="SGF91" s="202"/>
      <c r="SGG91" s="202"/>
      <c r="SGH91" s="203"/>
      <c r="SGI91" s="204"/>
      <c r="SGJ91" s="204"/>
      <c r="SGK91" s="204"/>
      <c r="SGL91" s="205"/>
      <c r="SGM91" s="206"/>
      <c r="SGN91" s="207"/>
      <c r="SGO91" s="207"/>
      <c r="SGP91" s="208"/>
      <c r="SGQ91" s="209"/>
      <c r="SGR91" s="207"/>
      <c r="SGS91" s="210"/>
      <c r="SGT91" s="209"/>
      <c r="SGU91" s="204"/>
      <c r="SGV91" s="204"/>
      <c r="SGW91" s="204"/>
      <c r="SGX91" s="199"/>
      <c r="SGY91" s="167"/>
      <c r="SGZ91" s="199"/>
      <c r="SHA91" s="200"/>
      <c r="SHB91" s="201"/>
      <c r="SHC91" s="202"/>
      <c r="SHD91" s="202"/>
      <c r="SHE91" s="202"/>
      <c r="SHF91" s="202"/>
      <c r="SHG91" s="203"/>
      <c r="SHH91" s="204"/>
      <c r="SHI91" s="204"/>
      <c r="SHJ91" s="204"/>
      <c r="SHK91" s="205"/>
      <c r="SHL91" s="206"/>
      <c r="SHM91" s="207"/>
      <c r="SHN91" s="207"/>
      <c r="SHO91" s="208"/>
      <c r="SHP91" s="209"/>
      <c r="SHQ91" s="207"/>
      <c r="SHR91" s="210"/>
      <c r="SHS91" s="209"/>
      <c r="SHT91" s="204"/>
      <c r="SHU91" s="204"/>
      <c r="SHV91" s="204"/>
      <c r="SHW91" s="199"/>
      <c r="SHX91" s="167"/>
      <c r="SHY91" s="199"/>
      <c r="SHZ91" s="200"/>
      <c r="SIA91" s="201"/>
      <c r="SIB91" s="202"/>
      <c r="SIC91" s="202"/>
      <c r="SID91" s="202"/>
      <c r="SIE91" s="202"/>
      <c r="SIF91" s="203"/>
      <c r="SIG91" s="204"/>
      <c r="SIH91" s="204"/>
      <c r="SII91" s="204"/>
      <c r="SIJ91" s="205"/>
      <c r="SIK91" s="206"/>
      <c r="SIL91" s="207"/>
      <c r="SIM91" s="207"/>
      <c r="SIN91" s="208"/>
      <c r="SIO91" s="209"/>
      <c r="SIP91" s="207"/>
      <c r="SIQ91" s="210"/>
      <c r="SIR91" s="209"/>
      <c r="SIS91" s="204"/>
      <c r="SIT91" s="204"/>
      <c r="SIU91" s="204"/>
      <c r="SIV91" s="199"/>
      <c r="SIW91" s="167"/>
      <c r="SIX91" s="199"/>
      <c r="SIY91" s="200"/>
      <c r="SIZ91" s="201"/>
      <c r="SJA91" s="202"/>
      <c r="SJB91" s="202"/>
      <c r="SJC91" s="202"/>
      <c r="SJD91" s="202"/>
      <c r="SJE91" s="203"/>
      <c r="SJF91" s="204"/>
      <c r="SJG91" s="204"/>
      <c r="SJH91" s="204"/>
      <c r="SJI91" s="205"/>
      <c r="SJJ91" s="206"/>
      <c r="SJK91" s="207"/>
      <c r="SJL91" s="207"/>
      <c r="SJM91" s="208"/>
      <c r="SJN91" s="209"/>
      <c r="SJO91" s="207"/>
      <c r="SJP91" s="210"/>
      <c r="SJQ91" s="209"/>
      <c r="SJR91" s="204"/>
      <c r="SJS91" s="204"/>
      <c r="SJT91" s="204"/>
      <c r="SJU91" s="199"/>
      <c r="SJV91" s="167"/>
      <c r="SJW91" s="199"/>
      <c r="SJX91" s="200"/>
      <c r="SJY91" s="201"/>
      <c r="SJZ91" s="202"/>
      <c r="SKA91" s="202"/>
      <c r="SKB91" s="202"/>
      <c r="SKC91" s="202"/>
      <c r="SKD91" s="203"/>
      <c r="SKE91" s="204"/>
      <c r="SKF91" s="204"/>
      <c r="SKG91" s="204"/>
      <c r="SKH91" s="205"/>
      <c r="SKI91" s="206"/>
      <c r="SKJ91" s="207"/>
      <c r="SKK91" s="207"/>
      <c r="SKL91" s="208"/>
      <c r="SKM91" s="209"/>
      <c r="SKN91" s="207"/>
      <c r="SKO91" s="210"/>
      <c r="SKP91" s="209"/>
      <c r="SKQ91" s="204"/>
      <c r="SKR91" s="204"/>
      <c r="SKS91" s="204"/>
      <c r="SKT91" s="199"/>
      <c r="SKU91" s="167"/>
      <c r="SKV91" s="199"/>
      <c r="SKW91" s="200"/>
      <c r="SKX91" s="201"/>
      <c r="SKY91" s="202"/>
      <c r="SKZ91" s="202"/>
      <c r="SLA91" s="202"/>
      <c r="SLB91" s="202"/>
      <c r="SLC91" s="203"/>
      <c r="SLD91" s="204"/>
      <c r="SLE91" s="204"/>
      <c r="SLF91" s="204"/>
      <c r="SLG91" s="205"/>
      <c r="SLH91" s="206"/>
      <c r="SLI91" s="207"/>
      <c r="SLJ91" s="207"/>
      <c r="SLK91" s="208"/>
      <c r="SLL91" s="209"/>
      <c r="SLM91" s="207"/>
      <c r="SLN91" s="210"/>
      <c r="SLO91" s="209"/>
      <c r="SLP91" s="204"/>
      <c r="SLQ91" s="204"/>
      <c r="SLR91" s="204"/>
      <c r="SLS91" s="199"/>
      <c r="SLT91" s="167"/>
      <c r="SLU91" s="199"/>
      <c r="SLV91" s="200"/>
      <c r="SLW91" s="201"/>
      <c r="SLX91" s="202"/>
      <c r="SLY91" s="202"/>
      <c r="SLZ91" s="202"/>
      <c r="SMA91" s="202"/>
      <c r="SMB91" s="203"/>
      <c r="SMC91" s="204"/>
      <c r="SMD91" s="204"/>
      <c r="SME91" s="204"/>
      <c r="SMF91" s="205"/>
      <c r="SMG91" s="206"/>
      <c r="SMH91" s="207"/>
      <c r="SMI91" s="207"/>
      <c r="SMJ91" s="208"/>
      <c r="SMK91" s="209"/>
      <c r="SML91" s="207"/>
      <c r="SMM91" s="210"/>
      <c r="SMN91" s="209"/>
      <c r="SMO91" s="204"/>
      <c r="SMP91" s="204"/>
      <c r="SMQ91" s="204"/>
      <c r="SMR91" s="199"/>
      <c r="SMS91" s="167"/>
      <c r="SMT91" s="199"/>
      <c r="SMU91" s="200"/>
      <c r="SMV91" s="201"/>
      <c r="SMW91" s="202"/>
      <c r="SMX91" s="202"/>
      <c r="SMY91" s="202"/>
      <c r="SMZ91" s="202"/>
      <c r="SNA91" s="203"/>
      <c r="SNB91" s="204"/>
      <c r="SNC91" s="204"/>
      <c r="SND91" s="204"/>
      <c r="SNE91" s="205"/>
      <c r="SNF91" s="206"/>
      <c r="SNG91" s="207"/>
      <c r="SNH91" s="207"/>
      <c r="SNI91" s="208"/>
      <c r="SNJ91" s="209"/>
      <c r="SNK91" s="207"/>
      <c r="SNL91" s="210"/>
      <c r="SNM91" s="209"/>
      <c r="SNN91" s="204"/>
      <c r="SNO91" s="204"/>
      <c r="SNP91" s="204"/>
      <c r="SNQ91" s="199"/>
      <c r="SNR91" s="167"/>
      <c r="SNS91" s="199"/>
      <c r="SNT91" s="200"/>
      <c r="SNU91" s="201"/>
      <c r="SNV91" s="202"/>
      <c r="SNW91" s="202"/>
      <c r="SNX91" s="202"/>
      <c r="SNY91" s="202"/>
      <c r="SNZ91" s="203"/>
      <c r="SOA91" s="204"/>
      <c r="SOB91" s="204"/>
      <c r="SOC91" s="204"/>
      <c r="SOD91" s="205"/>
      <c r="SOE91" s="206"/>
      <c r="SOF91" s="207"/>
      <c r="SOG91" s="207"/>
      <c r="SOH91" s="208"/>
      <c r="SOI91" s="209"/>
      <c r="SOJ91" s="207"/>
      <c r="SOK91" s="210"/>
      <c r="SOL91" s="209"/>
      <c r="SOM91" s="204"/>
      <c r="SON91" s="204"/>
      <c r="SOO91" s="204"/>
      <c r="SOP91" s="199"/>
      <c r="SOQ91" s="167"/>
      <c r="SOR91" s="199"/>
      <c r="SOS91" s="200"/>
      <c r="SOT91" s="201"/>
      <c r="SOU91" s="202"/>
      <c r="SOV91" s="202"/>
      <c r="SOW91" s="202"/>
      <c r="SOX91" s="202"/>
      <c r="SOY91" s="203"/>
      <c r="SOZ91" s="204"/>
      <c r="SPA91" s="204"/>
      <c r="SPB91" s="204"/>
      <c r="SPC91" s="205"/>
      <c r="SPD91" s="206"/>
      <c r="SPE91" s="207"/>
      <c r="SPF91" s="207"/>
      <c r="SPG91" s="208"/>
      <c r="SPH91" s="209"/>
      <c r="SPI91" s="207"/>
      <c r="SPJ91" s="210"/>
      <c r="SPK91" s="209"/>
      <c r="SPL91" s="204"/>
      <c r="SPM91" s="204"/>
      <c r="SPN91" s="204"/>
      <c r="SPO91" s="199"/>
      <c r="SPP91" s="167"/>
      <c r="SPQ91" s="199"/>
      <c r="SPR91" s="200"/>
      <c r="SPS91" s="201"/>
      <c r="SPT91" s="202"/>
      <c r="SPU91" s="202"/>
      <c r="SPV91" s="202"/>
      <c r="SPW91" s="202"/>
      <c r="SPX91" s="203"/>
      <c r="SPY91" s="204"/>
      <c r="SPZ91" s="204"/>
      <c r="SQA91" s="204"/>
      <c r="SQB91" s="205"/>
      <c r="SQC91" s="206"/>
      <c r="SQD91" s="207"/>
      <c r="SQE91" s="207"/>
      <c r="SQF91" s="208"/>
      <c r="SQG91" s="209"/>
      <c r="SQH91" s="207"/>
      <c r="SQI91" s="210"/>
      <c r="SQJ91" s="209"/>
      <c r="SQK91" s="204"/>
      <c r="SQL91" s="204"/>
      <c r="SQM91" s="204"/>
      <c r="SQN91" s="199"/>
      <c r="SQO91" s="167"/>
      <c r="SQP91" s="199"/>
      <c r="SQQ91" s="200"/>
      <c r="SQR91" s="201"/>
      <c r="SQS91" s="202"/>
      <c r="SQT91" s="202"/>
      <c r="SQU91" s="202"/>
      <c r="SQV91" s="202"/>
      <c r="SQW91" s="203"/>
      <c r="SQX91" s="204"/>
      <c r="SQY91" s="204"/>
      <c r="SQZ91" s="204"/>
      <c r="SRA91" s="205"/>
      <c r="SRB91" s="206"/>
      <c r="SRC91" s="207"/>
      <c r="SRD91" s="207"/>
      <c r="SRE91" s="208"/>
      <c r="SRF91" s="209"/>
      <c r="SRG91" s="207"/>
      <c r="SRH91" s="210"/>
      <c r="SRI91" s="209"/>
      <c r="SRJ91" s="204"/>
      <c r="SRK91" s="204"/>
      <c r="SRL91" s="204"/>
      <c r="SRM91" s="199"/>
      <c r="SRN91" s="167"/>
      <c r="SRO91" s="199"/>
      <c r="SRP91" s="200"/>
      <c r="SRQ91" s="201"/>
      <c r="SRR91" s="202"/>
      <c r="SRS91" s="202"/>
      <c r="SRT91" s="202"/>
      <c r="SRU91" s="202"/>
      <c r="SRV91" s="203"/>
      <c r="SRW91" s="204"/>
      <c r="SRX91" s="204"/>
      <c r="SRY91" s="204"/>
      <c r="SRZ91" s="205"/>
      <c r="SSA91" s="206"/>
      <c r="SSB91" s="207"/>
      <c r="SSC91" s="207"/>
      <c r="SSD91" s="208"/>
      <c r="SSE91" s="209"/>
      <c r="SSF91" s="207"/>
      <c r="SSG91" s="210"/>
      <c r="SSH91" s="209"/>
      <c r="SSI91" s="204"/>
      <c r="SSJ91" s="204"/>
      <c r="SSK91" s="204"/>
      <c r="SSL91" s="199"/>
      <c r="SSM91" s="167"/>
      <c r="SSN91" s="199"/>
      <c r="SSO91" s="200"/>
      <c r="SSP91" s="201"/>
      <c r="SSQ91" s="202"/>
      <c r="SSR91" s="202"/>
      <c r="SSS91" s="202"/>
      <c r="SST91" s="202"/>
      <c r="SSU91" s="203"/>
      <c r="SSV91" s="204"/>
      <c r="SSW91" s="204"/>
      <c r="SSX91" s="204"/>
      <c r="SSY91" s="205"/>
      <c r="SSZ91" s="206"/>
      <c r="STA91" s="207"/>
      <c r="STB91" s="207"/>
      <c r="STC91" s="208"/>
      <c r="STD91" s="209"/>
      <c r="STE91" s="207"/>
      <c r="STF91" s="210"/>
      <c r="STG91" s="209"/>
      <c r="STH91" s="204"/>
      <c r="STI91" s="204"/>
      <c r="STJ91" s="204"/>
      <c r="STK91" s="199"/>
      <c r="STL91" s="167"/>
      <c r="STM91" s="199"/>
      <c r="STN91" s="200"/>
      <c r="STO91" s="201"/>
      <c r="STP91" s="202"/>
      <c r="STQ91" s="202"/>
      <c r="STR91" s="202"/>
      <c r="STS91" s="202"/>
      <c r="STT91" s="203"/>
      <c r="STU91" s="204"/>
      <c r="STV91" s="204"/>
      <c r="STW91" s="204"/>
      <c r="STX91" s="205"/>
      <c r="STY91" s="206"/>
      <c r="STZ91" s="207"/>
      <c r="SUA91" s="207"/>
      <c r="SUB91" s="208"/>
      <c r="SUC91" s="209"/>
      <c r="SUD91" s="207"/>
      <c r="SUE91" s="210"/>
      <c r="SUF91" s="209"/>
      <c r="SUG91" s="204"/>
      <c r="SUH91" s="204"/>
      <c r="SUI91" s="204"/>
      <c r="SUJ91" s="199"/>
      <c r="SUK91" s="167"/>
      <c r="SUL91" s="199"/>
      <c r="SUM91" s="200"/>
      <c r="SUN91" s="201"/>
      <c r="SUO91" s="202"/>
      <c r="SUP91" s="202"/>
      <c r="SUQ91" s="202"/>
      <c r="SUR91" s="202"/>
      <c r="SUS91" s="203"/>
      <c r="SUT91" s="204"/>
      <c r="SUU91" s="204"/>
      <c r="SUV91" s="204"/>
      <c r="SUW91" s="205"/>
      <c r="SUX91" s="206"/>
      <c r="SUY91" s="207"/>
      <c r="SUZ91" s="207"/>
      <c r="SVA91" s="208"/>
      <c r="SVB91" s="209"/>
      <c r="SVC91" s="207"/>
      <c r="SVD91" s="210"/>
      <c r="SVE91" s="209"/>
      <c r="SVF91" s="204"/>
      <c r="SVG91" s="204"/>
      <c r="SVH91" s="204"/>
      <c r="SVI91" s="199"/>
      <c r="SVJ91" s="167"/>
      <c r="SVK91" s="199"/>
      <c r="SVL91" s="200"/>
      <c r="SVM91" s="201"/>
      <c r="SVN91" s="202"/>
      <c r="SVO91" s="202"/>
      <c r="SVP91" s="202"/>
      <c r="SVQ91" s="202"/>
      <c r="SVR91" s="203"/>
      <c r="SVS91" s="204"/>
      <c r="SVT91" s="204"/>
      <c r="SVU91" s="204"/>
      <c r="SVV91" s="205"/>
      <c r="SVW91" s="206"/>
      <c r="SVX91" s="207"/>
      <c r="SVY91" s="207"/>
      <c r="SVZ91" s="208"/>
      <c r="SWA91" s="209"/>
      <c r="SWB91" s="207"/>
      <c r="SWC91" s="210"/>
      <c r="SWD91" s="209"/>
      <c r="SWE91" s="204"/>
      <c r="SWF91" s="204"/>
      <c r="SWG91" s="204"/>
      <c r="SWH91" s="199"/>
      <c r="SWI91" s="167"/>
      <c r="SWJ91" s="199"/>
      <c r="SWK91" s="200"/>
      <c r="SWL91" s="201"/>
      <c r="SWM91" s="202"/>
      <c r="SWN91" s="202"/>
      <c r="SWO91" s="202"/>
      <c r="SWP91" s="202"/>
      <c r="SWQ91" s="203"/>
      <c r="SWR91" s="204"/>
      <c r="SWS91" s="204"/>
      <c r="SWT91" s="204"/>
      <c r="SWU91" s="205"/>
      <c r="SWV91" s="206"/>
      <c r="SWW91" s="207"/>
      <c r="SWX91" s="207"/>
      <c r="SWY91" s="208"/>
      <c r="SWZ91" s="209"/>
      <c r="SXA91" s="207"/>
      <c r="SXB91" s="210"/>
      <c r="SXC91" s="209"/>
      <c r="SXD91" s="204"/>
      <c r="SXE91" s="204"/>
      <c r="SXF91" s="204"/>
      <c r="SXG91" s="199"/>
      <c r="SXH91" s="167"/>
      <c r="SXI91" s="199"/>
      <c r="SXJ91" s="200"/>
      <c r="SXK91" s="201"/>
      <c r="SXL91" s="202"/>
      <c r="SXM91" s="202"/>
      <c r="SXN91" s="202"/>
      <c r="SXO91" s="202"/>
      <c r="SXP91" s="203"/>
      <c r="SXQ91" s="204"/>
      <c r="SXR91" s="204"/>
      <c r="SXS91" s="204"/>
      <c r="SXT91" s="205"/>
      <c r="SXU91" s="206"/>
      <c r="SXV91" s="207"/>
      <c r="SXW91" s="207"/>
      <c r="SXX91" s="208"/>
      <c r="SXY91" s="209"/>
      <c r="SXZ91" s="207"/>
      <c r="SYA91" s="210"/>
      <c r="SYB91" s="209"/>
      <c r="SYC91" s="204"/>
      <c r="SYD91" s="204"/>
      <c r="SYE91" s="204"/>
      <c r="SYF91" s="199"/>
      <c r="SYG91" s="167"/>
      <c r="SYH91" s="199"/>
      <c r="SYI91" s="200"/>
      <c r="SYJ91" s="201"/>
      <c r="SYK91" s="202"/>
      <c r="SYL91" s="202"/>
      <c r="SYM91" s="202"/>
      <c r="SYN91" s="202"/>
      <c r="SYO91" s="203"/>
      <c r="SYP91" s="204"/>
      <c r="SYQ91" s="204"/>
      <c r="SYR91" s="204"/>
      <c r="SYS91" s="205"/>
      <c r="SYT91" s="206"/>
      <c r="SYU91" s="207"/>
      <c r="SYV91" s="207"/>
      <c r="SYW91" s="208"/>
      <c r="SYX91" s="209"/>
      <c r="SYY91" s="207"/>
      <c r="SYZ91" s="210"/>
      <c r="SZA91" s="209"/>
      <c r="SZB91" s="204"/>
      <c r="SZC91" s="204"/>
      <c r="SZD91" s="204"/>
      <c r="SZE91" s="199"/>
      <c r="SZF91" s="167"/>
      <c r="SZG91" s="199"/>
      <c r="SZH91" s="200"/>
      <c r="SZI91" s="201"/>
      <c r="SZJ91" s="202"/>
      <c r="SZK91" s="202"/>
      <c r="SZL91" s="202"/>
      <c r="SZM91" s="202"/>
      <c r="SZN91" s="203"/>
      <c r="SZO91" s="204"/>
      <c r="SZP91" s="204"/>
      <c r="SZQ91" s="204"/>
      <c r="SZR91" s="205"/>
      <c r="SZS91" s="206"/>
      <c r="SZT91" s="207"/>
      <c r="SZU91" s="207"/>
      <c r="SZV91" s="208"/>
      <c r="SZW91" s="209"/>
      <c r="SZX91" s="207"/>
      <c r="SZY91" s="210"/>
      <c r="SZZ91" s="209"/>
      <c r="TAA91" s="204"/>
      <c r="TAB91" s="204"/>
      <c r="TAC91" s="204"/>
      <c r="TAD91" s="199"/>
      <c r="TAE91" s="167"/>
      <c r="TAF91" s="199"/>
      <c r="TAG91" s="200"/>
      <c r="TAH91" s="201"/>
      <c r="TAI91" s="202"/>
      <c r="TAJ91" s="202"/>
      <c r="TAK91" s="202"/>
      <c r="TAL91" s="202"/>
      <c r="TAM91" s="203"/>
      <c r="TAN91" s="204"/>
      <c r="TAO91" s="204"/>
      <c r="TAP91" s="204"/>
      <c r="TAQ91" s="205"/>
      <c r="TAR91" s="206"/>
      <c r="TAS91" s="207"/>
      <c r="TAT91" s="207"/>
      <c r="TAU91" s="208"/>
      <c r="TAV91" s="209"/>
      <c r="TAW91" s="207"/>
      <c r="TAX91" s="210"/>
      <c r="TAY91" s="209"/>
      <c r="TAZ91" s="204"/>
      <c r="TBA91" s="204"/>
      <c r="TBB91" s="204"/>
      <c r="TBC91" s="199"/>
      <c r="TBD91" s="167"/>
      <c r="TBE91" s="199"/>
      <c r="TBF91" s="200"/>
      <c r="TBG91" s="201"/>
      <c r="TBH91" s="202"/>
      <c r="TBI91" s="202"/>
      <c r="TBJ91" s="202"/>
      <c r="TBK91" s="202"/>
      <c r="TBL91" s="203"/>
      <c r="TBM91" s="204"/>
      <c r="TBN91" s="204"/>
      <c r="TBO91" s="204"/>
      <c r="TBP91" s="205"/>
      <c r="TBQ91" s="206"/>
      <c r="TBR91" s="207"/>
      <c r="TBS91" s="207"/>
      <c r="TBT91" s="208"/>
      <c r="TBU91" s="209"/>
      <c r="TBV91" s="207"/>
      <c r="TBW91" s="210"/>
      <c r="TBX91" s="209"/>
      <c r="TBY91" s="204"/>
      <c r="TBZ91" s="204"/>
      <c r="TCA91" s="204"/>
      <c r="TCB91" s="199"/>
      <c r="TCC91" s="167"/>
      <c r="TCD91" s="199"/>
      <c r="TCE91" s="200"/>
      <c r="TCF91" s="201"/>
      <c r="TCG91" s="202"/>
      <c r="TCH91" s="202"/>
      <c r="TCI91" s="202"/>
      <c r="TCJ91" s="202"/>
      <c r="TCK91" s="203"/>
      <c r="TCL91" s="204"/>
      <c r="TCM91" s="204"/>
      <c r="TCN91" s="204"/>
      <c r="TCO91" s="205"/>
      <c r="TCP91" s="206"/>
      <c r="TCQ91" s="207"/>
      <c r="TCR91" s="207"/>
      <c r="TCS91" s="208"/>
      <c r="TCT91" s="209"/>
      <c r="TCU91" s="207"/>
      <c r="TCV91" s="210"/>
      <c r="TCW91" s="209"/>
      <c r="TCX91" s="204"/>
      <c r="TCY91" s="204"/>
      <c r="TCZ91" s="204"/>
      <c r="TDA91" s="199"/>
      <c r="TDB91" s="167"/>
      <c r="TDC91" s="199"/>
      <c r="TDD91" s="200"/>
      <c r="TDE91" s="201"/>
      <c r="TDF91" s="202"/>
      <c r="TDG91" s="202"/>
      <c r="TDH91" s="202"/>
      <c r="TDI91" s="202"/>
      <c r="TDJ91" s="203"/>
      <c r="TDK91" s="204"/>
      <c r="TDL91" s="204"/>
      <c r="TDM91" s="204"/>
      <c r="TDN91" s="205"/>
      <c r="TDO91" s="206"/>
      <c r="TDP91" s="207"/>
      <c r="TDQ91" s="207"/>
      <c r="TDR91" s="208"/>
      <c r="TDS91" s="209"/>
      <c r="TDT91" s="207"/>
      <c r="TDU91" s="210"/>
      <c r="TDV91" s="209"/>
      <c r="TDW91" s="204"/>
      <c r="TDX91" s="204"/>
      <c r="TDY91" s="204"/>
      <c r="TDZ91" s="199"/>
      <c r="TEA91" s="167"/>
      <c r="TEB91" s="199"/>
      <c r="TEC91" s="200"/>
      <c r="TED91" s="201"/>
      <c r="TEE91" s="202"/>
      <c r="TEF91" s="202"/>
      <c r="TEG91" s="202"/>
      <c r="TEH91" s="202"/>
      <c r="TEI91" s="203"/>
      <c r="TEJ91" s="204"/>
      <c r="TEK91" s="204"/>
      <c r="TEL91" s="204"/>
      <c r="TEM91" s="205"/>
      <c r="TEN91" s="206"/>
      <c r="TEO91" s="207"/>
      <c r="TEP91" s="207"/>
      <c r="TEQ91" s="208"/>
      <c r="TER91" s="209"/>
      <c r="TES91" s="207"/>
      <c r="TET91" s="210"/>
      <c r="TEU91" s="209"/>
      <c r="TEV91" s="204"/>
      <c r="TEW91" s="204"/>
      <c r="TEX91" s="204"/>
      <c r="TEY91" s="199"/>
      <c r="TEZ91" s="167"/>
      <c r="TFA91" s="199"/>
      <c r="TFB91" s="200"/>
      <c r="TFC91" s="201"/>
      <c r="TFD91" s="202"/>
      <c r="TFE91" s="202"/>
      <c r="TFF91" s="202"/>
      <c r="TFG91" s="202"/>
      <c r="TFH91" s="203"/>
      <c r="TFI91" s="204"/>
      <c r="TFJ91" s="204"/>
      <c r="TFK91" s="204"/>
      <c r="TFL91" s="205"/>
      <c r="TFM91" s="206"/>
      <c r="TFN91" s="207"/>
      <c r="TFO91" s="207"/>
      <c r="TFP91" s="208"/>
      <c r="TFQ91" s="209"/>
      <c r="TFR91" s="207"/>
      <c r="TFS91" s="210"/>
      <c r="TFT91" s="209"/>
      <c r="TFU91" s="204"/>
      <c r="TFV91" s="204"/>
      <c r="TFW91" s="204"/>
      <c r="TFX91" s="199"/>
      <c r="TFY91" s="167"/>
      <c r="TFZ91" s="199"/>
      <c r="TGA91" s="200"/>
      <c r="TGB91" s="201"/>
      <c r="TGC91" s="202"/>
      <c r="TGD91" s="202"/>
      <c r="TGE91" s="202"/>
      <c r="TGF91" s="202"/>
      <c r="TGG91" s="203"/>
      <c r="TGH91" s="204"/>
      <c r="TGI91" s="204"/>
      <c r="TGJ91" s="204"/>
      <c r="TGK91" s="205"/>
      <c r="TGL91" s="206"/>
      <c r="TGM91" s="207"/>
      <c r="TGN91" s="207"/>
      <c r="TGO91" s="208"/>
      <c r="TGP91" s="209"/>
      <c r="TGQ91" s="207"/>
      <c r="TGR91" s="210"/>
      <c r="TGS91" s="209"/>
      <c r="TGT91" s="204"/>
      <c r="TGU91" s="204"/>
      <c r="TGV91" s="204"/>
      <c r="TGW91" s="199"/>
      <c r="TGX91" s="167"/>
      <c r="TGY91" s="199"/>
      <c r="TGZ91" s="200"/>
      <c r="THA91" s="201"/>
      <c r="THB91" s="202"/>
      <c r="THC91" s="202"/>
      <c r="THD91" s="202"/>
      <c r="THE91" s="202"/>
      <c r="THF91" s="203"/>
      <c r="THG91" s="204"/>
      <c r="THH91" s="204"/>
      <c r="THI91" s="204"/>
      <c r="THJ91" s="205"/>
      <c r="THK91" s="206"/>
      <c r="THL91" s="207"/>
      <c r="THM91" s="207"/>
      <c r="THN91" s="208"/>
      <c r="THO91" s="209"/>
      <c r="THP91" s="207"/>
      <c r="THQ91" s="210"/>
      <c r="THR91" s="209"/>
      <c r="THS91" s="204"/>
      <c r="THT91" s="204"/>
      <c r="THU91" s="204"/>
      <c r="THV91" s="199"/>
      <c r="THW91" s="167"/>
      <c r="THX91" s="199"/>
      <c r="THY91" s="200"/>
      <c r="THZ91" s="201"/>
      <c r="TIA91" s="202"/>
      <c r="TIB91" s="202"/>
      <c r="TIC91" s="202"/>
      <c r="TID91" s="202"/>
      <c r="TIE91" s="203"/>
      <c r="TIF91" s="204"/>
      <c r="TIG91" s="204"/>
      <c r="TIH91" s="204"/>
      <c r="TII91" s="205"/>
      <c r="TIJ91" s="206"/>
      <c r="TIK91" s="207"/>
      <c r="TIL91" s="207"/>
      <c r="TIM91" s="208"/>
      <c r="TIN91" s="209"/>
      <c r="TIO91" s="207"/>
      <c r="TIP91" s="210"/>
      <c r="TIQ91" s="209"/>
      <c r="TIR91" s="204"/>
      <c r="TIS91" s="204"/>
      <c r="TIT91" s="204"/>
      <c r="TIU91" s="199"/>
      <c r="TIV91" s="167"/>
      <c r="TIW91" s="199"/>
      <c r="TIX91" s="200"/>
      <c r="TIY91" s="201"/>
      <c r="TIZ91" s="202"/>
      <c r="TJA91" s="202"/>
      <c r="TJB91" s="202"/>
      <c r="TJC91" s="202"/>
      <c r="TJD91" s="203"/>
      <c r="TJE91" s="204"/>
      <c r="TJF91" s="204"/>
      <c r="TJG91" s="204"/>
      <c r="TJH91" s="205"/>
      <c r="TJI91" s="206"/>
      <c r="TJJ91" s="207"/>
      <c r="TJK91" s="207"/>
      <c r="TJL91" s="208"/>
      <c r="TJM91" s="209"/>
      <c r="TJN91" s="207"/>
      <c r="TJO91" s="210"/>
      <c r="TJP91" s="209"/>
      <c r="TJQ91" s="204"/>
      <c r="TJR91" s="204"/>
      <c r="TJS91" s="204"/>
      <c r="TJT91" s="199"/>
      <c r="TJU91" s="167"/>
      <c r="TJV91" s="199"/>
      <c r="TJW91" s="200"/>
      <c r="TJX91" s="201"/>
      <c r="TJY91" s="202"/>
      <c r="TJZ91" s="202"/>
      <c r="TKA91" s="202"/>
      <c r="TKB91" s="202"/>
      <c r="TKC91" s="203"/>
      <c r="TKD91" s="204"/>
      <c r="TKE91" s="204"/>
      <c r="TKF91" s="204"/>
      <c r="TKG91" s="205"/>
      <c r="TKH91" s="206"/>
      <c r="TKI91" s="207"/>
      <c r="TKJ91" s="207"/>
      <c r="TKK91" s="208"/>
      <c r="TKL91" s="209"/>
      <c r="TKM91" s="207"/>
      <c r="TKN91" s="210"/>
      <c r="TKO91" s="209"/>
      <c r="TKP91" s="204"/>
      <c r="TKQ91" s="204"/>
      <c r="TKR91" s="204"/>
      <c r="TKS91" s="199"/>
      <c r="TKT91" s="167"/>
      <c r="TKU91" s="199"/>
      <c r="TKV91" s="200"/>
      <c r="TKW91" s="201"/>
      <c r="TKX91" s="202"/>
      <c r="TKY91" s="202"/>
      <c r="TKZ91" s="202"/>
      <c r="TLA91" s="202"/>
      <c r="TLB91" s="203"/>
      <c r="TLC91" s="204"/>
      <c r="TLD91" s="204"/>
      <c r="TLE91" s="204"/>
      <c r="TLF91" s="205"/>
      <c r="TLG91" s="206"/>
      <c r="TLH91" s="207"/>
      <c r="TLI91" s="207"/>
      <c r="TLJ91" s="208"/>
      <c r="TLK91" s="209"/>
      <c r="TLL91" s="207"/>
      <c r="TLM91" s="210"/>
      <c r="TLN91" s="209"/>
      <c r="TLO91" s="204"/>
      <c r="TLP91" s="204"/>
      <c r="TLQ91" s="204"/>
      <c r="TLR91" s="199"/>
      <c r="TLS91" s="167"/>
      <c r="TLT91" s="199"/>
      <c r="TLU91" s="200"/>
      <c r="TLV91" s="201"/>
      <c r="TLW91" s="202"/>
      <c r="TLX91" s="202"/>
      <c r="TLY91" s="202"/>
      <c r="TLZ91" s="202"/>
      <c r="TMA91" s="203"/>
      <c r="TMB91" s="204"/>
      <c r="TMC91" s="204"/>
      <c r="TMD91" s="204"/>
      <c r="TME91" s="205"/>
      <c r="TMF91" s="206"/>
      <c r="TMG91" s="207"/>
      <c r="TMH91" s="207"/>
      <c r="TMI91" s="208"/>
      <c r="TMJ91" s="209"/>
      <c r="TMK91" s="207"/>
      <c r="TML91" s="210"/>
      <c r="TMM91" s="209"/>
      <c r="TMN91" s="204"/>
      <c r="TMO91" s="204"/>
      <c r="TMP91" s="204"/>
      <c r="TMQ91" s="199"/>
      <c r="TMR91" s="167"/>
      <c r="TMS91" s="199"/>
      <c r="TMT91" s="200"/>
      <c r="TMU91" s="201"/>
      <c r="TMV91" s="202"/>
      <c r="TMW91" s="202"/>
      <c r="TMX91" s="202"/>
      <c r="TMY91" s="202"/>
      <c r="TMZ91" s="203"/>
      <c r="TNA91" s="204"/>
      <c r="TNB91" s="204"/>
      <c r="TNC91" s="204"/>
      <c r="TND91" s="205"/>
      <c r="TNE91" s="206"/>
      <c r="TNF91" s="207"/>
      <c r="TNG91" s="207"/>
      <c r="TNH91" s="208"/>
      <c r="TNI91" s="209"/>
      <c r="TNJ91" s="207"/>
      <c r="TNK91" s="210"/>
      <c r="TNL91" s="209"/>
      <c r="TNM91" s="204"/>
      <c r="TNN91" s="204"/>
      <c r="TNO91" s="204"/>
      <c r="TNP91" s="199"/>
      <c r="TNQ91" s="167"/>
      <c r="TNR91" s="199"/>
      <c r="TNS91" s="200"/>
      <c r="TNT91" s="201"/>
      <c r="TNU91" s="202"/>
      <c r="TNV91" s="202"/>
      <c r="TNW91" s="202"/>
      <c r="TNX91" s="202"/>
      <c r="TNY91" s="203"/>
      <c r="TNZ91" s="204"/>
      <c r="TOA91" s="204"/>
      <c r="TOB91" s="204"/>
      <c r="TOC91" s="205"/>
      <c r="TOD91" s="206"/>
      <c r="TOE91" s="207"/>
      <c r="TOF91" s="207"/>
      <c r="TOG91" s="208"/>
      <c r="TOH91" s="209"/>
      <c r="TOI91" s="207"/>
      <c r="TOJ91" s="210"/>
      <c r="TOK91" s="209"/>
      <c r="TOL91" s="204"/>
      <c r="TOM91" s="204"/>
      <c r="TON91" s="204"/>
      <c r="TOO91" s="199"/>
      <c r="TOP91" s="167"/>
      <c r="TOQ91" s="199"/>
      <c r="TOR91" s="200"/>
      <c r="TOS91" s="201"/>
      <c r="TOT91" s="202"/>
      <c r="TOU91" s="202"/>
      <c r="TOV91" s="202"/>
      <c r="TOW91" s="202"/>
      <c r="TOX91" s="203"/>
      <c r="TOY91" s="204"/>
      <c r="TOZ91" s="204"/>
      <c r="TPA91" s="204"/>
      <c r="TPB91" s="205"/>
      <c r="TPC91" s="206"/>
      <c r="TPD91" s="207"/>
      <c r="TPE91" s="207"/>
      <c r="TPF91" s="208"/>
      <c r="TPG91" s="209"/>
      <c r="TPH91" s="207"/>
      <c r="TPI91" s="210"/>
      <c r="TPJ91" s="209"/>
      <c r="TPK91" s="204"/>
      <c r="TPL91" s="204"/>
      <c r="TPM91" s="204"/>
      <c r="TPN91" s="199"/>
      <c r="TPO91" s="167"/>
      <c r="TPP91" s="199"/>
      <c r="TPQ91" s="200"/>
      <c r="TPR91" s="201"/>
      <c r="TPS91" s="202"/>
      <c r="TPT91" s="202"/>
      <c r="TPU91" s="202"/>
      <c r="TPV91" s="202"/>
      <c r="TPW91" s="203"/>
      <c r="TPX91" s="204"/>
      <c r="TPY91" s="204"/>
      <c r="TPZ91" s="204"/>
      <c r="TQA91" s="205"/>
      <c r="TQB91" s="206"/>
      <c r="TQC91" s="207"/>
      <c r="TQD91" s="207"/>
      <c r="TQE91" s="208"/>
      <c r="TQF91" s="209"/>
      <c r="TQG91" s="207"/>
      <c r="TQH91" s="210"/>
      <c r="TQI91" s="209"/>
      <c r="TQJ91" s="204"/>
      <c r="TQK91" s="204"/>
      <c r="TQL91" s="204"/>
      <c r="TQM91" s="199"/>
      <c r="TQN91" s="167"/>
      <c r="TQO91" s="199"/>
      <c r="TQP91" s="200"/>
      <c r="TQQ91" s="201"/>
      <c r="TQR91" s="202"/>
      <c r="TQS91" s="202"/>
      <c r="TQT91" s="202"/>
      <c r="TQU91" s="202"/>
      <c r="TQV91" s="203"/>
      <c r="TQW91" s="204"/>
      <c r="TQX91" s="204"/>
      <c r="TQY91" s="204"/>
      <c r="TQZ91" s="205"/>
      <c r="TRA91" s="206"/>
      <c r="TRB91" s="207"/>
      <c r="TRC91" s="207"/>
      <c r="TRD91" s="208"/>
      <c r="TRE91" s="209"/>
      <c r="TRF91" s="207"/>
      <c r="TRG91" s="210"/>
      <c r="TRH91" s="209"/>
      <c r="TRI91" s="204"/>
      <c r="TRJ91" s="204"/>
      <c r="TRK91" s="204"/>
      <c r="TRL91" s="199"/>
      <c r="TRM91" s="167"/>
      <c r="TRN91" s="199"/>
      <c r="TRO91" s="200"/>
      <c r="TRP91" s="201"/>
      <c r="TRQ91" s="202"/>
      <c r="TRR91" s="202"/>
      <c r="TRS91" s="202"/>
      <c r="TRT91" s="202"/>
      <c r="TRU91" s="203"/>
      <c r="TRV91" s="204"/>
      <c r="TRW91" s="204"/>
      <c r="TRX91" s="204"/>
      <c r="TRY91" s="205"/>
      <c r="TRZ91" s="206"/>
      <c r="TSA91" s="207"/>
      <c r="TSB91" s="207"/>
      <c r="TSC91" s="208"/>
      <c r="TSD91" s="209"/>
      <c r="TSE91" s="207"/>
      <c r="TSF91" s="210"/>
      <c r="TSG91" s="209"/>
      <c r="TSH91" s="204"/>
      <c r="TSI91" s="204"/>
      <c r="TSJ91" s="204"/>
      <c r="TSK91" s="199"/>
      <c r="TSL91" s="167"/>
      <c r="TSM91" s="199"/>
      <c r="TSN91" s="200"/>
      <c r="TSO91" s="201"/>
      <c r="TSP91" s="202"/>
      <c r="TSQ91" s="202"/>
      <c r="TSR91" s="202"/>
      <c r="TSS91" s="202"/>
      <c r="TST91" s="203"/>
      <c r="TSU91" s="204"/>
      <c r="TSV91" s="204"/>
      <c r="TSW91" s="204"/>
      <c r="TSX91" s="205"/>
      <c r="TSY91" s="206"/>
      <c r="TSZ91" s="207"/>
      <c r="TTA91" s="207"/>
      <c r="TTB91" s="208"/>
      <c r="TTC91" s="209"/>
      <c r="TTD91" s="207"/>
      <c r="TTE91" s="210"/>
      <c r="TTF91" s="209"/>
      <c r="TTG91" s="204"/>
      <c r="TTH91" s="204"/>
      <c r="TTI91" s="204"/>
      <c r="TTJ91" s="199"/>
      <c r="TTK91" s="167"/>
      <c r="TTL91" s="199"/>
      <c r="TTM91" s="200"/>
      <c r="TTN91" s="201"/>
      <c r="TTO91" s="202"/>
      <c r="TTP91" s="202"/>
      <c r="TTQ91" s="202"/>
      <c r="TTR91" s="202"/>
      <c r="TTS91" s="203"/>
      <c r="TTT91" s="204"/>
      <c r="TTU91" s="204"/>
      <c r="TTV91" s="204"/>
      <c r="TTW91" s="205"/>
      <c r="TTX91" s="206"/>
      <c r="TTY91" s="207"/>
      <c r="TTZ91" s="207"/>
      <c r="TUA91" s="208"/>
      <c r="TUB91" s="209"/>
      <c r="TUC91" s="207"/>
      <c r="TUD91" s="210"/>
      <c r="TUE91" s="209"/>
      <c r="TUF91" s="204"/>
      <c r="TUG91" s="204"/>
      <c r="TUH91" s="204"/>
      <c r="TUI91" s="199"/>
      <c r="TUJ91" s="167"/>
      <c r="TUK91" s="199"/>
      <c r="TUL91" s="200"/>
      <c r="TUM91" s="201"/>
      <c r="TUN91" s="202"/>
      <c r="TUO91" s="202"/>
      <c r="TUP91" s="202"/>
      <c r="TUQ91" s="202"/>
      <c r="TUR91" s="203"/>
      <c r="TUS91" s="204"/>
      <c r="TUT91" s="204"/>
      <c r="TUU91" s="204"/>
      <c r="TUV91" s="205"/>
      <c r="TUW91" s="206"/>
      <c r="TUX91" s="207"/>
      <c r="TUY91" s="207"/>
      <c r="TUZ91" s="208"/>
      <c r="TVA91" s="209"/>
      <c r="TVB91" s="207"/>
      <c r="TVC91" s="210"/>
      <c r="TVD91" s="209"/>
      <c r="TVE91" s="204"/>
      <c r="TVF91" s="204"/>
      <c r="TVG91" s="204"/>
      <c r="TVH91" s="199"/>
      <c r="TVI91" s="167"/>
      <c r="TVJ91" s="199"/>
      <c r="TVK91" s="200"/>
      <c r="TVL91" s="201"/>
      <c r="TVM91" s="202"/>
      <c r="TVN91" s="202"/>
      <c r="TVO91" s="202"/>
      <c r="TVP91" s="202"/>
      <c r="TVQ91" s="203"/>
      <c r="TVR91" s="204"/>
      <c r="TVS91" s="204"/>
      <c r="TVT91" s="204"/>
      <c r="TVU91" s="205"/>
      <c r="TVV91" s="206"/>
      <c r="TVW91" s="207"/>
      <c r="TVX91" s="207"/>
      <c r="TVY91" s="208"/>
      <c r="TVZ91" s="209"/>
      <c r="TWA91" s="207"/>
      <c r="TWB91" s="210"/>
      <c r="TWC91" s="209"/>
      <c r="TWD91" s="204"/>
      <c r="TWE91" s="204"/>
      <c r="TWF91" s="204"/>
      <c r="TWG91" s="199"/>
      <c r="TWH91" s="167"/>
      <c r="TWI91" s="199"/>
      <c r="TWJ91" s="200"/>
      <c r="TWK91" s="201"/>
      <c r="TWL91" s="202"/>
      <c r="TWM91" s="202"/>
      <c r="TWN91" s="202"/>
      <c r="TWO91" s="202"/>
      <c r="TWP91" s="203"/>
      <c r="TWQ91" s="204"/>
      <c r="TWR91" s="204"/>
      <c r="TWS91" s="204"/>
      <c r="TWT91" s="205"/>
      <c r="TWU91" s="206"/>
      <c r="TWV91" s="207"/>
      <c r="TWW91" s="207"/>
      <c r="TWX91" s="208"/>
      <c r="TWY91" s="209"/>
      <c r="TWZ91" s="207"/>
      <c r="TXA91" s="210"/>
      <c r="TXB91" s="209"/>
      <c r="TXC91" s="204"/>
      <c r="TXD91" s="204"/>
      <c r="TXE91" s="204"/>
      <c r="TXF91" s="199"/>
      <c r="TXG91" s="167"/>
      <c r="TXH91" s="199"/>
      <c r="TXI91" s="200"/>
      <c r="TXJ91" s="201"/>
      <c r="TXK91" s="202"/>
      <c r="TXL91" s="202"/>
      <c r="TXM91" s="202"/>
      <c r="TXN91" s="202"/>
      <c r="TXO91" s="203"/>
      <c r="TXP91" s="204"/>
      <c r="TXQ91" s="204"/>
      <c r="TXR91" s="204"/>
      <c r="TXS91" s="205"/>
      <c r="TXT91" s="206"/>
      <c r="TXU91" s="207"/>
      <c r="TXV91" s="207"/>
      <c r="TXW91" s="208"/>
      <c r="TXX91" s="209"/>
      <c r="TXY91" s="207"/>
      <c r="TXZ91" s="210"/>
      <c r="TYA91" s="209"/>
      <c r="TYB91" s="204"/>
      <c r="TYC91" s="204"/>
      <c r="TYD91" s="204"/>
      <c r="TYE91" s="199"/>
      <c r="TYF91" s="167"/>
      <c r="TYG91" s="199"/>
      <c r="TYH91" s="200"/>
      <c r="TYI91" s="201"/>
      <c r="TYJ91" s="202"/>
      <c r="TYK91" s="202"/>
      <c r="TYL91" s="202"/>
      <c r="TYM91" s="202"/>
      <c r="TYN91" s="203"/>
      <c r="TYO91" s="204"/>
      <c r="TYP91" s="204"/>
      <c r="TYQ91" s="204"/>
      <c r="TYR91" s="205"/>
      <c r="TYS91" s="206"/>
      <c r="TYT91" s="207"/>
      <c r="TYU91" s="207"/>
      <c r="TYV91" s="208"/>
      <c r="TYW91" s="209"/>
      <c r="TYX91" s="207"/>
      <c r="TYY91" s="210"/>
      <c r="TYZ91" s="209"/>
      <c r="TZA91" s="204"/>
      <c r="TZB91" s="204"/>
      <c r="TZC91" s="204"/>
      <c r="TZD91" s="199"/>
      <c r="TZE91" s="167"/>
      <c r="TZF91" s="199"/>
      <c r="TZG91" s="200"/>
      <c r="TZH91" s="201"/>
      <c r="TZI91" s="202"/>
      <c r="TZJ91" s="202"/>
      <c r="TZK91" s="202"/>
      <c r="TZL91" s="202"/>
      <c r="TZM91" s="203"/>
      <c r="TZN91" s="204"/>
      <c r="TZO91" s="204"/>
      <c r="TZP91" s="204"/>
      <c r="TZQ91" s="205"/>
      <c r="TZR91" s="206"/>
      <c r="TZS91" s="207"/>
      <c r="TZT91" s="207"/>
      <c r="TZU91" s="208"/>
      <c r="TZV91" s="209"/>
      <c r="TZW91" s="207"/>
      <c r="TZX91" s="210"/>
      <c r="TZY91" s="209"/>
      <c r="TZZ91" s="204"/>
      <c r="UAA91" s="204"/>
      <c r="UAB91" s="204"/>
      <c r="UAC91" s="199"/>
      <c r="UAD91" s="167"/>
      <c r="UAE91" s="199"/>
      <c r="UAF91" s="200"/>
      <c r="UAG91" s="201"/>
      <c r="UAH91" s="202"/>
      <c r="UAI91" s="202"/>
      <c r="UAJ91" s="202"/>
      <c r="UAK91" s="202"/>
      <c r="UAL91" s="203"/>
      <c r="UAM91" s="204"/>
      <c r="UAN91" s="204"/>
      <c r="UAO91" s="204"/>
      <c r="UAP91" s="205"/>
      <c r="UAQ91" s="206"/>
      <c r="UAR91" s="207"/>
      <c r="UAS91" s="207"/>
      <c r="UAT91" s="208"/>
      <c r="UAU91" s="209"/>
      <c r="UAV91" s="207"/>
      <c r="UAW91" s="210"/>
      <c r="UAX91" s="209"/>
      <c r="UAY91" s="204"/>
      <c r="UAZ91" s="204"/>
      <c r="UBA91" s="204"/>
      <c r="UBB91" s="199"/>
      <c r="UBC91" s="167"/>
      <c r="UBD91" s="199"/>
      <c r="UBE91" s="200"/>
      <c r="UBF91" s="201"/>
      <c r="UBG91" s="202"/>
      <c r="UBH91" s="202"/>
      <c r="UBI91" s="202"/>
      <c r="UBJ91" s="202"/>
      <c r="UBK91" s="203"/>
      <c r="UBL91" s="204"/>
      <c r="UBM91" s="204"/>
      <c r="UBN91" s="204"/>
      <c r="UBO91" s="205"/>
      <c r="UBP91" s="206"/>
      <c r="UBQ91" s="207"/>
      <c r="UBR91" s="207"/>
      <c r="UBS91" s="208"/>
      <c r="UBT91" s="209"/>
      <c r="UBU91" s="207"/>
      <c r="UBV91" s="210"/>
      <c r="UBW91" s="209"/>
      <c r="UBX91" s="204"/>
      <c r="UBY91" s="204"/>
      <c r="UBZ91" s="204"/>
      <c r="UCA91" s="199"/>
      <c r="UCB91" s="167"/>
      <c r="UCC91" s="199"/>
      <c r="UCD91" s="200"/>
      <c r="UCE91" s="201"/>
      <c r="UCF91" s="202"/>
      <c r="UCG91" s="202"/>
      <c r="UCH91" s="202"/>
      <c r="UCI91" s="202"/>
      <c r="UCJ91" s="203"/>
      <c r="UCK91" s="204"/>
      <c r="UCL91" s="204"/>
      <c r="UCM91" s="204"/>
      <c r="UCN91" s="205"/>
      <c r="UCO91" s="206"/>
      <c r="UCP91" s="207"/>
      <c r="UCQ91" s="207"/>
      <c r="UCR91" s="208"/>
      <c r="UCS91" s="209"/>
      <c r="UCT91" s="207"/>
      <c r="UCU91" s="210"/>
      <c r="UCV91" s="209"/>
      <c r="UCW91" s="204"/>
      <c r="UCX91" s="204"/>
      <c r="UCY91" s="204"/>
      <c r="UCZ91" s="199"/>
      <c r="UDA91" s="167"/>
      <c r="UDB91" s="199"/>
      <c r="UDC91" s="200"/>
      <c r="UDD91" s="201"/>
      <c r="UDE91" s="202"/>
      <c r="UDF91" s="202"/>
      <c r="UDG91" s="202"/>
      <c r="UDH91" s="202"/>
      <c r="UDI91" s="203"/>
      <c r="UDJ91" s="204"/>
      <c r="UDK91" s="204"/>
      <c r="UDL91" s="204"/>
      <c r="UDM91" s="205"/>
      <c r="UDN91" s="206"/>
      <c r="UDO91" s="207"/>
      <c r="UDP91" s="207"/>
      <c r="UDQ91" s="208"/>
      <c r="UDR91" s="209"/>
      <c r="UDS91" s="207"/>
      <c r="UDT91" s="210"/>
      <c r="UDU91" s="209"/>
      <c r="UDV91" s="204"/>
      <c r="UDW91" s="204"/>
      <c r="UDX91" s="204"/>
      <c r="UDY91" s="199"/>
      <c r="UDZ91" s="167"/>
      <c r="UEA91" s="199"/>
      <c r="UEB91" s="200"/>
      <c r="UEC91" s="201"/>
      <c r="UED91" s="202"/>
      <c r="UEE91" s="202"/>
      <c r="UEF91" s="202"/>
      <c r="UEG91" s="202"/>
      <c r="UEH91" s="203"/>
      <c r="UEI91" s="204"/>
      <c r="UEJ91" s="204"/>
      <c r="UEK91" s="204"/>
      <c r="UEL91" s="205"/>
      <c r="UEM91" s="206"/>
      <c r="UEN91" s="207"/>
      <c r="UEO91" s="207"/>
      <c r="UEP91" s="208"/>
      <c r="UEQ91" s="209"/>
      <c r="UER91" s="207"/>
      <c r="UES91" s="210"/>
      <c r="UET91" s="209"/>
      <c r="UEU91" s="204"/>
      <c r="UEV91" s="204"/>
      <c r="UEW91" s="204"/>
      <c r="UEX91" s="199"/>
      <c r="UEY91" s="167"/>
      <c r="UEZ91" s="199"/>
      <c r="UFA91" s="200"/>
      <c r="UFB91" s="201"/>
      <c r="UFC91" s="202"/>
      <c r="UFD91" s="202"/>
      <c r="UFE91" s="202"/>
      <c r="UFF91" s="202"/>
      <c r="UFG91" s="203"/>
      <c r="UFH91" s="204"/>
      <c r="UFI91" s="204"/>
      <c r="UFJ91" s="204"/>
      <c r="UFK91" s="205"/>
      <c r="UFL91" s="206"/>
      <c r="UFM91" s="207"/>
      <c r="UFN91" s="207"/>
      <c r="UFO91" s="208"/>
      <c r="UFP91" s="209"/>
      <c r="UFQ91" s="207"/>
      <c r="UFR91" s="210"/>
      <c r="UFS91" s="209"/>
      <c r="UFT91" s="204"/>
      <c r="UFU91" s="204"/>
      <c r="UFV91" s="204"/>
      <c r="UFW91" s="199"/>
      <c r="UFX91" s="167"/>
      <c r="UFY91" s="199"/>
      <c r="UFZ91" s="200"/>
      <c r="UGA91" s="201"/>
      <c r="UGB91" s="202"/>
      <c r="UGC91" s="202"/>
      <c r="UGD91" s="202"/>
      <c r="UGE91" s="202"/>
      <c r="UGF91" s="203"/>
      <c r="UGG91" s="204"/>
      <c r="UGH91" s="204"/>
      <c r="UGI91" s="204"/>
      <c r="UGJ91" s="205"/>
      <c r="UGK91" s="206"/>
      <c r="UGL91" s="207"/>
      <c r="UGM91" s="207"/>
      <c r="UGN91" s="208"/>
      <c r="UGO91" s="209"/>
      <c r="UGP91" s="207"/>
      <c r="UGQ91" s="210"/>
      <c r="UGR91" s="209"/>
      <c r="UGS91" s="204"/>
      <c r="UGT91" s="204"/>
      <c r="UGU91" s="204"/>
      <c r="UGV91" s="199"/>
      <c r="UGW91" s="167"/>
      <c r="UGX91" s="199"/>
      <c r="UGY91" s="200"/>
      <c r="UGZ91" s="201"/>
      <c r="UHA91" s="202"/>
      <c r="UHB91" s="202"/>
      <c r="UHC91" s="202"/>
      <c r="UHD91" s="202"/>
      <c r="UHE91" s="203"/>
      <c r="UHF91" s="204"/>
      <c r="UHG91" s="204"/>
      <c r="UHH91" s="204"/>
      <c r="UHI91" s="205"/>
      <c r="UHJ91" s="206"/>
      <c r="UHK91" s="207"/>
      <c r="UHL91" s="207"/>
      <c r="UHM91" s="208"/>
      <c r="UHN91" s="209"/>
      <c r="UHO91" s="207"/>
      <c r="UHP91" s="210"/>
      <c r="UHQ91" s="209"/>
      <c r="UHR91" s="204"/>
      <c r="UHS91" s="204"/>
      <c r="UHT91" s="204"/>
      <c r="UHU91" s="199"/>
      <c r="UHV91" s="167"/>
      <c r="UHW91" s="199"/>
      <c r="UHX91" s="200"/>
      <c r="UHY91" s="201"/>
      <c r="UHZ91" s="202"/>
      <c r="UIA91" s="202"/>
      <c r="UIB91" s="202"/>
      <c r="UIC91" s="202"/>
      <c r="UID91" s="203"/>
      <c r="UIE91" s="204"/>
      <c r="UIF91" s="204"/>
      <c r="UIG91" s="204"/>
      <c r="UIH91" s="205"/>
      <c r="UII91" s="206"/>
      <c r="UIJ91" s="207"/>
      <c r="UIK91" s="207"/>
      <c r="UIL91" s="208"/>
      <c r="UIM91" s="209"/>
      <c r="UIN91" s="207"/>
      <c r="UIO91" s="210"/>
      <c r="UIP91" s="209"/>
      <c r="UIQ91" s="204"/>
      <c r="UIR91" s="204"/>
      <c r="UIS91" s="204"/>
      <c r="UIT91" s="199"/>
      <c r="UIU91" s="167"/>
      <c r="UIV91" s="199"/>
      <c r="UIW91" s="200"/>
      <c r="UIX91" s="201"/>
      <c r="UIY91" s="202"/>
      <c r="UIZ91" s="202"/>
      <c r="UJA91" s="202"/>
      <c r="UJB91" s="202"/>
      <c r="UJC91" s="203"/>
      <c r="UJD91" s="204"/>
      <c r="UJE91" s="204"/>
      <c r="UJF91" s="204"/>
      <c r="UJG91" s="205"/>
      <c r="UJH91" s="206"/>
      <c r="UJI91" s="207"/>
      <c r="UJJ91" s="207"/>
      <c r="UJK91" s="208"/>
      <c r="UJL91" s="209"/>
      <c r="UJM91" s="207"/>
      <c r="UJN91" s="210"/>
      <c r="UJO91" s="209"/>
      <c r="UJP91" s="204"/>
      <c r="UJQ91" s="204"/>
      <c r="UJR91" s="204"/>
      <c r="UJS91" s="199"/>
      <c r="UJT91" s="167"/>
      <c r="UJU91" s="199"/>
      <c r="UJV91" s="200"/>
      <c r="UJW91" s="201"/>
      <c r="UJX91" s="202"/>
      <c r="UJY91" s="202"/>
      <c r="UJZ91" s="202"/>
      <c r="UKA91" s="202"/>
      <c r="UKB91" s="203"/>
      <c r="UKC91" s="204"/>
      <c r="UKD91" s="204"/>
      <c r="UKE91" s="204"/>
      <c r="UKF91" s="205"/>
      <c r="UKG91" s="206"/>
      <c r="UKH91" s="207"/>
      <c r="UKI91" s="207"/>
      <c r="UKJ91" s="208"/>
      <c r="UKK91" s="209"/>
      <c r="UKL91" s="207"/>
      <c r="UKM91" s="210"/>
      <c r="UKN91" s="209"/>
      <c r="UKO91" s="204"/>
      <c r="UKP91" s="204"/>
      <c r="UKQ91" s="204"/>
      <c r="UKR91" s="199"/>
      <c r="UKS91" s="167"/>
      <c r="UKT91" s="199"/>
      <c r="UKU91" s="200"/>
      <c r="UKV91" s="201"/>
      <c r="UKW91" s="202"/>
      <c r="UKX91" s="202"/>
      <c r="UKY91" s="202"/>
      <c r="UKZ91" s="202"/>
      <c r="ULA91" s="203"/>
      <c r="ULB91" s="204"/>
      <c r="ULC91" s="204"/>
      <c r="ULD91" s="204"/>
      <c r="ULE91" s="205"/>
      <c r="ULF91" s="206"/>
      <c r="ULG91" s="207"/>
      <c r="ULH91" s="207"/>
      <c r="ULI91" s="208"/>
      <c r="ULJ91" s="209"/>
      <c r="ULK91" s="207"/>
      <c r="ULL91" s="210"/>
      <c r="ULM91" s="209"/>
      <c r="ULN91" s="204"/>
      <c r="ULO91" s="204"/>
      <c r="ULP91" s="204"/>
      <c r="ULQ91" s="199"/>
      <c r="ULR91" s="167"/>
      <c r="ULS91" s="199"/>
      <c r="ULT91" s="200"/>
      <c r="ULU91" s="201"/>
      <c r="ULV91" s="202"/>
      <c r="ULW91" s="202"/>
      <c r="ULX91" s="202"/>
      <c r="ULY91" s="202"/>
      <c r="ULZ91" s="203"/>
      <c r="UMA91" s="204"/>
      <c r="UMB91" s="204"/>
      <c r="UMC91" s="204"/>
      <c r="UMD91" s="205"/>
      <c r="UME91" s="206"/>
      <c r="UMF91" s="207"/>
      <c r="UMG91" s="207"/>
      <c r="UMH91" s="208"/>
      <c r="UMI91" s="209"/>
      <c r="UMJ91" s="207"/>
      <c r="UMK91" s="210"/>
      <c r="UML91" s="209"/>
      <c r="UMM91" s="204"/>
      <c r="UMN91" s="204"/>
      <c r="UMO91" s="204"/>
      <c r="UMP91" s="199"/>
      <c r="UMQ91" s="167"/>
      <c r="UMR91" s="199"/>
      <c r="UMS91" s="200"/>
      <c r="UMT91" s="201"/>
      <c r="UMU91" s="202"/>
      <c r="UMV91" s="202"/>
      <c r="UMW91" s="202"/>
      <c r="UMX91" s="202"/>
      <c r="UMY91" s="203"/>
      <c r="UMZ91" s="204"/>
      <c r="UNA91" s="204"/>
      <c r="UNB91" s="204"/>
      <c r="UNC91" s="205"/>
      <c r="UND91" s="206"/>
      <c r="UNE91" s="207"/>
      <c r="UNF91" s="207"/>
      <c r="UNG91" s="208"/>
      <c r="UNH91" s="209"/>
      <c r="UNI91" s="207"/>
      <c r="UNJ91" s="210"/>
      <c r="UNK91" s="209"/>
      <c r="UNL91" s="204"/>
      <c r="UNM91" s="204"/>
      <c r="UNN91" s="204"/>
      <c r="UNO91" s="199"/>
      <c r="UNP91" s="167"/>
      <c r="UNQ91" s="199"/>
      <c r="UNR91" s="200"/>
      <c r="UNS91" s="201"/>
      <c r="UNT91" s="202"/>
      <c r="UNU91" s="202"/>
      <c r="UNV91" s="202"/>
      <c r="UNW91" s="202"/>
      <c r="UNX91" s="203"/>
      <c r="UNY91" s="204"/>
      <c r="UNZ91" s="204"/>
      <c r="UOA91" s="204"/>
      <c r="UOB91" s="205"/>
      <c r="UOC91" s="206"/>
      <c r="UOD91" s="207"/>
      <c r="UOE91" s="207"/>
      <c r="UOF91" s="208"/>
      <c r="UOG91" s="209"/>
      <c r="UOH91" s="207"/>
      <c r="UOI91" s="210"/>
      <c r="UOJ91" s="209"/>
      <c r="UOK91" s="204"/>
      <c r="UOL91" s="204"/>
      <c r="UOM91" s="204"/>
      <c r="UON91" s="199"/>
      <c r="UOO91" s="167"/>
      <c r="UOP91" s="199"/>
      <c r="UOQ91" s="200"/>
      <c r="UOR91" s="201"/>
      <c r="UOS91" s="202"/>
      <c r="UOT91" s="202"/>
      <c r="UOU91" s="202"/>
      <c r="UOV91" s="202"/>
      <c r="UOW91" s="203"/>
      <c r="UOX91" s="204"/>
      <c r="UOY91" s="204"/>
      <c r="UOZ91" s="204"/>
      <c r="UPA91" s="205"/>
      <c r="UPB91" s="206"/>
      <c r="UPC91" s="207"/>
      <c r="UPD91" s="207"/>
      <c r="UPE91" s="208"/>
      <c r="UPF91" s="209"/>
      <c r="UPG91" s="207"/>
      <c r="UPH91" s="210"/>
      <c r="UPI91" s="209"/>
      <c r="UPJ91" s="204"/>
      <c r="UPK91" s="204"/>
      <c r="UPL91" s="204"/>
      <c r="UPM91" s="199"/>
      <c r="UPN91" s="167"/>
      <c r="UPO91" s="199"/>
      <c r="UPP91" s="200"/>
      <c r="UPQ91" s="201"/>
      <c r="UPR91" s="202"/>
      <c r="UPS91" s="202"/>
      <c r="UPT91" s="202"/>
      <c r="UPU91" s="202"/>
      <c r="UPV91" s="203"/>
      <c r="UPW91" s="204"/>
      <c r="UPX91" s="204"/>
      <c r="UPY91" s="204"/>
      <c r="UPZ91" s="205"/>
      <c r="UQA91" s="206"/>
      <c r="UQB91" s="207"/>
      <c r="UQC91" s="207"/>
      <c r="UQD91" s="208"/>
      <c r="UQE91" s="209"/>
      <c r="UQF91" s="207"/>
      <c r="UQG91" s="210"/>
      <c r="UQH91" s="209"/>
      <c r="UQI91" s="204"/>
      <c r="UQJ91" s="204"/>
      <c r="UQK91" s="204"/>
      <c r="UQL91" s="199"/>
      <c r="UQM91" s="167"/>
      <c r="UQN91" s="199"/>
      <c r="UQO91" s="200"/>
      <c r="UQP91" s="201"/>
      <c r="UQQ91" s="202"/>
      <c r="UQR91" s="202"/>
      <c r="UQS91" s="202"/>
      <c r="UQT91" s="202"/>
      <c r="UQU91" s="203"/>
      <c r="UQV91" s="204"/>
      <c r="UQW91" s="204"/>
      <c r="UQX91" s="204"/>
      <c r="UQY91" s="205"/>
      <c r="UQZ91" s="206"/>
      <c r="URA91" s="207"/>
      <c r="URB91" s="207"/>
      <c r="URC91" s="208"/>
      <c r="URD91" s="209"/>
      <c r="URE91" s="207"/>
      <c r="URF91" s="210"/>
      <c r="URG91" s="209"/>
      <c r="URH91" s="204"/>
      <c r="URI91" s="204"/>
      <c r="URJ91" s="204"/>
      <c r="URK91" s="199"/>
      <c r="URL91" s="167"/>
      <c r="URM91" s="199"/>
      <c r="URN91" s="200"/>
      <c r="URO91" s="201"/>
      <c r="URP91" s="202"/>
      <c r="URQ91" s="202"/>
      <c r="URR91" s="202"/>
      <c r="URS91" s="202"/>
      <c r="URT91" s="203"/>
      <c r="URU91" s="204"/>
      <c r="URV91" s="204"/>
      <c r="URW91" s="204"/>
      <c r="URX91" s="205"/>
      <c r="URY91" s="206"/>
      <c r="URZ91" s="207"/>
      <c r="USA91" s="207"/>
      <c r="USB91" s="208"/>
      <c r="USC91" s="209"/>
      <c r="USD91" s="207"/>
      <c r="USE91" s="210"/>
      <c r="USF91" s="209"/>
      <c r="USG91" s="204"/>
      <c r="USH91" s="204"/>
      <c r="USI91" s="204"/>
      <c r="USJ91" s="199"/>
      <c r="USK91" s="167"/>
      <c r="USL91" s="199"/>
      <c r="USM91" s="200"/>
      <c r="USN91" s="201"/>
      <c r="USO91" s="202"/>
      <c r="USP91" s="202"/>
      <c r="USQ91" s="202"/>
      <c r="USR91" s="202"/>
      <c r="USS91" s="203"/>
      <c r="UST91" s="204"/>
      <c r="USU91" s="204"/>
      <c r="USV91" s="204"/>
      <c r="USW91" s="205"/>
      <c r="USX91" s="206"/>
      <c r="USY91" s="207"/>
      <c r="USZ91" s="207"/>
      <c r="UTA91" s="208"/>
      <c r="UTB91" s="209"/>
      <c r="UTC91" s="207"/>
      <c r="UTD91" s="210"/>
      <c r="UTE91" s="209"/>
      <c r="UTF91" s="204"/>
      <c r="UTG91" s="204"/>
      <c r="UTH91" s="204"/>
      <c r="UTI91" s="199"/>
      <c r="UTJ91" s="167"/>
      <c r="UTK91" s="199"/>
      <c r="UTL91" s="200"/>
      <c r="UTM91" s="201"/>
      <c r="UTN91" s="202"/>
      <c r="UTO91" s="202"/>
      <c r="UTP91" s="202"/>
      <c r="UTQ91" s="202"/>
      <c r="UTR91" s="203"/>
      <c r="UTS91" s="204"/>
      <c r="UTT91" s="204"/>
      <c r="UTU91" s="204"/>
      <c r="UTV91" s="205"/>
      <c r="UTW91" s="206"/>
      <c r="UTX91" s="207"/>
      <c r="UTY91" s="207"/>
      <c r="UTZ91" s="208"/>
      <c r="UUA91" s="209"/>
      <c r="UUB91" s="207"/>
      <c r="UUC91" s="210"/>
      <c r="UUD91" s="209"/>
      <c r="UUE91" s="204"/>
      <c r="UUF91" s="204"/>
      <c r="UUG91" s="204"/>
      <c r="UUH91" s="199"/>
      <c r="UUI91" s="167"/>
      <c r="UUJ91" s="199"/>
      <c r="UUK91" s="200"/>
      <c r="UUL91" s="201"/>
      <c r="UUM91" s="202"/>
      <c r="UUN91" s="202"/>
      <c r="UUO91" s="202"/>
      <c r="UUP91" s="202"/>
      <c r="UUQ91" s="203"/>
      <c r="UUR91" s="204"/>
      <c r="UUS91" s="204"/>
      <c r="UUT91" s="204"/>
      <c r="UUU91" s="205"/>
      <c r="UUV91" s="206"/>
      <c r="UUW91" s="207"/>
      <c r="UUX91" s="207"/>
      <c r="UUY91" s="208"/>
      <c r="UUZ91" s="209"/>
      <c r="UVA91" s="207"/>
      <c r="UVB91" s="210"/>
      <c r="UVC91" s="209"/>
      <c r="UVD91" s="204"/>
      <c r="UVE91" s="204"/>
      <c r="UVF91" s="204"/>
      <c r="UVG91" s="199"/>
      <c r="UVH91" s="167"/>
      <c r="UVI91" s="199"/>
      <c r="UVJ91" s="200"/>
      <c r="UVK91" s="201"/>
      <c r="UVL91" s="202"/>
      <c r="UVM91" s="202"/>
      <c r="UVN91" s="202"/>
      <c r="UVO91" s="202"/>
      <c r="UVP91" s="203"/>
      <c r="UVQ91" s="204"/>
      <c r="UVR91" s="204"/>
      <c r="UVS91" s="204"/>
      <c r="UVT91" s="205"/>
      <c r="UVU91" s="206"/>
      <c r="UVV91" s="207"/>
      <c r="UVW91" s="207"/>
      <c r="UVX91" s="208"/>
      <c r="UVY91" s="209"/>
      <c r="UVZ91" s="207"/>
      <c r="UWA91" s="210"/>
      <c r="UWB91" s="209"/>
      <c r="UWC91" s="204"/>
      <c r="UWD91" s="204"/>
      <c r="UWE91" s="204"/>
      <c r="UWF91" s="199"/>
      <c r="UWG91" s="167"/>
      <c r="UWH91" s="199"/>
      <c r="UWI91" s="200"/>
      <c r="UWJ91" s="201"/>
      <c r="UWK91" s="202"/>
      <c r="UWL91" s="202"/>
      <c r="UWM91" s="202"/>
      <c r="UWN91" s="202"/>
      <c r="UWO91" s="203"/>
      <c r="UWP91" s="204"/>
      <c r="UWQ91" s="204"/>
      <c r="UWR91" s="204"/>
      <c r="UWS91" s="205"/>
      <c r="UWT91" s="206"/>
      <c r="UWU91" s="207"/>
      <c r="UWV91" s="207"/>
      <c r="UWW91" s="208"/>
      <c r="UWX91" s="209"/>
      <c r="UWY91" s="207"/>
      <c r="UWZ91" s="210"/>
      <c r="UXA91" s="209"/>
      <c r="UXB91" s="204"/>
      <c r="UXC91" s="204"/>
      <c r="UXD91" s="204"/>
      <c r="UXE91" s="199"/>
      <c r="UXF91" s="167"/>
      <c r="UXG91" s="199"/>
      <c r="UXH91" s="200"/>
      <c r="UXI91" s="201"/>
      <c r="UXJ91" s="202"/>
      <c r="UXK91" s="202"/>
      <c r="UXL91" s="202"/>
      <c r="UXM91" s="202"/>
      <c r="UXN91" s="203"/>
      <c r="UXO91" s="204"/>
      <c r="UXP91" s="204"/>
      <c r="UXQ91" s="204"/>
      <c r="UXR91" s="205"/>
      <c r="UXS91" s="206"/>
      <c r="UXT91" s="207"/>
      <c r="UXU91" s="207"/>
      <c r="UXV91" s="208"/>
      <c r="UXW91" s="209"/>
      <c r="UXX91" s="207"/>
      <c r="UXY91" s="210"/>
      <c r="UXZ91" s="209"/>
      <c r="UYA91" s="204"/>
      <c r="UYB91" s="204"/>
      <c r="UYC91" s="204"/>
      <c r="UYD91" s="199"/>
      <c r="UYE91" s="167"/>
      <c r="UYF91" s="199"/>
      <c r="UYG91" s="200"/>
      <c r="UYH91" s="201"/>
      <c r="UYI91" s="202"/>
      <c r="UYJ91" s="202"/>
      <c r="UYK91" s="202"/>
      <c r="UYL91" s="202"/>
      <c r="UYM91" s="203"/>
      <c r="UYN91" s="204"/>
      <c r="UYO91" s="204"/>
      <c r="UYP91" s="204"/>
      <c r="UYQ91" s="205"/>
      <c r="UYR91" s="206"/>
      <c r="UYS91" s="207"/>
      <c r="UYT91" s="207"/>
      <c r="UYU91" s="208"/>
      <c r="UYV91" s="209"/>
      <c r="UYW91" s="207"/>
      <c r="UYX91" s="210"/>
      <c r="UYY91" s="209"/>
      <c r="UYZ91" s="204"/>
      <c r="UZA91" s="204"/>
      <c r="UZB91" s="204"/>
      <c r="UZC91" s="199"/>
      <c r="UZD91" s="167"/>
      <c r="UZE91" s="199"/>
      <c r="UZF91" s="200"/>
      <c r="UZG91" s="201"/>
      <c r="UZH91" s="202"/>
      <c r="UZI91" s="202"/>
      <c r="UZJ91" s="202"/>
      <c r="UZK91" s="202"/>
      <c r="UZL91" s="203"/>
      <c r="UZM91" s="204"/>
      <c r="UZN91" s="204"/>
      <c r="UZO91" s="204"/>
      <c r="UZP91" s="205"/>
      <c r="UZQ91" s="206"/>
      <c r="UZR91" s="207"/>
      <c r="UZS91" s="207"/>
      <c r="UZT91" s="208"/>
      <c r="UZU91" s="209"/>
      <c r="UZV91" s="207"/>
      <c r="UZW91" s="210"/>
      <c r="UZX91" s="209"/>
      <c r="UZY91" s="204"/>
      <c r="UZZ91" s="204"/>
      <c r="VAA91" s="204"/>
      <c r="VAB91" s="199"/>
      <c r="VAC91" s="167"/>
      <c r="VAD91" s="199"/>
      <c r="VAE91" s="200"/>
      <c r="VAF91" s="201"/>
      <c r="VAG91" s="202"/>
      <c r="VAH91" s="202"/>
      <c r="VAI91" s="202"/>
      <c r="VAJ91" s="202"/>
      <c r="VAK91" s="203"/>
      <c r="VAL91" s="204"/>
      <c r="VAM91" s="204"/>
      <c r="VAN91" s="204"/>
      <c r="VAO91" s="205"/>
      <c r="VAP91" s="206"/>
      <c r="VAQ91" s="207"/>
      <c r="VAR91" s="207"/>
      <c r="VAS91" s="208"/>
      <c r="VAT91" s="209"/>
      <c r="VAU91" s="207"/>
      <c r="VAV91" s="210"/>
      <c r="VAW91" s="209"/>
      <c r="VAX91" s="204"/>
      <c r="VAY91" s="204"/>
      <c r="VAZ91" s="204"/>
      <c r="VBA91" s="199"/>
      <c r="VBB91" s="167"/>
      <c r="VBC91" s="199"/>
      <c r="VBD91" s="200"/>
      <c r="VBE91" s="201"/>
      <c r="VBF91" s="202"/>
      <c r="VBG91" s="202"/>
      <c r="VBH91" s="202"/>
      <c r="VBI91" s="202"/>
      <c r="VBJ91" s="203"/>
      <c r="VBK91" s="204"/>
      <c r="VBL91" s="204"/>
      <c r="VBM91" s="204"/>
      <c r="VBN91" s="205"/>
      <c r="VBO91" s="206"/>
      <c r="VBP91" s="207"/>
      <c r="VBQ91" s="207"/>
      <c r="VBR91" s="208"/>
      <c r="VBS91" s="209"/>
      <c r="VBT91" s="207"/>
      <c r="VBU91" s="210"/>
      <c r="VBV91" s="209"/>
      <c r="VBW91" s="204"/>
      <c r="VBX91" s="204"/>
      <c r="VBY91" s="204"/>
      <c r="VBZ91" s="199"/>
      <c r="VCA91" s="167"/>
      <c r="VCB91" s="199"/>
      <c r="VCC91" s="200"/>
      <c r="VCD91" s="201"/>
      <c r="VCE91" s="202"/>
      <c r="VCF91" s="202"/>
      <c r="VCG91" s="202"/>
      <c r="VCH91" s="202"/>
      <c r="VCI91" s="203"/>
      <c r="VCJ91" s="204"/>
      <c r="VCK91" s="204"/>
      <c r="VCL91" s="204"/>
      <c r="VCM91" s="205"/>
      <c r="VCN91" s="206"/>
      <c r="VCO91" s="207"/>
      <c r="VCP91" s="207"/>
      <c r="VCQ91" s="208"/>
      <c r="VCR91" s="209"/>
      <c r="VCS91" s="207"/>
      <c r="VCT91" s="210"/>
      <c r="VCU91" s="209"/>
      <c r="VCV91" s="204"/>
      <c r="VCW91" s="204"/>
      <c r="VCX91" s="204"/>
      <c r="VCY91" s="199"/>
      <c r="VCZ91" s="167"/>
      <c r="VDA91" s="199"/>
      <c r="VDB91" s="200"/>
      <c r="VDC91" s="201"/>
      <c r="VDD91" s="202"/>
      <c r="VDE91" s="202"/>
      <c r="VDF91" s="202"/>
      <c r="VDG91" s="202"/>
      <c r="VDH91" s="203"/>
      <c r="VDI91" s="204"/>
      <c r="VDJ91" s="204"/>
      <c r="VDK91" s="204"/>
      <c r="VDL91" s="205"/>
      <c r="VDM91" s="206"/>
      <c r="VDN91" s="207"/>
      <c r="VDO91" s="207"/>
      <c r="VDP91" s="208"/>
      <c r="VDQ91" s="209"/>
      <c r="VDR91" s="207"/>
      <c r="VDS91" s="210"/>
      <c r="VDT91" s="209"/>
      <c r="VDU91" s="204"/>
      <c r="VDV91" s="204"/>
      <c r="VDW91" s="204"/>
      <c r="VDX91" s="199"/>
      <c r="VDY91" s="167"/>
      <c r="VDZ91" s="199"/>
      <c r="VEA91" s="200"/>
      <c r="VEB91" s="201"/>
      <c r="VEC91" s="202"/>
      <c r="VED91" s="202"/>
      <c r="VEE91" s="202"/>
      <c r="VEF91" s="202"/>
      <c r="VEG91" s="203"/>
      <c r="VEH91" s="204"/>
      <c r="VEI91" s="204"/>
      <c r="VEJ91" s="204"/>
      <c r="VEK91" s="205"/>
      <c r="VEL91" s="206"/>
      <c r="VEM91" s="207"/>
      <c r="VEN91" s="207"/>
      <c r="VEO91" s="208"/>
      <c r="VEP91" s="209"/>
      <c r="VEQ91" s="207"/>
      <c r="VER91" s="210"/>
      <c r="VES91" s="209"/>
      <c r="VET91" s="204"/>
      <c r="VEU91" s="204"/>
      <c r="VEV91" s="204"/>
      <c r="VEW91" s="199"/>
      <c r="VEX91" s="167"/>
      <c r="VEY91" s="199"/>
      <c r="VEZ91" s="200"/>
      <c r="VFA91" s="201"/>
      <c r="VFB91" s="202"/>
      <c r="VFC91" s="202"/>
      <c r="VFD91" s="202"/>
      <c r="VFE91" s="202"/>
      <c r="VFF91" s="203"/>
      <c r="VFG91" s="204"/>
      <c r="VFH91" s="204"/>
      <c r="VFI91" s="204"/>
      <c r="VFJ91" s="205"/>
      <c r="VFK91" s="206"/>
      <c r="VFL91" s="207"/>
      <c r="VFM91" s="207"/>
      <c r="VFN91" s="208"/>
      <c r="VFO91" s="209"/>
      <c r="VFP91" s="207"/>
      <c r="VFQ91" s="210"/>
      <c r="VFR91" s="209"/>
      <c r="VFS91" s="204"/>
      <c r="VFT91" s="204"/>
      <c r="VFU91" s="204"/>
      <c r="VFV91" s="199"/>
      <c r="VFW91" s="167"/>
      <c r="VFX91" s="199"/>
      <c r="VFY91" s="200"/>
      <c r="VFZ91" s="201"/>
      <c r="VGA91" s="202"/>
      <c r="VGB91" s="202"/>
      <c r="VGC91" s="202"/>
      <c r="VGD91" s="202"/>
      <c r="VGE91" s="203"/>
      <c r="VGF91" s="204"/>
      <c r="VGG91" s="204"/>
      <c r="VGH91" s="204"/>
      <c r="VGI91" s="205"/>
      <c r="VGJ91" s="206"/>
      <c r="VGK91" s="207"/>
      <c r="VGL91" s="207"/>
      <c r="VGM91" s="208"/>
      <c r="VGN91" s="209"/>
      <c r="VGO91" s="207"/>
      <c r="VGP91" s="210"/>
      <c r="VGQ91" s="209"/>
      <c r="VGR91" s="204"/>
      <c r="VGS91" s="204"/>
      <c r="VGT91" s="204"/>
      <c r="VGU91" s="199"/>
      <c r="VGV91" s="167"/>
      <c r="VGW91" s="199"/>
      <c r="VGX91" s="200"/>
      <c r="VGY91" s="201"/>
      <c r="VGZ91" s="202"/>
      <c r="VHA91" s="202"/>
      <c r="VHB91" s="202"/>
      <c r="VHC91" s="202"/>
      <c r="VHD91" s="203"/>
      <c r="VHE91" s="204"/>
      <c r="VHF91" s="204"/>
      <c r="VHG91" s="204"/>
      <c r="VHH91" s="205"/>
      <c r="VHI91" s="206"/>
      <c r="VHJ91" s="207"/>
      <c r="VHK91" s="207"/>
      <c r="VHL91" s="208"/>
      <c r="VHM91" s="209"/>
      <c r="VHN91" s="207"/>
      <c r="VHO91" s="210"/>
      <c r="VHP91" s="209"/>
      <c r="VHQ91" s="204"/>
      <c r="VHR91" s="204"/>
      <c r="VHS91" s="204"/>
      <c r="VHT91" s="199"/>
      <c r="VHU91" s="167"/>
      <c r="VHV91" s="199"/>
      <c r="VHW91" s="200"/>
      <c r="VHX91" s="201"/>
      <c r="VHY91" s="202"/>
      <c r="VHZ91" s="202"/>
      <c r="VIA91" s="202"/>
      <c r="VIB91" s="202"/>
      <c r="VIC91" s="203"/>
      <c r="VID91" s="204"/>
      <c r="VIE91" s="204"/>
      <c r="VIF91" s="204"/>
      <c r="VIG91" s="205"/>
      <c r="VIH91" s="206"/>
      <c r="VII91" s="207"/>
      <c r="VIJ91" s="207"/>
      <c r="VIK91" s="208"/>
      <c r="VIL91" s="209"/>
      <c r="VIM91" s="207"/>
      <c r="VIN91" s="210"/>
      <c r="VIO91" s="209"/>
      <c r="VIP91" s="204"/>
      <c r="VIQ91" s="204"/>
      <c r="VIR91" s="204"/>
      <c r="VIS91" s="199"/>
      <c r="VIT91" s="167"/>
      <c r="VIU91" s="199"/>
      <c r="VIV91" s="200"/>
      <c r="VIW91" s="201"/>
      <c r="VIX91" s="202"/>
      <c r="VIY91" s="202"/>
      <c r="VIZ91" s="202"/>
      <c r="VJA91" s="202"/>
      <c r="VJB91" s="203"/>
      <c r="VJC91" s="204"/>
      <c r="VJD91" s="204"/>
      <c r="VJE91" s="204"/>
      <c r="VJF91" s="205"/>
      <c r="VJG91" s="206"/>
      <c r="VJH91" s="207"/>
      <c r="VJI91" s="207"/>
      <c r="VJJ91" s="208"/>
      <c r="VJK91" s="209"/>
      <c r="VJL91" s="207"/>
      <c r="VJM91" s="210"/>
      <c r="VJN91" s="209"/>
      <c r="VJO91" s="204"/>
      <c r="VJP91" s="204"/>
      <c r="VJQ91" s="204"/>
      <c r="VJR91" s="199"/>
      <c r="VJS91" s="167"/>
      <c r="VJT91" s="199"/>
      <c r="VJU91" s="200"/>
      <c r="VJV91" s="201"/>
      <c r="VJW91" s="202"/>
      <c r="VJX91" s="202"/>
      <c r="VJY91" s="202"/>
      <c r="VJZ91" s="202"/>
      <c r="VKA91" s="203"/>
      <c r="VKB91" s="204"/>
      <c r="VKC91" s="204"/>
      <c r="VKD91" s="204"/>
      <c r="VKE91" s="205"/>
      <c r="VKF91" s="206"/>
      <c r="VKG91" s="207"/>
      <c r="VKH91" s="207"/>
      <c r="VKI91" s="208"/>
      <c r="VKJ91" s="209"/>
      <c r="VKK91" s="207"/>
      <c r="VKL91" s="210"/>
      <c r="VKM91" s="209"/>
      <c r="VKN91" s="204"/>
      <c r="VKO91" s="204"/>
      <c r="VKP91" s="204"/>
      <c r="VKQ91" s="199"/>
      <c r="VKR91" s="167"/>
      <c r="VKS91" s="199"/>
      <c r="VKT91" s="200"/>
      <c r="VKU91" s="201"/>
      <c r="VKV91" s="202"/>
      <c r="VKW91" s="202"/>
      <c r="VKX91" s="202"/>
      <c r="VKY91" s="202"/>
      <c r="VKZ91" s="203"/>
      <c r="VLA91" s="204"/>
      <c r="VLB91" s="204"/>
      <c r="VLC91" s="204"/>
      <c r="VLD91" s="205"/>
      <c r="VLE91" s="206"/>
      <c r="VLF91" s="207"/>
      <c r="VLG91" s="207"/>
      <c r="VLH91" s="208"/>
      <c r="VLI91" s="209"/>
      <c r="VLJ91" s="207"/>
      <c r="VLK91" s="210"/>
      <c r="VLL91" s="209"/>
      <c r="VLM91" s="204"/>
      <c r="VLN91" s="204"/>
      <c r="VLO91" s="204"/>
      <c r="VLP91" s="199"/>
      <c r="VLQ91" s="167"/>
      <c r="VLR91" s="199"/>
      <c r="VLS91" s="200"/>
      <c r="VLT91" s="201"/>
      <c r="VLU91" s="202"/>
      <c r="VLV91" s="202"/>
      <c r="VLW91" s="202"/>
      <c r="VLX91" s="202"/>
      <c r="VLY91" s="203"/>
      <c r="VLZ91" s="204"/>
      <c r="VMA91" s="204"/>
      <c r="VMB91" s="204"/>
      <c r="VMC91" s="205"/>
      <c r="VMD91" s="206"/>
      <c r="VME91" s="207"/>
      <c r="VMF91" s="207"/>
      <c r="VMG91" s="208"/>
      <c r="VMH91" s="209"/>
      <c r="VMI91" s="207"/>
      <c r="VMJ91" s="210"/>
      <c r="VMK91" s="209"/>
      <c r="VML91" s="204"/>
      <c r="VMM91" s="204"/>
      <c r="VMN91" s="204"/>
      <c r="VMO91" s="199"/>
      <c r="VMP91" s="167"/>
      <c r="VMQ91" s="199"/>
      <c r="VMR91" s="200"/>
      <c r="VMS91" s="201"/>
      <c r="VMT91" s="202"/>
      <c r="VMU91" s="202"/>
      <c r="VMV91" s="202"/>
      <c r="VMW91" s="202"/>
      <c r="VMX91" s="203"/>
      <c r="VMY91" s="204"/>
      <c r="VMZ91" s="204"/>
      <c r="VNA91" s="204"/>
      <c r="VNB91" s="205"/>
      <c r="VNC91" s="206"/>
      <c r="VND91" s="207"/>
      <c r="VNE91" s="207"/>
      <c r="VNF91" s="208"/>
      <c r="VNG91" s="209"/>
      <c r="VNH91" s="207"/>
      <c r="VNI91" s="210"/>
      <c r="VNJ91" s="209"/>
      <c r="VNK91" s="204"/>
      <c r="VNL91" s="204"/>
      <c r="VNM91" s="204"/>
      <c r="VNN91" s="199"/>
      <c r="VNO91" s="167"/>
      <c r="VNP91" s="199"/>
      <c r="VNQ91" s="200"/>
      <c r="VNR91" s="201"/>
      <c r="VNS91" s="202"/>
      <c r="VNT91" s="202"/>
      <c r="VNU91" s="202"/>
      <c r="VNV91" s="202"/>
      <c r="VNW91" s="203"/>
      <c r="VNX91" s="204"/>
      <c r="VNY91" s="204"/>
      <c r="VNZ91" s="204"/>
      <c r="VOA91" s="205"/>
      <c r="VOB91" s="206"/>
      <c r="VOC91" s="207"/>
      <c r="VOD91" s="207"/>
      <c r="VOE91" s="208"/>
      <c r="VOF91" s="209"/>
      <c r="VOG91" s="207"/>
      <c r="VOH91" s="210"/>
      <c r="VOI91" s="209"/>
      <c r="VOJ91" s="204"/>
      <c r="VOK91" s="204"/>
      <c r="VOL91" s="204"/>
      <c r="VOM91" s="199"/>
      <c r="VON91" s="167"/>
      <c r="VOO91" s="199"/>
      <c r="VOP91" s="200"/>
      <c r="VOQ91" s="201"/>
      <c r="VOR91" s="202"/>
      <c r="VOS91" s="202"/>
      <c r="VOT91" s="202"/>
      <c r="VOU91" s="202"/>
      <c r="VOV91" s="203"/>
      <c r="VOW91" s="204"/>
      <c r="VOX91" s="204"/>
      <c r="VOY91" s="204"/>
      <c r="VOZ91" s="205"/>
      <c r="VPA91" s="206"/>
      <c r="VPB91" s="207"/>
      <c r="VPC91" s="207"/>
      <c r="VPD91" s="208"/>
      <c r="VPE91" s="209"/>
      <c r="VPF91" s="207"/>
      <c r="VPG91" s="210"/>
      <c r="VPH91" s="209"/>
      <c r="VPI91" s="204"/>
      <c r="VPJ91" s="204"/>
      <c r="VPK91" s="204"/>
      <c r="VPL91" s="199"/>
      <c r="VPM91" s="167"/>
      <c r="VPN91" s="199"/>
      <c r="VPO91" s="200"/>
      <c r="VPP91" s="201"/>
      <c r="VPQ91" s="202"/>
      <c r="VPR91" s="202"/>
      <c r="VPS91" s="202"/>
      <c r="VPT91" s="202"/>
      <c r="VPU91" s="203"/>
      <c r="VPV91" s="204"/>
      <c r="VPW91" s="204"/>
      <c r="VPX91" s="204"/>
      <c r="VPY91" s="205"/>
      <c r="VPZ91" s="206"/>
      <c r="VQA91" s="207"/>
      <c r="VQB91" s="207"/>
      <c r="VQC91" s="208"/>
      <c r="VQD91" s="209"/>
      <c r="VQE91" s="207"/>
      <c r="VQF91" s="210"/>
      <c r="VQG91" s="209"/>
      <c r="VQH91" s="204"/>
      <c r="VQI91" s="204"/>
      <c r="VQJ91" s="204"/>
      <c r="VQK91" s="199"/>
      <c r="VQL91" s="167"/>
      <c r="VQM91" s="199"/>
      <c r="VQN91" s="200"/>
      <c r="VQO91" s="201"/>
      <c r="VQP91" s="202"/>
      <c r="VQQ91" s="202"/>
      <c r="VQR91" s="202"/>
      <c r="VQS91" s="202"/>
      <c r="VQT91" s="203"/>
      <c r="VQU91" s="204"/>
      <c r="VQV91" s="204"/>
      <c r="VQW91" s="204"/>
      <c r="VQX91" s="205"/>
      <c r="VQY91" s="206"/>
      <c r="VQZ91" s="207"/>
      <c r="VRA91" s="207"/>
      <c r="VRB91" s="208"/>
      <c r="VRC91" s="209"/>
      <c r="VRD91" s="207"/>
      <c r="VRE91" s="210"/>
      <c r="VRF91" s="209"/>
      <c r="VRG91" s="204"/>
      <c r="VRH91" s="204"/>
      <c r="VRI91" s="204"/>
      <c r="VRJ91" s="199"/>
      <c r="VRK91" s="167"/>
      <c r="VRL91" s="199"/>
      <c r="VRM91" s="200"/>
      <c r="VRN91" s="201"/>
      <c r="VRO91" s="202"/>
      <c r="VRP91" s="202"/>
      <c r="VRQ91" s="202"/>
      <c r="VRR91" s="202"/>
      <c r="VRS91" s="203"/>
      <c r="VRT91" s="204"/>
      <c r="VRU91" s="204"/>
      <c r="VRV91" s="204"/>
      <c r="VRW91" s="205"/>
      <c r="VRX91" s="206"/>
      <c r="VRY91" s="207"/>
      <c r="VRZ91" s="207"/>
      <c r="VSA91" s="208"/>
      <c r="VSB91" s="209"/>
      <c r="VSC91" s="207"/>
      <c r="VSD91" s="210"/>
      <c r="VSE91" s="209"/>
      <c r="VSF91" s="204"/>
      <c r="VSG91" s="204"/>
      <c r="VSH91" s="204"/>
      <c r="VSI91" s="199"/>
      <c r="VSJ91" s="167"/>
      <c r="VSK91" s="199"/>
      <c r="VSL91" s="200"/>
      <c r="VSM91" s="201"/>
      <c r="VSN91" s="202"/>
      <c r="VSO91" s="202"/>
      <c r="VSP91" s="202"/>
      <c r="VSQ91" s="202"/>
      <c r="VSR91" s="203"/>
      <c r="VSS91" s="204"/>
      <c r="VST91" s="204"/>
      <c r="VSU91" s="204"/>
      <c r="VSV91" s="205"/>
      <c r="VSW91" s="206"/>
      <c r="VSX91" s="207"/>
      <c r="VSY91" s="207"/>
      <c r="VSZ91" s="208"/>
      <c r="VTA91" s="209"/>
      <c r="VTB91" s="207"/>
      <c r="VTC91" s="210"/>
      <c r="VTD91" s="209"/>
      <c r="VTE91" s="204"/>
      <c r="VTF91" s="204"/>
      <c r="VTG91" s="204"/>
      <c r="VTH91" s="199"/>
      <c r="VTI91" s="167"/>
      <c r="VTJ91" s="199"/>
      <c r="VTK91" s="200"/>
      <c r="VTL91" s="201"/>
      <c r="VTM91" s="202"/>
      <c r="VTN91" s="202"/>
      <c r="VTO91" s="202"/>
      <c r="VTP91" s="202"/>
      <c r="VTQ91" s="203"/>
      <c r="VTR91" s="204"/>
      <c r="VTS91" s="204"/>
      <c r="VTT91" s="204"/>
      <c r="VTU91" s="205"/>
      <c r="VTV91" s="206"/>
      <c r="VTW91" s="207"/>
      <c r="VTX91" s="207"/>
      <c r="VTY91" s="208"/>
      <c r="VTZ91" s="209"/>
      <c r="VUA91" s="207"/>
      <c r="VUB91" s="210"/>
      <c r="VUC91" s="209"/>
      <c r="VUD91" s="204"/>
      <c r="VUE91" s="204"/>
      <c r="VUF91" s="204"/>
      <c r="VUG91" s="199"/>
      <c r="VUH91" s="167"/>
      <c r="VUI91" s="199"/>
      <c r="VUJ91" s="200"/>
      <c r="VUK91" s="201"/>
      <c r="VUL91" s="202"/>
      <c r="VUM91" s="202"/>
      <c r="VUN91" s="202"/>
      <c r="VUO91" s="202"/>
      <c r="VUP91" s="203"/>
      <c r="VUQ91" s="204"/>
      <c r="VUR91" s="204"/>
      <c r="VUS91" s="204"/>
      <c r="VUT91" s="205"/>
      <c r="VUU91" s="206"/>
      <c r="VUV91" s="207"/>
      <c r="VUW91" s="207"/>
      <c r="VUX91" s="208"/>
      <c r="VUY91" s="209"/>
      <c r="VUZ91" s="207"/>
      <c r="VVA91" s="210"/>
      <c r="VVB91" s="209"/>
      <c r="VVC91" s="204"/>
      <c r="VVD91" s="204"/>
      <c r="VVE91" s="204"/>
      <c r="VVF91" s="199"/>
      <c r="VVG91" s="167"/>
      <c r="VVH91" s="199"/>
      <c r="VVI91" s="200"/>
      <c r="VVJ91" s="201"/>
      <c r="VVK91" s="202"/>
      <c r="VVL91" s="202"/>
      <c r="VVM91" s="202"/>
      <c r="VVN91" s="202"/>
      <c r="VVO91" s="203"/>
      <c r="VVP91" s="204"/>
      <c r="VVQ91" s="204"/>
      <c r="VVR91" s="204"/>
      <c r="VVS91" s="205"/>
      <c r="VVT91" s="206"/>
      <c r="VVU91" s="207"/>
      <c r="VVV91" s="207"/>
      <c r="VVW91" s="208"/>
      <c r="VVX91" s="209"/>
      <c r="VVY91" s="207"/>
      <c r="VVZ91" s="210"/>
      <c r="VWA91" s="209"/>
      <c r="VWB91" s="204"/>
      <c r="VWC91" s="204"/>
      <c r="VWD91" s="204"/>
      <c r="VWE91" s="199"/>
      <c r="VWF91" s="167"/>
      <c r="VWG91" s="199"/>
      <c r="VWH91" s="200"/>
      <c r="VWI91" s="201"/>
      <c r="VWJ91" s="202"/>
      <c r="VWK91" s="202"/>
      <c r="VWL91" s="202"/>
      <c r="VWM91" s="202"/>
      <c r="VWN91" s="203"/>
      <c r="VWO91" s="204"/>
      <c r="VWP91" s="204"/>
      <c r="VWQ91" s="204"/>
      <c r="VWR91" s="205"/>
      <c r="VWS91" s="206"/>
      <c r="VWT91" s="207"/>
      <c r="VWU91" s="207"/>
      <c r="VWV91" s="208"/>
      <c r="VWW91" s="209"/>
      <c r="VWX91" s="207"/>
      <c r="VWY91" s="210"/>
      <c r="VWZ91" s="209"/>
      <c r="VXA91" s="204"/>
      <c r="VXB91" s="204"/>
      <c r="VXC91" s="204"/>
      <c r="VXD91" s="199"/>
      <c r="VXE91" s="167"/>
      <c r="VXF91" s="199"/>
      <c r="VXG91" s="200"/>
      <c r="VXH91" s="201"/>
      <c r="VXI91" s="202"/>
      <c r="VXJ91" s="202"/>
      <c r="VXK91" s="202"/>
      <c r="VXL91" s="202"/>
      <c r="VXM91" s="203"/>
      <c r="VXN91" s="204"/>
      <c r="VXO91" s="204"/>
      <c r="VXP91" s="204"/>
      <c r="VXQ91" s="205"/>
      <c r="VXR91" s="206"/>
      <c r="VXS91" s="207"/>
      <c r="VXT91" s="207"/>
      <c r="VXU91" s="208"/>
      <c r="VXV91" s="209"/>
      <c r="VXW91" s="207"/>
      <c r="VXX91" s="210"/>
      <c r="VXY91" s="209"/>
      <c r="VXZ91" s="204"/>
      <c r="VYA91" s="204"/>
      <c r="VYB91" s="204"/>
      <c r="VYC91" s="199"/>
      <c r="VYD91" s="167"/>
      <c r="VYE91" s="199"/>
      <c r="VYF91" s="200"/>
      <c r="VYG91" s="201"/>
      <c r="VYH91" s="202"/>
      <c r="VYI91" s="202"/>
      <c r="VYJ91" s="202"/>
      <c r="VYK91" s="202"/>
      <c r="VYL91" s="203"/>
      <c r="VYM91" s="204"/>
      <c r="VYN91" s="204"/>
      <c r="VYO91" s="204"/>
      <c r="VYP91" s="205"/>
      <c r="VYQ91" s="206"/>
      <c r="VYR91" s="207"/>
      <c r="VYS91" s="207"/>
      <c r="VYT91" s="208"/>
      <c r="VYU91" s="209"/>
      <c r="VYV91" s="207"/>
      <c r="VYW91" s="210"/>
      <c r="VYX91" s="209"/>
      <c r="VYY91" s="204"/>
      <c r="VYZ91" s="204"/>
      <c r="VZA91" s="204"/>
      <c r="VZB91" s="199"/>
      <c r="VZC91" s="167"/>
      <c r="VZD91" s="199"/>
      <c r="VZE91" s="200"/>
      <c r="VZF91" s="201"/>
      <c r="VZG91" s="202"/>
      <c r="VZH91" s="202"/>
      <c r="VZI91" s="202"/>
      <c r="VZJ91" s="202"/>
      <c r="VZK91" s="203"/>
      <c r="VZL91" s="204"/>
      <c r="VZM91" s="204"/>
      <c r="VZN91" s="204"/>
      <c r="VZO91" s="205"/>
      <c r="VZP91" s="206"/>
      <c r="VZQ91" s="207"/>
      <c r="VZR91" s="207"/>
      <c r="VZS91" s="208"/>
      <c r="VZT91" s="209"/>
      <c r="VZU91" s="207"/>
      <c r="VZV91" s="210"/>
      <c r="VZW91" s="209"/>
      <c r="VZX91" s="204"/>
      <c r="VZY91" s="204"/>
      <c r="VZZ91" s="204"/>
      <c r="WAA91" s="199"/>
      <c r="WAB91" s="167"/>
      <c r="WAC91" s="199"/>
      <c r="WAD91" s="200"/>
      <c r="WAE91" s="201"/>
      <c r="WAF91" s="202"/>
      <c r="WAG91" s="202"/>
      <c r="WAH91" s="202"/>
      <c r="WAI91" s="202"/>
      <c r="WAJ91" s="203"/>
      <c r="WAK91" s="204"/>
      <c r="WAL91" s="204"/>
      <c r="WAM91" s="204"/>
      <c r="WAN91" s="205"/>
      <c r="WAO91" s="206"/>
      <c r="WAP91" s="207"/>
      <c r="WAQ91" s="207"/>
      <c r="WAR91" s="208"/>
      <c r="WAS91" s="209"/>
      <c r="WAT91" s="207"/>
      <c r="WAU91" s="210"/>
      <c r="WAV91" s="209"/>
      <c r="WAW91" s="204"/>
      <c r="WAX91" s="204"/>
      <c r="WAY91" s="204"/>
      <c r="WAZ91" s="199"/>
      <c r="WBA91" s="167"/>
      <c r="WBB91" s="199"/>
      <c r="WBC91" s="200"/>
      <c r="WBD91" s="201"/>
      <c r="WBE91" s="202"/>
      <c r="WBF91" s="202"/>
      <c r="WBG91" s="202"/>
      <c r="WBH91" s="202"/>
      <c r="WBI91" s="203"/>
      <c r="WBJ91" s="204"/>
      <c r="WBK91" s="204"/>
      <c r="WBL91" s="204"/>
      <c r="WBM91" s="205"/>
      <c r="WBN91" s="206"/>
      <c r="WBO91" s="207"/>
      <c r="WBP91" s="207"/>
      <c r="WBQ91" s="208"/>
      <c r="WBR91" s="209"/>
      <c r="WBS91" s="207"/>
      <c r="WBT91" s="210"/>
      <c r="WBU91" s="209"/>
      <c r="WBV91" s="204"/>
      <c r="WBW91" s="204"/>
      <c r="WBX91" s="204"/>
      <c r="WBY91" s="199"/>
      <c r="WBZ91" s="167"/>
      <c r="WCA91" s="199"/>
      <c r="WCB91" s="200"/>
      <c r="WCC91" s="201"/>
      <c r="WCD91" s="202"/>
      <c r="WCE91" s="202"/>
      <c r="WCF91" s="202"/>
      <c r="WCG91" s="202"/>
      <c r="WCH91" s="203"/>
      <c r="WCI91" s="204"/>
      <c r="WCJ91" s="204"/>
      <c r="WCK91" s="204"/>
      <c r="WCL91" s="205"/>
      <c r="WCM91" s="206"/>
      <c r="WCN91" s="207"/>
      <c r="WCO91" s="207"/>
      <c r="WCP91" s="208"/>
      <c r="WCQ91" s="209"/>
      <c r="WCR91" s="207"/>
      <c r="WCS91" s="210"/>
      <c r="WCT91" s="209"/>
      <c r="WCU91" s="204"/>
      <c r="WCV91" s="204"/>
      <c r="WCW91" s="204"/>
      <c r="WCX91" s="199"/>
      <c r="WCY91" s="167"/>
      <c r="WCZ91" s="199"/>
      <c r="WDA91" s="200"/>
      <c r="WDB91" s="201"/>
      <c r="WDC91" s="202"/>
      <c r="WDD91" s="202"/>
      <c r="WDE91" s="202"/>
      <c r="WDF91" s="202"/>
      <c r="WDG91" s="203"/>
      <c r="WDH91" s="204"/>
      <c r="WDI91" s="204"/>
      <c r="WDJ91" s="204"/>
      <c r="WDK91" s="205"/>
      <c r="WDL91" s="206"/>
      <c r="WDM91" s="207"/>
      <c r="WDN91" s="207"/>
      <c r="WDO91" s="208"/>
      <c r="WDP91" s="209"/>
      <c r="WDQ91" s="207"/>
      <c r="WDR91" s="210"/>
      <c r="WDS91" s="209"/>
      <c r="WDT91" s="204"/>
      <c r="WDU91" s="204"/>
      <c r="WDV91" s="204"/>
      <c r="WDW91" s="199"/>
      <c r="WDX91" s="167"/>
      <c r="WDY91" s="199"/>
      <c r="WDZ91" s="200"/>
      <c r="WEA91" s="201"/>
      <c r="WEB91" s="202"/>
      <c r="WEC91" s="202"/>
      <c r="WED91" s="202"/>
      <c r="WEE91" s="202"/>
      <c r="WEF91" s="203"/>
      <c r="WEG91" s="204"/>
      <c r="WEH91" s="204"/>
      <c r="WEI91" s="204"/>
      <c r="WEJ91" s="205"/>
      <c r="WEK91" s="206"/>
      <c r="WEL91" s="207"/>
      <c r="WEM91" s="207"/>
      <c r="WEN91" s="208"/>
      <c r="WEO91" s="209"/>
      <c r="WEP91" s="207"/>
      <c r="WEQ91" s="210"/>
      <c r="WER91" s="209"/>
      <c r="WES91" s="204"/>
      <c r="WET91" s="204"/>
      <c r="WEU91" s="204"/>
      <c r="WEV91" s="199"/>
      <c r="WEW91" s="167"/>
      <c r="WEX91" s="199"/>
      <c r="WEY91" s="200"/>
      <c r="WEZ91" s="201"/>
      <c r="WFA91" s="202"/>
      <c r="WFB91" s="202"/>
      <c r="WFC91" s="202"/>
      <c r="WFD91" s="202"/>
      <c r="WFE91" s="203"/>
      <c r="WFF91" s="204"/>
      <c r="WFG91" s="204"/>
      <c r="WFH91" s="204"/>
      <c r="WFI91" s="205"/>
      <c r="WFJ91" s="206"/>
      <c r="WFK91" s="207"/>
      <c r="WFL91" s="207"/>
      <c r="WFM91" s="208"/>
      <c r="WFN91" s="209"/>
      <c r="WFO91" s="207"/>
      <c r="WFP91" s="210"/>
      <c r="WFQ91" s="209"/>
      <c r="WFR91" s="204"/>
      <c r="WFS91" s="204"/>
      <c r="WFT91" s="204"/>
      <c r="WFU91" s="199"/>
      <c r="WFV91" s="167"/>
      <c r="WFW91" s="199"/>
      <c r="WFX91" s="200"/>
      <c r="WFY91" s="201"/>
      <c r="WFZ91" s="202"/>
      <c r="WGA91" s="202"/>
      <c r="WGB91" s="202"/>
      <c r="WGC91" s="202"/>
      <c r="WGD91" s="203"/>
      <c r="WGE91" s="204"/>
      <c r="WGF91" s="204"/>
      <c r="WGG91" s="204"/>
      <c r="WGH91" s="205"/>
      <c r="WGI91" s="206"/>
      <c r="WGJ91" s="207"/>
      <c r="WGK91" s="207"/>
      <c r="WGL91" s="208"/>
      <c r="WGM91" s="209"/>
      <c r="WGN91" s="207"/>
      <c r="WGO91" s="210"/>
      <c r="WGP91" s="209"/>
      <c r="WGQ91" s="204"/>
      <c r="WGR91" s="204"/>
      <c r="WGS91" s="204"/>
      <c r="WGT91" s="199"/>
      <c r="WGU91" s="167"/>
      <c r="WGV91" s="199"/>
      <c r="WGW91" s="200"/>
      <c r="WGX91" s="201"/>
      <c r="WGY91" s="202"/>
      <c r="WGZ91" s="202"/>
      <c r="WHA91" s="202"/>
      <c r="WHB91" s="202"/>
      <c r="WHC91" s="203"/>
      <c r="WHD91" s="204"/>
      <c r="WHE91" s="204"/>
      <c r="WHF91" s="204"/>
      <c r="WHG91" s="205"/>
      <c r="WHH91" s="206"/>
      <c r="WHI91" s="207"/>
      <c r="WHJ91" s="207"/>
      <c r="WHK91" s="208"/>
      <c r="WHL91" s="209"/>
      <c r="WHM91" s="207"/>
      <c r="WHN91" s="210"/>
      <c r="WHO91" s="209"/>
      <c r="WHP91" s="204"/>
      <c r="WHQ91" s="204"/>
      <c r="WHR91" s="204"/>
      <c r="WHS91" s="199"/>
      <c r="WHT91" s="167"/>
      <c r="WHU91" s="199"/>
      <c r="WHV91" s="200"/>
      <c r="WHW91" s="201"/>
      <c r="WHX91" s="202"/>
      <c r="WHY91" s="202"/>
      <c r="WHZ91" s="202"/>
      <c r="WIA91" s="202"/>
      <c r="WIB91" s="203"/>
      <c r="WIC91" s="204"/>
      <c r="WID91" s="204"/>
      <c r="WIE91" s="204"/>
      <c r="WIF91" s="205"/>
      <c r="WIG91" s="206"/>
      <c r="WIH91" s="207"/>
      <c r="WII91" s="207"/>
      <c r="WIJ91" s="208"/>
      <c r="WIK91" s="209"/>
      <c r="WIL91" s="207"/>
      <c r="WIM91" s="210"/>
      <c r="WIN91" s="209"/>
      <c r="WIO91" s="204"/>
      <c r="WIP91" s="204"/>
      <c r="WIQ91" s="204"/>
      <c r="WIR91" s="199"/>
      <c r="WIS91" s="167"/>
      <c r="WIT91" s="199"/>
      <c r="WIU91" s="200"/>
      <c r="WIV91" s="201"/>
      <c r="WIW91" s="202"/>
      <c r="WIX91" s="202"/>
      <c r="WIY91" s="202"/>
      <c r="WIZ91" s="202"/>
      <c r="WJA91" s="203"/>
      <c r="WJB91" s="204"/>
      <c r="WJC91" s="204"/>
      <c r="WJD91" s="204"/>
      <c r="WJE91" s="205"/>
      <c r="WJF91" s="206"/>
      <c r="WJG91" s="207"/>
      <c r="WJH91" s="207"/>
      <c r="WJI91" s="208"/>
      <c r="WJJ91" s="209"/>
      <c r="WJK91" s="207"/>
      <c r="WJL91" s="210"/>
      <c r="WJM91" s="209"/>
      <c r="WJN91" s="204"/>
      <c r="WJO91" s="204"/>
      <c r="WJP91" s="204"/>
      <c r="WJQ91" s="199"/>
      <c r="WJR91" s="167"/>
      <c r="WJS91" s="199"/>
      <c r="WJT91" s="200"/>
      <c r="WJU91" s="201"/>
      <c r="WJV91" s="202"/>
      <c r="WJW91" s="202"/>
      <c r="WJX91" s="202"/>
      <c r="WJY91" s="202"/>
      <c r="WJZ91" s="203"/>
      <c r="WKA91" s="204"/>
      <c r="WKB91" s="204"/>
      <c r="WKC91" s="204"/>
      <c r="WKD91" s="205"/>
      <c r="WKE91" s="206"/>
      <c r="WKF91" s="207"/>
      <c r="WKG91" s="207"/>
      <c r="WKH91" s="208"/>
      <c r="WKI91" s="209"/>
      <c r="WKJ91" s="207"/>
      <c r="WKK91" s="210"/>
      <c r="WKL91" s="209"/>
      <c r="WKM91" s="204"/>
      <c r="WKN91" s="204"/>
      <c r="WKO91" s="204"/>
      <c r="WKP91" s="199"/>
      <c r="WKQ91" s="167"/>
      <c r="WKR91" s="199"/>
      <c r="WKS91" s="200"/>
      <c r="WKT91" s="201"/>
      <c r="WKU91" s="202"/>
      <c r="WKV91" s="202"/>
      <c r="WKW91" s="202"/>
      <c r="WKX91" s="202"/>
      <c r="WKY91" s="203"/>
      <c r="WKZ91" s="204"/>
      <c r="WLA91" s="204"/>
      <c r="WLB91" s="204"/>
      <c r="WLC91" s="205"/>
      <c r="WLD91" s="206"/>
      <c r="WLE91" s="207"/>
      <c r="WLF91" s="207"/>
      <c r="WLG91" s="208"/>
      <c r="WLH91" s="209"/>
      <c r="WLI91" s="207"/>
      <c r="WLJ91" s="210"/>
      <c r="WLK91" s="209"/>
      <c r="WLL91" s="204"/>
      <c r="WLM91" s="204"/>
      <c r="WLN91" s="204"/>
      <c r="WLO91" s="199"/>
      <c r="WLP91" s="167"/>
      <c r="WLQ91" s="199"/>
      <c r="WLR91" s="200"/>
      <c r="WLS91" s="201"/>
      <c r="WLT91" s="202"/>
      <c r="WLU91" s="202"/>
      <c r="WLV91" s="202"/>
      <c r="WLW91" s="202"/>
      <c r="WLX91" s="203"/>
      <c r="WLY91" s="204"/>
      <c r="WLZ91" s="204"/>
      <c r="WMA91" s="204"/>
      <c r="WMB91" s="205"/>
      <c r="WMC91" s="206"/>
      <c r="WMD91" s="207"/>
      <c r="WME91" s="207"/>
      <c r="WMF91" s="208"/>
      <c r="WMG91" s="209"/>
      <c r="WMH91" s="207"/>
      <c r="WMI91" s="210"/>
      <c r="WMJ91" s="209"/>
      <c r="WMK91" s="204"/>
      <c r="WML91" s="204"/>
      <c r="WMM91" s="204"/>
      <c r="WMN91" s="199"/>
      <c r="WMO91" s="167"/>
      <c r="WMP91" s="199"/>
      <c r="WMQ91" s="200"/>
      <c r="WMR91" s="201"/>
      <c r="WMS91" s="202"/>
      <c r="WMT91" s="202"/>
      <c r="WMU91" s="202"/>
      <c r="WMV91" s="202"/>
      <c r="WMW91" s="203"/>
      <c r="WMX91" s="204"/>
      <c r="WMY91" s="204"/>
      <c r="WMZ91" s="204"/>
      <c r="WNA91" s="205"/>
      <c r="WNB91" s="206"/>
      <c r="WNC91" s="207"/>
      <c r="WND91" s="207"/>
      <c r="WNE91" s="208"/>
      <c r="WNF91" s="209"/>
      <c r="WNG91" s="207"/>
      <c r="WNH91" s="210"/>
      <c r="WNI91" s="209"/>
      <c r="WNJ91" s="204"/>
      <c r="WNK91" s="204"/>
      <c r="WNL91" s="204"/>
      <c r="WNM91" s="199"/>
      <c r="WNN91" s="167"/>
      <c r="WNO91" s="199"/>
      <c r="WNP91" s="200"/>
      <c r="WNQ91" s="201"/>
      <c r="WNR91" s="202"/>
      <c r="WNS91" s="202"/>
      <c r="WNT91" s="202"/>
      <c r="WNU91" s="202"/>
      <c r="WNV91" s="203"/>
      <c r="WNW91" s="204"/>
      <c r="WNX91" s="204"/>
      <c r="WNY91" s="204"/>
      <c r="WNZ91" s="205"/>
      <c r="WOA91" s="206"/>
      <c r="WOB91" s="207"/>
      <c r="WOC91" s="207"/>
      <c r="WOD91" s="208"/>
      <c r="WOE91" s="209"/>
      <c r="WOF91" s="207"/>
      <c r="WOG91" s="210"/>
      <c r="WOH91" s="209"/>
      <c r="WOI91" s="204"/>
      <c r="WOJ91" s="204"/>
      <c r="WOK91" s="204"/>
      <c r="WOL91" s="199"/>
      <c r="WOM91" s="167"/>
      <c r="WON91" s="199"/>
      <c r="WOO91" s="200"/>
      <c r="WOP91" s="201"/>
      <c r="WOQ91" s="202"/>
      <c r="WOR91" s="202"/>
      <c r="WOS91" s="202"/>
      <c r="WOT91" s="202"/>
      <c r="WOU91" s="203"/>
      <c r="WOV91" s="204"/>
      <c r="WOW91" s="204"/>
      <c r="WOX91" s="204"/>
      <c r="WOY91" s="205"/>
      <c r="WOZ91" s="206"/>
      <c r="WPA91" s="207"/>
      <c r="WPB91" s="207"/>
      <c r="WPC91" s="208"/>
      <c r="WPD91" s="209"/>
      <c r="WPE91" s="207"/>
      <c r="WPF91" s="210"/>
      <c r="WPG91" s="209"/>
      <c r="WPH91" s="204"/>
      <c r="WPI91" s="204"/>
      <c r="WPJ91" s="204"/>
      <c r="WPK91" s="199"/>
      <c r="WPL91" s="167"/>
      <c r="WPM91" s="199"/>
      <c r="WPN91" s="200"/>
      <c r="WPO91" s="201"/>
      <c r="WPP91" s="202"/>
      <c r="WPQ91" s="202"/>
      <c r="WPR91" s="202"/>
      <c r="WPS91" s="202"/>
      <c r="WPT91" s="203"/>
      <c r="WPU91" s="204"/>
      <c r="WPV91" s="204"/>
      <c r="WPW91" s="204"/>
      <c r="WPX91" s="205"/>
      <c r="WPY91" s="206"/>
      <c r="WPZ91" s="207"/>
      <c r="WQA91" s="207"/>
      <c r="WQB91" s="208"/>
      <c r="WQC91" s="209"/>
      <c r="WQD91" s="207"/>
      <c r="WQE91" s="210"/>
      <c r="WQF91" s="209"/>
      <c r="WQG91" s="204"/>
      <c r="WQH91" s="204"/>
      <c r="WQI91" s="204"/>
      <c r="WQJ91" s="199"/>
      <c r="WQK91" s="167"/>
      <c r="WQL91" s="199"/>
      <c r="WQM91" s="200"/>
      <c r="WQN91" s="201"/>
      <c r="WQO91" s="202"/>
      <c r="WQP91" s="202"/>
      <c r="WQQ91" s="202"/>
      <c r="WQR91" s="202"/>
      <c r="WQS91" s="203"/>
      <c r="WQT91" s="204"/>
      <c r="WQU91" s="204"/>
      <c r="WQV91" s="204"/>
      <c r="WQW91" s="205"/>
      <c r="WQX91" s="206"/>
      <c r="WQY91" s="207"/>
      <c r="WQZ91" s="207"/>
      <c r="WRA91" s="208"/>
      <c r="WRB91" s="209"/>
      <c r="WRC91" s="207"/>
      <c r="WRD91" s="210"/>
      <c r="WRE91" s="209"/>
      <c r="WRF91" s="204"/>
      <c r="WRG91" s="204"/>
      <c r="WRH91" s="204"/>
      <c r="WRI91" s="199"/>
      <c r="WRJ91" s="167"/>
      <c r="WRK91" s="199"/>
      <c r="WRL91" s="200"/>
      <c r="WRM91" s="201"/>
      <c r="WRN91" s="202"/>
      <c r="WRO91" s="202"/>
      <c r="WRP91" s="202"/>
      <c r="WRQ91" s="202"/>
      <c r="WRR91" s="203"/>
      <c r="WRS91" s="204"/>
      <c r="WRT91" s="204"/>
      <c r="WRU91" s="204"/>
      <c r="WRV91" s="205"/>
      <c r="WRW91" s="206"/>
      <c r="WRX91" s="207"/>
      <c r="WRY91" s="207"/>
      <c r="WRZ91" s="208"/>
      <c r="WSA91" s="209"/>
      <c r="WSB91" s="207"/>
      <c r="WSC91" s="210"/>
      <c r="WSD91" s="209"/>
      <c r="WSE91" s="204"/>
      <c r="WSF91" s="204"/>
      <c r="WSG91" s="204"/>
      <c r="WSH91" s="199"/>
      <c r="WSI91" s="167"/>
      <c r="WSJ91" s="199"/>
      <c r="WSK91" s="200"/>
      <c r="WSL91" s="201"/>
      <c r="WSM91" s="202"/>
      <c r="WSN91" s="202"/>
      <c r="WSO91" s="202"/>
      <c r="WSP91" s="202"/>
      <c r="WSQ91" s="203"/>
      <c r="WSR91" s="204"/>
      <c r="WSS91" s="204"/>
      <c r="WST91" s="204"/>
      <c r="WSU91" s="205"/>
      <c r="WSV91" s="206"/>
      <c r="WSW91" s="207"/>
      <c r="WSX91" s="207"/>
      <c r="WSY91" s="208"/>
      <c r="WSZ91" s="209"/>
      <c r="WTA91" s="207"/>
      <c r="WTB91" s="210"/>
      <c r="WTC91" s="209"/>
      <c r="WTD91" s="204"/>
      <c r="WTE91" s="204"/>
      <c r="WTF91" s="204"/>
      <c r="WTG91" s="199"/>
      <c r="WTH91" s="167"/>
      <c r="WTI91" s="199"/>
      <c r="WTJ91" s="200"/>
      <c r="WTK91" s="201"/>
      <c r="WTL91" s="202"/>
      <c r="WTM91" s="202"/>
      <c r="WTN91" s="202"/>
      <c r="WTO91" s="202"/>
      <c r="WTP91" s="203"/>
      <c r="WTQ91" s="204"/>
      <c r="WTR91" s="204"/>
      <c r="WTS91" s="204"/>
      <c r="WTT91" s="205"/>
      <c r="WTU91" s="206"/>
      <c r="WTV91" s="207"/>
      <c r="WTW91" s="207"/>
      <c r="WTX91" s="208"/>
      <c r="WTY91" s="209"/>
      <c r="WTZ91" s="207"/>
      <c r="WUA91" s="210"/>
      <c r="WUB91" s="209"/>
      <c r="WUC91" s="204"/>
      <c r="WUD91" s="204"/>
      <c r="WUE91" s="204"/>
      <c r="WUF91" s="199"/>
      <c r="WUG91" s="167"/>
      <c r="WUH91" s="199"/>
      <c r="WUI91" s="200"/>
      <c r="WUJ91" s="201"/>
      <c r="WUK91" s="202"/>
      <c r="WUL91" s="202"/>
      <c r="WUM91" s="202"/>
      <c r="WUN91" s="202"/>
      <c r="WUO91" s="203"/>
      <c r="WUP91" s="204"/>
      <c r="WUQ91" s="204"/>
      <c r="WUR91" s="204"/>
      <c r="WUS91" s="205"/>
      <c r="WUT91" s="206"/>
      <c r="WUU91" s="207"/>
      <c r="WUV91" s="207"/>
      <c r="WUW91" s="208"/>
      <c r="WUX91" s="209"/>
      <c r="WUY91" s="207"/>
      <c r="WUZ91" s="210"/>
      <c r="WVA91" s="209"/>
      <c r="WVB91" s="204"/>
      <c r="WVC91" s="204"/>
      <c r="WVD91" s="204"/>
      <c r="WVE91" s="199"/>
      <c r="WVF91" s="167"/>
      <c r="WVG91" s="199"/>
      <c r="WVH91" s="200"/>
      <c r="WVI91" s="201"/>
      <c r="WVJ91" s="202"/>
      <c r="WVK91" s="202"/>
      <c r="WVL91" s="202"/>
      <c r="WVM91" s="202"/>
      <c r="WVN91" s="203"/>
      <c r="WVO91" s="204"/>
      <c r="WVP91" s="204"/>
      <c r="WVQ91" s="204"/>
      <c r="WVR91" s="205"/>
      <c r="WVS91" s="206"/>
      <c r="WVT91" s="207"/>
      <c r="WVU91" s="207"/>
      <c r="WVV91" s="208"/>
      <c r="WVW91" s="209"/>
      <c r="WVX91" s="207"/>
      <c r="WVY91" s="210"/>
      <c r="WVZ91" s="209"/>
      <c r="WWA91" s="204"/>
      <c r="WWB91" s="204"/>
      <c r="WWC91" s="204"/>
      <c r="WWD91" s="199"/>
      <c r="WWE91" s="167"/>
      <c r="WWF91" s="199"/>
      <c r="WWG91" s="200"/>
      <c r="WWH91" s="201"/>
      <c r="WWI91" s="202"/>
      <c r="WWJ91" s="202"/>
      <c r="WWK91" s="202"/>
      <c r="WWL91" s="202"/>
      <c r="WWM91" s="203"/>
      <c r="WWN91" s="204"/>
      <c r="WWO91" s="204"/>
      <c r="WWP91" s="204"/>
      <c r="WWQ91" s="205"/>
      <c r="WWR91" s="206"/>
      <c r="WWS91" s="207"/>
      <c r="WWT91" s="207"/>
      <c r="WWU91" s="208"/>
      <c r="WWV91" s="209"/>
      <c r="WWW91" s="207"/>
      <c r="WWX91" s="210"/>
      <c r="WWY91" s="209"/>
      <c r="WWZ91" s="204"/>
      <c r="WXA91" s="204"/>
      <c r="WXB91" s="204"/>
      <c r="WXC91" s="199"/>
      <c r="WXD91" s="167"/>
      <c r="WXE91" s="199"/>
      <c r="WXF91" s="200"/>
      <c r="WXG91" s="201"/>
      <c r="WXH91" s="202"/>
      <c r="WXI91" s="202"/>
      <c r="WXJ91" s="202"/>
      <c r="WXK91" s="202"/>
      <c r="WXL91" s="203"/>
      <c r="WXM91" s="204"/>
      <c r="WXN91" s="204"/>
      <c r="WXO91" s="204"/>
      <c r="WXP91" s="205"/>
      <c r="WXQ91" s="206"/>
      <c r="WXR91" s="207"/>
      <c r="WXS91" s="207"/>
      <c r="WXT91" s="208"/>
      <c r="WXU91" s="209"/>
      <c r="WXV91" s="207"/>
      <c r="WXW91" s="210"/>
      <c r="WXX91" s="209"/>
      <c r="WXY91" s="204"/>
      <c r="WXZ91" s="204"/>
      <c r="WYA91" s="204"/>
      <c r="WYB91" s="199"/>
      <c r="WYC91" s="167"/>
      <c r="WYD91" s="199"/>
      <c r="WYE91" s="200"/>
      <c r="WYF91" s="201"/>
      <c r="WYG91" s="202"/>
      <c r="WYH91" s="202"/>
      <c r="WYI91" s="202"/>
      <c r="WYJ91" s="202"/>
      <c r="WYK91" s="203"/>
      <c r="WYL91" s="204"/>
      <c r="WYM91" s="204"/>
      <c r="WYN91" s="204"/>
      <c r="WYO91" s="205"/>
      <c r="WYP91" s="206"/>
      <c r="WYQ91" s="207"/>
      <c r="WYR91" s="207"/>
      <c r="WYS91" s="208"/>
      <c r="WYT91" s="209"/>
      <c r="WYU91" s="207"/>
      <c r="WYV91" s="210"/>
      <c r="WYW91" s="209"/>
      <c r="WYX91" s="204"/>
      <c r="WYY91" s="204"/>
      <c r="WYZ91" s="204"/>
      <c r="WZA91" s="199"/>
      <c r="WZB91" s="167"/>
      <c r="WZC91" s="199"/>
      <c r="WZD91" s="200"/>
      <c r="WZE91" s="201"/>
      <c r="WZF91" s="202"/>
      <c r="WZG91" s="202"/>
      <c r="WZH91" s="202"/>
      <c r="WZI91" s="202"/>
      <c r="WZJ91" s="203"/>
      <c r="WZK91" s="204"/>
      <c r="WZL91" s="204"/>
      <c r="WZM91" s="204"/>
      <c r="WZN91" s="205"/>
      <c r="WZO91" s="206"/>
      <c r="WZP91" s="207"/>
      <c r="WZQ91" s="207"/>
      <c r="WZR91" s="208"/>
      <c r="WZS91" s="209"/>
      <c r="WZT91" s="207"/>
      <c r="WZU91" s="210"/>
      <c r="WZV91" s="209"/>
      <c r="WZW91" s="204"/>
      <c r="WZX91" s="204"/>
      <c r="WZY91" s="204"/>
      <c r="WZZ91" s="199"/>
      <c r="XAA91" s="167"/>
      <c r="XAB91" s="199"/>
      <c r="XAC91" s="200"/>
      <c r="XAD91" s="201"/>
      <c r="XAE91" s="202"/>
      <c r="XAF91" s="202"/>
      <c r="XAG91" s="202"/>
      <c r="XAH91" s="202"/>
      <c r="XAI91" s="203"/>
      <c r="XAJ91" s="204"/>
      <c r="XAK91" s="204"/>
      <c r="XAL91" s="204"/>
      <c r="XAM91" s="205"/>
      <c r="XAN91" s="206"/>
      <c r="XAO91" s="207"/>
      <c r="XAP91" s="207"/>
      <c r="XAQ91" s="208"/>
      <c r="XAR91" s="209"/>
      <c r="XAS91" s="207"/>
      <c r="XAT91" s="210"/>
      <c r="XAU91" s="209"/>
      <c r="XAV91" s="204"/>
      <c r="XAW91" s="204"/>
      <c r="XAX91" s="204"/>
      <c r="XAY91" s="199"/>
      <c r="XAZ91" s="167"/>
      <c r="XBA91" s="199"/>
      <c r="XBB91" s="200"/>
      <c r="XBC91" s="201"/>
      <c r="XBD91" s="202"/>
      <c r="XBE91" s="202"/>
      <c r="XBF91" s="202"/>
      <c r="XBG91" s="202"/>
      <c r="XBH91" s="203"/>
      <c r="XBI91" s="204"/>
      <c r="XBJ91" s="204"/>
      <c r="XBK91" s="204"/>
      <c r="XBL91" s="205"/>
      <c r="XBM91" s="206"/>
      <c r="XBN91" s="207"/>
      <c r="XBO91" s="207"/>
      <c r="XBP91" s="208"/>
      <c r="XBQ91" s="209"/>
      <c r="XBR91" s="207"/>
      <c r="XBS91" s="210"/>
      <c r="XBT91" s="209"/>
      <c r="XBU91" s="204"/>
      <c r="XBV91" s="204"/>
      <c r="XBW91" s="204"/>
      <c r="XBX91" s="199"/>
      <c r="XBY91" s="167"/>
      <c r="XBZ91" s="199"/>
      <c r="XCA91" s="200"/>
      <c r="XCB91" s="201"/>
      <c r="XCC91" s="202"/>
      <c r="XCD91" s="202"/>
      <c r="XCE91" s="202"/>
      <c r="XCF91" s="202"/>
      <c r="XCG91" s="203"/>
      <c r="XCH91" s="204"/>
      <c r="XCI91" s="204"/>
      <c r="XCJ91" s="204"/>
      <c r="XCK91" s="205"/>
      <c r="XCL91" s="206"/>
      <c r="XCM91" s="207"/>
      <c r="XCN91" s="207"/>
      <c r="XCO91" s="208"/>
      <c r="XCP91" s="209"/>
      <c r="XCQ91" s="207"/>
      <c r="XCR91" s="210"/>
      <c r="XCS91" s="209"/>
      <c r="XCT91" s="204"/>
      <c r="XCU91" s="204"/>
      <c r="XCV91" s="204"/>
      <c r="XCW91" s="199"/>
      <c r="XCX91" s="167"/>
      <c r="XCY91" s="199"/>
      <c r="XCZ91" s="200"/>
      <c r="XDA91" s="201"/>
      <c r="XDB91" s="202"/>
      <c r="XDC91" s="202"/>
      <c r="XDD91" s="202"/>
      <c r="XDE91" s="202"/>
      <c r="XDF91" s="203"/>
      <c r="XDG91" s="204"/>
      <c r="XDH91" s="204"/>
      <c r="XDI91" s="204"/>
      <c r="XDJ91" s="205"/>
      <c r="XDK91" s="206"/>
      <c r="XDL91" s="207"/>
      <c r="XDM91" s="207"/>
      <c r="XDN91" s="208"/>
      <c r="XDO91" s="209"/>
      <c r="XDP91" s="207"/>
      <c r="XDQ91" s="210"/>
      <c r="XDR91" s="209"/>
      <c r="XDS91" s="204"/>
      <c r="XDT91" s="204"/>
      <c r="XDU91" s="204"/>
      <c r="XDV91" s="199"/>
      <c r="XDW91" s="167"/>
      <c r="XDX91" s="199"/>
      <c r="XDY91" s="200"/>
      <c r="XDZ91" s="201"/>
      <c r="XEA91" s="202"/>
      <c r="XEB91" s="202"/>
      <c r="XEC91" s="202"/>
      <c r="XED91" s="202"/>
      <c r="XEE91" s="203"/>
      <c r="XEF91" s="204"/>
      <c r="XEG91" s="204"/>
      <c r="XEH91" s="204"/>
      <c r="XEI91" s="205"/>
      <c r="XEJ91" s="206"/>
      <c r="XEK91" s="207"/>
      <c r="XEL91" s="207"/>
      <c r="XEM91" s="208"/>
      <c r="XEN91" s="209"/>
      <c r="XEO91" s="207"/>
      <c r="XEP91" s="210"/>
      <c r="XEQ91" s="209"/>
      <c r="XER91" s="204"/>
      <c r="XES91" s="204"/>
      <c r="XET91" s="204"/>
      <c r="XEU91" s="199"/>
      <c r="XEV91" s="167"/>
      <c r="XEW91" s="199"/>
      <c r="XEX91" s="200"/>
      <c r="XEY91" s="201"/>
      <c r="XEZ91" s="202"/>
      <c r="XFA91" s="202"/>
      <c r="XFB91" s="202"/>
      <c r="XFC91" s="202"/>
    </row>
    <row r="92" spans="1:16383" ht="165" x14ac:dyDescent="0.2">
      <c r="A92" s="38" t="s">
        <v>20</v>
      </c>
      <c r="B92" s="66">
        <f t="shared" si="91"/>
        <v>1</v>
      </c>
      <c r="C92" s="66">
        <v>77</v>
      </c>
      <c r="D92" s="70">
        <v>77</v>
      </c>
      <c r="E92" s="51" t="s">
        <v>233</v>
      </c>
      <c r="F92" s="7" t="s">
        <v>234</v>
      </c>
      <c r="G92" s="15">
        <v>3</v>
      </c>
      <c r="H92" s="12" t="s">
        <v>23</v>
      </c>
      <c r="I92" s="10">
        <v>5</v>
      </c>
      <c r="J92" s="11" t="s">
        <v>24</v>
      </c>
      <c r="K92" s="108">
        <v>5860001</v>
      </c>
      <c r="L92" s="151">
        <f>+K92*G92*I92</f>
        <v>87900015</v>
      </c>
      <c r="M92" s="126"/>
      <c r="N92" s="127"/>
      <c r="O92" s="108"/>
      <c r="P92" s="127"/>
      <c r="Q92" s="165">
        <f>+AVERAGE(K92,M92,O92)</f>
        <v>5860001</v>
      </c>
      <c r="R92" s="166">
        <f>+Q92*G92*I92</f>
        <v>87900015</v>
      </c>
      <c r="S92" s="222">
        <f>_xlfn.STDEV.P(K92,M92,O92)</f>
        <v>0</v>
      </c>
      <c r="T92" s="223">
        <f t="shared" ref="T92:T105" si="94">+S92/Q92</f>
        <v>0</v>
      </c>
      <c r="U92" s="224">
        <f>+MEDIAN(K92,M92,O92)</f>
        <v>5860001</v>
      </c>
      <c r="V92" s="225">
        <f>+U92*G92*I92</f>
        <v>87900015</v>
      </c>
      <c r="W92" s="149">
        <f t="shared" ref="W92:W105" si="95">+S92/U92</f>
        <v>0</v>
      </c>
      <c r="X92" s="316" t="s">
        <v>819</v>
      </c>
      <c r="Y92" s="137"/>
      <c r="Z92" s="138"/>
    </row>
    <row r="93" spans="1:16383" ht="165" x14ac:dyDescent="0.2">
      <c r="A93" s="38" t="s">
        <v>20</v>
      </c>
      <c r="B93" s="66">
        <f t="shared" si="91"/>
        <v>1</v>
      </c>
      <c r="C93" s="66">
        <v>78</v>
      </c>
      <c r="D93" s="70">
        <v>78</v>
      </c>
      <c r="E93" s="51" t="s">
        <v>235</v>
      </c>
      <c r="F93" s="7" t="s">
        <v>236</v>
      </c>
      <c r="G93" s="15">
        <v>2</v>
      </c>
      <c r="H93" s="12" t="s">
        <v>23</v>
      </c>
      <c r="I93" s="10">
        <v>5</v>
      </c>
      <c r="J93" s="11" t="s">
        <v>24</v>
      </c>
      <c r="K93" s="105">
        <v>5860001</v>
      </c>
      <c r="L93" s="106">
        <f>+K93*G93*I93</f>
        <v>58600010</v>
      </c>
      <c r="M93" s="122"/>
      <c r="N93" s="123"/>
      <c r="O93" s="105"/>
      <c r="P93" s="123"/>
      <c r="Q93" s="165">
        <f>+AVERAGE(K93,M93,O93)</f>
        <v>5860001</v>
      </c>
      <c r="R93" s="166">
        <f>+Q93*G93*I93</f>
        <v>58600010</v>
      </c>
      <c r="S93" s="222">
        <f>_xlfn.STDEV.P(K93,M93,O93)</f>
        <v>0</v>
      </c>
      <c r="T93" s="223">
        <f t="shared" si="94"/>
        <v>0</v>
      </c>
      <c r="U93" s="224">
        <f>+MEDIAN(K93,M93,O93)</f>
        <v>5860001</v>
      </c>
      <c r="V93" s="225">
        <f>+U93*G93*I93</f>
        <v>58600010</v>
      </c>
      <c r="W93" s="149">
        <f t="shared" si="95"/>
        <v>0</v>
      </c>
      <c r="X93" s="316" t="s">
        <v>819</v>
      </c>
      <c r="Y93" s="137"/>
      <c r="Z93" s="138"/>
    </row>
    <row r="94" spans="1:16383" ht="90" x14ac:dyDescent="0.2">
      <c r="A94" s="38" t="s">
        <v>20</v>
      </c>
      <c r="B94" s="66">
        <f t="shared" si="91"/>
        <v>1</v>
      </c>
      <c r="C94" s="66">
        <v>79</v>
      </c>
      <c r="D94" s="70">
        <v>79</v>
      </c>
      <c r="E94" s="51" t="s">
        <v>78</v>
      </c>
      <c r="F94" s="7" t="s">
        <v>79</v>
      </c>
      <c r="G94" s="15">
        <v>2</v>
      </c>
      <c r="H94" s="12" t="s">
        <v>23</v>
      </c>
      <c r="I94" s="10">
        <v>5</v>
      </c>
      <c r="J94" s="11" t="s">
        <v>24</v>
      </c>
      <c r="K94" s="105">
        <v>1602000</v>
      </c>
      <c r="L94" s="106">
        <f>+K94*G94*I94</f>
        <v>16020000</v>
      </c>
      <c r="M94" s="122"/>
      <c r="N94" s="123"/>
      <c r="O94" s="105"/>
      <c r="P94" s="123"/>
      <c r="Q94" s="165">
        <f>+AVERAGE(K94,M94,O94)</f>
        <v>1602000</v>
      </c>
      <c r="R94" s="166">
        <f>+Q94*G94*I94</f>
        <v>16020000</v>
      </c>
      <c r="S94" s="222">
        <f>_xlfn.STDEV.P(K94,M94,O94)</f>
        <v>0</v>
      </c>
      <c r="T94" s="223">
        <f t="shared" si="94"/>
        <v>0</v>
      </c>
      <c r="U94" s="224">
        <f>+MEDIAN(K94,M94,O94)</f>
        <v>1602000</v>
      </c>
      <c r="V94" s="225">
        <f>+U94*G94*I94</f>
        <v>16020000</v>
      </c>
      <c r="W94" s="149">
        <f t="shared" si="95"/>
        <v>0</v>
      </c>
      <c r="X94" s="316" t="s">
        <v>819</v>
      </c>
      <c r="Y94" s="137"/>
      <c r="Z94" s="138"/>
    </row>
    <row r="95" spans="1:16383" ht="120" x14ac:dyDescent="0.2">
      <c r="A95" s="38" t="s">
        <v>54</v>
      </c>
      <c r="B95" s="66">
        <f t="shared" si="91"/>
        <v>3</v>
      </c>
      <c r="C95" s="66">
        <v>80</v>
      </c>
      <c r="D95" s="70">
        <v>80</v>
      </c>
      <c r="E95" s="51" t="s">
        <v>237</v>
      </c>
      <c r="F95" s="7" t="s">
        <v>238</v>
      </c>
      <c r="G95" s="15">
        <v>160</v>
      </c>
      <c r="H95" s="12" t="s">
        <v>57</v>
      </c>
      <c r="I95" s="10"/>
      <c r="J95" s="11"/>
      <c r="K95" s="105">
        <f>+(10900*100)/119</f>
        <v>9159.6638655462193</v>
      </c>
      <c r="L95" s="121">
        <f t="shared" ref="L95:L104" si="96">K95*G95</f>
        <v>1465546.218487395</v>
      </c>
      <c r="M95" s="105">
        <f>+(8600*100)/119</f>
        <v>7226.8907563025214</v>
      </c>
      <c r="N95" s="121">
        <f t="shared" ref="N95:N104" si="97">G95*M95</f>
        <v>1156302.5210084035</v>
      </c>
      <c r="O95" s="105">
        <f>+(9900*100)/119</f>
        <v>8319.3277310924368</v>
      </c>
      <c r="P95" s="121">
        <f t="shared" ref="P95:P104" si="98">G95*O95</f>
        <v>1331092.4369747899</v>
      </c>
      <c r="Q95" s="165">
        <f t="shared" ref="Q95:Q105" si="99">+AVERAGE(K95,M95,O95)</f>
        <v>8235.2941176470576</v>
      </c>
      <c r="R95" s="166">
        <f>+Q95*G95</f>
        <v>1317647.0588235292</v>
      </c>
      <c r="S95" s="222">
        <f t="shared" ref="S95:S105" si="100">_xlfn.STDEV.P(K95,M95,O95)</f>
        <v>791.28554015829343</v>
      </c>
      <c r="T95" s="223">
        <f t="shared" si="94"/>
        <v>9.608467273350707E-2</v>
      </c>
      <c r="U95" s="224">
        <f t="shared" ref="U95:U105" si="101">+MEDIAN(K95,M95,O95)</f>
        <v>8319.3277310924368</v>
      </c>
      <c r="V95" s="225">
        <f>+U95*G95</f>
        <v>1331092.4369747899</v>
      </c>
      <c r="W95" s="149">
        <f t="shared" si="95"/>
        <v>9.5114120483673653E-2</v>
      </c>
      <c r="X95" s="570" t="s">
        <v>262</v>
      </c>
      <c r="Y95" s="576" t="s">
        <v>240</v>
      </c>
      <c r="Z95" s="571" t="s">
        <v>241</v>
      </c>
    </row>
    <row r="96" spans="1:16383" ht="409.6" x14ac:dyDescent="0.2">
      <c r="A96" s="38" t="s">
        <v>54</v>
      </c>
      <c r="B96" s="66">
        <f t="shared" si="91"/>
        <v>3</v>
      </c>
      <c r="C96" s="66">
        <v>81</v>
      </c>
      <c r="D96" s="70">
        <v>81</v>
      </c>
      <c r="E96" s="51" t="s">
        <v>242</v>
      </c>
      <c r="F96" s="7" t="s">
        <v>243</v>
      </c>
      <c r="G96" s="15">
        <v>160</v>
      </c>
      <c r="H96" s="12" t="s">
        <v>57</v>
      </c>
      <c r="I96" s="10"/>
      <c r="J96" s="11"/>
      <c r="K96" s="105">
        <f>+(113000*100)/119</f>
        <v>94957.983193277309</v>
      </c>
      <c r="L96" s="121">
        <f t="shared" si="96"/>
        <v>15193277.31092437</v>
      </c>
      <c r="M96" s="105">
        <f>+(130000*100)/119</f>
        <v>109243.6974789916</v>
      </c>
      <c r="N96" s="121">
        <f t="shared" si="97"/>
        <v>17478991.596638657</v>
      </c>
      <c r="O96" s="105">
        <f>+(139900*100)/119</f>
        <v>117563.02521008403</v>
      </c>
      <c r="P96" s="121">
        <f t="shared" si="98"/>
        <v>18810084.033613443</v>
      </c>
      <c r="Q96" s="165">
        <f t="shared" si="99"/>
        <v>107254.90196078432</v>
      </c>
      <c r="R96" s="166">
        <f t="shared" ref="R96:R98" si="102">+Q96*G96</f>
        <v>17160784.31372549</v>
      </c>
      <c r="S96" s="222">
        <f t="shared" si="100"/>
        <v>9335.004440467801</v>
      </c>
      <c r="T96" s="223">
        <f t="shared" si="94"/>
        <v>8.7035690395586437E-2</v>
      </c>
      <c r="U96" s="224">
        <f t="shared" si="101"/>
        <v>109243.6974789916</v>
      </c>
      <c r="V96" s="225">
        <f t="shared" ref="V96:V98" si="103">+U96*G96</f>
        <v>17478991.596638657</v>
      </c>
      <c r="W96" s="149">
        <f t="shared" si="95"/>
        <v>8.5451194493512947E-2</v>
      </c>
      <c r="X96" s="570" t="s">
        <v>244</v>
      </c>
      <c r="Y96" s="576" t="s">
        <v>245</v>
      </c>
      <c r="Z96" s="571" t="s">
        <v>246</v>
      </c>
    </row>
    <row r="97" spans="1:16383" ht="240" x14ac:dyDescent="0.2">
      <c r="A97" s="38" t="s">
        <v>54</v>
      </c>
      <c r="B97" s="66">
        <f t="shared" si="91"/>
        <v>3</v>
      </c>
      <c r="C97" s="66">
        <v>82</v>
      </c>
      <c r="D97" s="70">
        <v>82</v>
      </c>
      <c r="E97" s="51" t="s">
        <v>247</v>
      </c>
      <c r="F97" s="7" t="s">
        <v>248</v>
      </c>
      <c r="G97" s="15">
        <v>160</v>
      </c>
      <c r="H97" s="12" t="s">
        <v>57</v>
      </c>
      <c r="I97" s="10"/>
      <c r="J97" s="11"/>
      <c r="K97" s="105">
        <f>+(24900*100)/119</f>
        <v>20924.36974789916</v>
      </c>
      <c r="L97" s="121">
        <f t="shared" si="96"/>
        <v>3347899.1596638653</v>
      </c>
      <c r="M97" s="105">
        <f>+(29000*100)/119</f>
        <v>24369.747899159665</v>
      </c>
      <c r="N97" s="121">
        <f t="shared" si="97"/>
        <v>3899159.6638655467</v>
      </c>
      <c r="O97" s="105">
        <f>+(28500*100)/119</f>
        <v>23949.579831932773</v>
      </c>
      <c r="P97" s="121">
        <f t="shared" si="98"/>
        <v>3831932.7731092437</v>
      </c>
      <c r="Q97" s="165">
        <f t="shared" si="99"/>
        <v>23081.232492997198</v>
      </c>
      <c r="R97" s="166">
        <f t="shared" si="102"/>
        <v>3692997.1988795516</v>
      </c>
      <c r="S97" s="222">
        <f t="shared" si="100"/>
        <v>1534.7481828350394</v>
      </c>
      <c r="T97" s="223">
        <f t="shared" si="94"/>
        <v>6.6493337533022945E-2</v>
      </c>
      <c r="U97" s="224">
        <f t="shared" si="101"/>
        <v>23949.579831932773</v>
      </c>
      <c r="V97" s="225">
        <f t="shared" si="103"/>
        <v>3831932.7731092437</v>
      </c>
      <c r="W97" s="149">
        <f t="shared" si="95"/>
        <v>6.4082467985041996E-2</v>
      </c>
      <c r="X97" s="570" t="s">
        <v>249</v>
      </c>
      <c r="Y97" s="576" t="s">
        <v>239</v>
      </c>
      <c r="Z97" s="571" t="s">
        <v>240</v>
      </c>
    </row>
    <row r="98" spans="1:16383" ht="225" x14ac:dyDescent="0.2">
      <c r="A98" s="38" t="s">
        <v>54</v>
      </c>
      <c r="B98" s="66">
        <f t="shared" si="91"/>
        <v>3</v>
      </c>
      <c r="C98" s="66">
        <v>83</v>
      </c>
      <c r="D98" s="70">
        <v>83</v>
      </c>
      <c r="E98" s="51" t="s">
        <v>850</v>
      </c>
      <c r="F98" s="7" t="s">
        <v>888</v>
      </c>
      <c r="G98" s="15">
        <v>160</v>
      </c>
      <c r="H98" s="12" t="s">
        <v>57</v>
      </c>
      <c r="I98" s="10"/>
      <c r="J98" s="11"/>
      <c r="K98" s="105">
        <v>109000</v>
      </c>
      <c r="L98" s="121">
        <f t="shared" si="96"/>
        <v>17440000</v>
      </c>
      <c r="M98" s="105">
        <v>109000</v>
      </c>
      <c r="N98" s="121">
        <f t="shared" si="97"/>
        <v>17440000</v>
      </c>
      <c r="O98" s="105">
        <v>109000</v>
      </c>
      <c r="P98" s="121">
        <f t="shared" si="98"/>
        <v>17440000</v>
      </c>
      <c r="Q98" s="165">
        <f t="shared" si="99"/>
        <v>109000</v>
      </c>
      <c r="R98" s="166">
        <f t="shared" si="102"/>
        <v>17440000</v>
      </c>
      <c r="S98" s="222">
        <f t="shared" si="100"/>
        <v>0</v>
      </c>
      <c r="T98" s="223">
        <f t="shared" si="94"/>
        <v>0</v>
      </c>
      <c r="U98" s="224">
        <f t="shared" si="101"/>
        <v>109000</v>
      </c>
      <c r="V98" s="225">
        <f t="shared" si="103"/>
        <v>17440000</v>
      </c>
      <c r="W98" s="149">
        <f t="shared" si="95"/>
        <v>0</v>
      </c>
      <c r="X98" s="139" t="s">
        <v>103</v>
      </c>
      <c r="Y98" s="137" t="s">
        <v>759</v>
      </c>
      <c r="Z98" s="138" t="s">
        <v>752</v>
      </c>
    </row>
    <row r="99" spans="1:16383" ht="90" x14ac:dyDescent="0.2">
      <c r="A99" s="38" t="s">
        <v>54</v>
      </c>
      <c r="B99" s="66">
        <f t="shared" si="91"/>
        <v>3</v>
      </c>
      <c r="C99" s="66">
        <v>84</v>
      </c>
      <c r="D99" s="70">
        <v>84</v>
      </c>
      <c r="E99" s="51" t="s">
        <v>252</v>
      </c>
      <c r="F99" s="7" t="s">
        <v>253</v>
      </c>
      <c r="G99" s="15">
        <v>160</v>
      </c>
      <c r="H99" s="12" t="s">
        <v>57</v>
      </c>
      <c r="I99" s="10"/>
      <c r="J99" s="11"/>
      <c r="K99" s="105">
        <f>+(33320*100)/119</f>
        <v>28000</v>
      </c>
      <c r="L99" s="121">
        <f t="shared" si="96"/>
        <v>4480000</v>
      </c>
      <c r="M99" s="105">
        <f>+(25000*5.35%)+25000</f>
        <v>26337.5</v>
      </c>
      <c r="N99" s="121">
        <f t="shared" si="97"/>
        <v>4214000</v>
      </c>
      <c r="O99" s="105">
        <f>+(11900*100)/119</f>
        <v>10000</v>
      </c>
      <c r="P99" s="121">
        <f t="shared" si="98"/>
        <v>1600000</v>
      </c>
      <c r="Q99" s="165">
        <f t="shared" si="99"/>
        <v>21445.833333333332</v>
      </c>
      <c r="R99" s="166">
        <f>+Q99*G99</f>
        <v>3431333.333333333</v>
      </c>
      <c r="S99" s="222">
        <f t="shared" si="100"/>
        <v>8121.8348535838186</v>
      </c>
      <c r="T99" s="223">
        <f t="shared" si="94"/>
        <v>0.37871388476007706</v>
      </c>
      <c r="U99" s="224">
        <f t="shared" si="101"/>
        <v>26337.5</v>
      </c>
      <c r="V99" s="225">
        <f>+U99*G99</f>
        <v>4214000</v>
      </c>
      <c r="W99" s="149">
        <f t="shared" si="95"/>
        <v>0.3083753148014739</v>
      </c>
      <c r="X99" s="139" t="s">
        <v>729</v>
      </c>
      <c r="Y99" s="572" t="s">
        <v>732</v>
      </c>
      <c r="Z99" s="573" t="s">
        <v>733</v>
      </c>
    </row>
    <row r="100" spans="1:16383" ht="105" x14ac:dyDescent="0.2">
      <c r="A100" s="38" t="s">
        <v>54</v>
      </c>
      <c r="B100" s="66">
        <f t="shared" si="91"/>
        <v>3</v>
      </c>
      <c r="C100" s="66">
        <v>85</v>
      </c>
      <c r="D100" s="70">
        <v>85</v>
      </c>
      <c r="E100" s="51" t="s">
        <v>254</v>
      </c>
      <c r="F100" s="7" t="s">
        <v>255</v>
      </c>
      <c r="G100" s="15">
        <v>160</v>
      </c>
      <c r="H100" s="12" t="s">
        <v>57</v>
      </c>
      <c r="I100" s="10"/>
      <c r="J100" s="11"/>
      <c r="K100" s="105">
        <v>12000</v>
      </c>
      <c r="L100" s="121">
        <f t="shared" si="96"/>
        <v>1920000</v>
      </c>
      <c r="M100" s="105">
        <f>+(11781*100)/119</f>
        <v>9900</v>
      </c>
      <c r="N100" s="121">
        <f t="shared" si="97"/>
        <v>1584000</v>
      </c>
      <c r="O100" s="105">
        <f>+(6693*100)/119</f>
        <v>5624.3697478991598</v>
      </c>
      <c r="P100" s="121">
        <f t="shared" si="98"/>
        <v>899899.15966386558</v>
      </c>
      <c r="Q100" s="165">
        <f t="shared" si="99"/>
        <v>9174.7899159663866</v>
      </c>
      <c r="R100" s="166">
        <f t="shared" ref="R100:R103" si="104">+Q100*G100</f>
        <v>1467966.3865546219</v>
      </c>
      <c r="S100" s="222">
        <f t="shared" si="100"/>
        <v>2652.8742308879346</v>
      </c>
      <c r="T100" s="223">
        <f t="shared" si="94"/>
        <v>0.2891482263012129</v>
      </c>
      <c r="U100" s="224">
        <f t="shared" si="101"/>
        <v>9900</v>
      </c>
      <c r="V100" s="225">
        <f t="shared" ref="V100:V103" si="105">+U100*G100</f>
        <v>1584000</v>
      </c>
      <c r="W100" s="149">
        <f t="shared" si="95"/>
        <v>0.26796709402908431</v>
      </c>
      <c r="X100" s="570" t="s">
        <v>113</v>
      </c>
      <c r="Y100" s="576" t="s">
        <v>114</v>
      </c>
      <c r="Z100" s="571" t="s">
        <v>256</v>
      </c>
    </row>
    <row r="101" spans="1:16383" ht="150" x14ac:dyDescent="0.2">
      <c r="A101" s="38" t="s">
        <v>54</v>
      </c>
      <c r="B101" s="66">
        <f t="shared" si="91"/>
        <v>3</v>
      </c>
      <c r="C101" s="66">
        <v>86</v>
      </c>
      <c r="D101" s="70">
        <v>86</v>
      </c>
      <c r="E101" s="51" t="s">
        <v>257</v>
      </c>
      <c r="F101" s="7" t="s">
        <v>258</v>
      </c>
      <c r="G101" s="15">
        <v>80</v>
      </c>
      <c r="H101" s="12" t="s">
        <v>64</v>
      </c>
      <c r="I101" s="10"/>
      <c r="J101" s="11"/>
      <c r="K101" s="105">
        <f>+(723520*100)/119</f>
        <v>608000</v>
      </c>
      <c r="L101" s="121">
        <f t="shared" si="96"/>
        <v>48640000</v>
      </c>
      <c r="M101" s="105">
        <v>150000</v>
      </c>
      <c r="N101" s="121">
        <f t="shared" si="97"/>
        <v>12000000</v>
      </c>
      <c r="O101" s="105">
        <v>500000</v>
      </c>
      <c r="P101" s="121">
        <f t="shared" si="98"/>
        <v>40000000</v>
      </c>
      <c r="Q101" s="165">
        <f t="shared" si="99"/>
        <v>419333.33333333331</v>
      </c>
      <c r="R101" s="166">
        <f t="shared" si="104"/>
        <v>33546666.666666664</v>
      </c>
      <c r="S101" s="222">
        <f t="shared" si="100"/>
        <v>195484.58308066707</v>
      </c>
      <c r="T101" s="223">
        <f t="shared" si="94"/>
        <v>0.46617945090779112</v>
      </c>
      <c r="U101" s="224">
        <f t="shared" si="101"/>
        <v>500000</v>
      </c>
      <c r="V101" s="225">
        <f t="shared" si="105"/>
        <v>40000000</v>
      </c>
      <c r="W101" s="149">
        <f t="shared" si="95"/>
        <v>0.39096916616133415</v>
      </c>
      <c r="X101" s="139" t="s">
        <v>820</v>
      </c>
      <c r="Y101" s="137" t="s">
        <v>759</v>
      </c>
      <c r="Z101" s="138" t="s">
        <v>752</v>
      </c>
    </row>
    <row r="102" spans="1:16383" ht="314" x14ac:dyDescent="0.2">
      <c r="A102" s="38" t="s">
        <v>54</v>
      </c>
      <c r="B102" s="66">
        <f t="shared" si="91"/>
        <v>3</v>
      </c>
      <c r="C102" s="66">
        <v>87</v>
      </c>
      <c r="D102" s="70">
        <v>87</v>
      </c>
      <c r="E102" s="51" t="s">
        <v>259</v>
      </c>
      <c r="F102" s="7" t="s">
        <v>260</v>
      </c>
      <c r="G102" s="15">
        <v>80</v>
      </c>
      <c r="H102" s="12" t="s">
        <v>57</v>
      </c>
      <c r="I102" s="10"/>
      <c r="J102" s="11"/>
      <c r="K102" s="105">
        <f>+(11900*100)/119</f>
        <v>10000</v>
      </c>
      <c r="L102" s="121">
        <f t="shared" si="96"/>
        <v>800000</v>
      </c>
      <c r="M102" s="105">
        <f>+(14000*100)/119</f>
        <v>11764.705882352941</v>
      </c>
      <c r="N102" s="121">
        <f t="shared" si="97"/>
        <v>941176.47058823518</v>
      </c>
      <c r="O102" s="105">
        <f>+(9900*100)/119</f>
        <v>8319.3277310924368</v>
      </c>
      <c r="P102" s="121">
        <f t="shared" si="98"/>
        <v>665546.21848739497</v>
      </c>
      <c r="Q102" s="165">
        <f t="shared" si="99"/>
        <v>10028.011204481792</v>
      </c>
      <c r="R102" s="166">
        <f t="shared" si="104"/>
        <v>802240.89635854342</v>
      </c>
      <c r="S102" s="222">
        <f t="shared" si="100"/>
        <v>1406.709190979245</v>
      </c>
      <c r="T102" s="223">
        <f t="shared" si="94"/>
        <v>0.14027798356971802</v>
      </c>
      <c r="U102" s="224">
        <f t="shared" si="101"/>
        <v>10000</v>
      </c>
      <c r="V102" s="225">
        <f t="shared" si="105"/>
        <v>800000</v>
      </c>
      <c r="W102" s="149">
        <f t="shared" si="95"/>
        <v>0.14067091909792451</v>
      </c>
      <c r="X102" s="570" t="s">
        <v>261</v>
      </c>
      <c r="Y102" s="576" t="s">
        <v>239</v>
      </c>
      <c r="Z102" s="571" t="s">
        <v>262</v>
      </c>
    </row>
    <row r="103" spans="1:16383" ht="120" x14ac:dyDescent="0.2">
      <c r="A103" s="38" t="s">
        <v>54</v>
      </c>
      <c r="B103" s="66">
        <f t="shared" si="91"/>
        <v>3</v>
      </c>
      <c r="C103" s="66">
        <v>88</v>
      </c>
      <c r="D103" s="70">
        <v>88</v>
      </c>
      <c r="E103" s="51" t="s">
        <v>263</v>
      </c>
      <c r="F103" s="7" t="s">
        <v>264</v>
      </c>
      <c r="G103" s="15">
        <v>80</v>
      </c>
      <c r="H103" s="12" t="s">
        <v>57</v>
      </c>
      <c r="I103" s="10"/>
      <c r="J103" s="11"/>
      <c r="K103" s="105">
        <f>+(59900*100)/119</f>
        <v>50336.134453781509</v>
      </c>
      <c r="L103" s="121">
        <f t="shared" si="96"/>
        <v>4026890.7563025206</v>
      </c>
      <c r="M103" s="105">
        <f>+(43600*100)/119</f>
        <v>36638.655462184877</v>
      </c>
      <c r="N103" s="121">
        <f t="shared" si="97"/>
        <v>2931092.4369747899</v>
      </c>
      <c r="O103" s="105">
        <v>42017</v>
      </c>
      <c r="P103" s="121">
        <f t="shared" si="98"/>
        <v>3361360</v>
      </c>
      <c r="Q103" s="165">
        <f t="shared" si="99"/>
        <v>42997.263305322129</v>
      </c>
      <c r="R103" s="166">
        <f t="shared" si="104"/>
        <v>3439781.0644257702</v>
      </c>
      <c r="S103" s="222">
        <f t="shared" si="100"/>
        <v>5634.7682467650748</v>
      </c>
      <c r="T103" s="223">
        <f t="shared" si="94"/>
        <v>0.13104946253794744</v>
      </c>
      <c r="U103" s="224">
        <f t="shared" si="101"/>
        <v>42017</v>
      </c>
      <c r="V103" s="225">
        <f t="shared" si="105"/>
        <v>3361360</v>
      </c>
      <c r="W103" s="149">
        <f t="shared" si="95"/>
        <v>0.13410686738141883</v>
      </c>
      <c r="X103" s="570" t="s">
        <v>103</v>
      </c>
      <c r="Y103" s="576" t="s">
        <v>239</v>
      </c>
      <c r="Z103" s="576" t="s">
        <v>239</v>
      </c>
    </row>
    <row r="104" spans="1:16383" ht="51" x14ac:dyDescent="0.2">
      <c r="A104" s="38" t="s">
        <v>54</v>
      </c>
      <c r="B104" s="66">
        <f t="shared" si="91"/>
        <v>3</v>
      </c>
      <c r="C104" s="66">
        <v>89</v>
      </c>
      <c r="D104" s="70">
        <v>89</v>
      </c>
      <c r="E104" s="51" t="s">
        <v>265</v>
      </c>
      <c r="F104" s="7" t="s">
        <v>895</v>
      </c>
      <c r="G104" s="15">
        <v>160</v>
      </c>
      <c r="H104" s="12" t="s">
        <v>57</v>
      </c>
      <c r="I104" s="10"/>
      <c r="J104" s="11"/>
      <c r="K104" s="105">
        <f>+(7021*100)/119</f>
        <v>5900</v>
      </c>
      <c r="L104" s="121">
        <f t="shared" si="96"/>
        <v>944000</v>
      </c>
      <c r="M104" s="105">
        <f>+(9000*5.35%)+9000</f>
        <v>9481.5</v>
      </c>
      <c r="N104" s="121">
        <f t="shared" si="97"/>
        <v>1517040</v>
      </c>
      <c r="O104" s="105">
        <v>4800</v>
      </c>
      <c r="P104" s="121">
        <f t="shared" si="98"/>
        <v>768000</v>
      </c>
      <c r="Q104" s="165">
        <f t="shared" si="99"/>
        <v>6727.166666666667</v>
      </c>
      <c r="R104" s="166">
        <f>+Q104*G104</f>
        <v>1076346.6666666667</v>
      </c>
      <c r="S104" s="222">
        <f t="shared" si="100"/>
        <v>1998.7102647012703</v>
      </c>
      <c r="T104" s="223">
        <f t="shared" si="94"/>
        <v>0.29711026405885638</v>
      </c>
      <c r="U104" s="224">
        <f t="shared" si="101"/>
        <v>5900</v>
      </c>
      <c r="V104" s="225">
        <f>+U104*G104</f>
        <v>944000</v>
      </c>
      <c r="W104" s="149">
        <f t="shared" si="95"/>
        <v>0.33876445164428309</v>
      </c>
      <c r="X104" s="139" t="s">
        <v>729</v>
      </c>
      <c r="Y104" s="137" t="s">
        <v>734</v>
      </c>
      <c r="Z104" s="138" t="s">
        <v>759</v>
      </c>
    </row>
    <row r="105" spans="1:16383" ht="76" thickBot="1" x14ac:dyDescent="0.25">
      <c r="A105" s="38" t="s">
        <v>54</v>
      </c>
      <c r="B105" s="66">
        <f t="shared" si="91"/>
        <v>3</v>
      </c>
      <c r="C105" s="66">
        <v>90</v>
      </c>
      <c r="D105" s="70">
        <v>90</v>
      </c>
      <c r="E105" s="51" t="s">
        <v>266</v>
      </c>
      <c r="F105" s="7" t="s">
        <v>267</v>
      </c>
      <c r="G105" s="15">
        <v>160</v>
      </c>
      <c r="H105" s="12" t="s">
        <v>57</v>
      </c>
      <c r="I105" s="10">
        <v>40</v>
      </c>
      <c r="J105" s="16" t="s">
        <v>67</v>
      </c>
      <c r="K105" s="105">
        <f>+(15000*5.35%)+15000</f>
        <v>15802.5</v>
      </c>
      <c r="L105" s="146">
        <f t="shared" ref="L105" si="106">+K105*G105*I105</f>
        <v>101136000</v>
      </c>
      <c r="M105" s="105">
        <v>22000</v>
      </c>
      <c r="N105" s="148">
        <f>+M105*I105*G105</f>
        <v>140800000</v>
      </c>
      <c r="O105" s="105">
        <v>16000</v>
      </c>
      <c r="P105" s="148">
        <f>+O105*I105*G105</f>
        <v>102400000</v>
      </c>
      <c r="Q105" s="165">
        <f t="shared" si="99"/>
        <v>17934.166666666668</v>
      </c>
      <c r="R105" s="166">
        <f t="shared" ref="R105" si="107">+Q105*G105*I105</f>
        <v>114778666.66666669</v>
      </c>
      <c r="S105" s="222">
        <f t="shared" si="100"/>
        <v>2876.108723412397</v>
      </c>
      <c r="T105" s="223">
        <f t="shared" si="94"/>
        <v>0.16037035770154157</v>
      </c>
      <c r="U105" s="224">
        <f t="shared" si="101"/>
        <v>16000</v>
      </c>
      <c r="V105" s="225">
        <f t="shared" ref="V105" si="108">+U105*G105*I105</f>
        <v>102400000</v>
      </c>
      <c r="W105" s="149">
        <f t="shared" si="95"/>
        <v>0.17975679521327481</v>
      </c>
      <c r="X105" s="139" t="s">
        <v>813</v>
      </c>
      <c r="Y105" s="137" t="s">
        <v>759</v>
      </c>
      <c r="Z105" s="138" t="s">
        <v>752</v>
      </c>
    </row>
    <row r="106" spans="1:16383" ht="20" thickBot="1" x14ac:dyDescent="0.25">
      <c r="A106" s="49">
        <v>1</v>
      </c>
      <c r="B106" s="193"/>
      <c r="C106" s="193"/>
      <c r="D106" s="69"/>
      <c r="E106" s="50"/>
      <c r="F106" s="400" t="s">
        <v>268</v>
      </c>
      <c r="G106" s="30"/>
      <c r="H106" s="30"/>
      <c r="I106" s="30"/>
      <c r="J106" s="30"/>
      <c r="K106" s="109"/>
      <c r="L106" s="110"/>
      <c r="M106" s="110"/>
      <c r="N106" s="110"/>
      <c r="O106" s="109"/>
      <c r="P106" s="110"/>
      <c r="Q106" s="194"/>
      <c r="R106" s="194"/>
      <c r="S106" s="195"/>
      <c r="T106" s="196"/>
      <c r="U106" s="194"/>
      <c r="V106" s="197"/>
      <c r="W106" s="196"/>
      <c r="X106" s="593"/>
      <c r="Y106" s="593"/>
      <c r="Z106" s="594"/>
      <c r="AA106" s="199"/>
      <c r="AB106" s="200"/>
      <c r="AC106" s="201"/>
      <c r="AD106" s="202"/>
      <c r="AE106" s="202"/>
      <c r="AF106" s="202"/>
      <c r="AG106" s="202"/>
      <c r="AH106" s="203"/>
      <c r="AI106" s="204"/>
      <c r="AJ106" s="204"/>
      <c r="AK106" s="204"/>
      <c r="AL106" s="205"/>
      <c r="AM106" s="206"/>
      <c r="AN106" s="207"/>
      <c r="AO106" s="207"/>
      <c r="AP106" s="208"/>
      <c r="AQ106" s="209"/>
      <c r="AR106" s="207"/>
      <c r="AS106" s="210"/>
      <c r="AT106" s="209"/>
      <c r="AU106" s="204"/>
      <c r="AV106" s="204"/>
      <c r="AW106" s="204"/>
      <c r="AX106" s="199"/>
      <c r="AY106" s="167"/>
      <c r="AZ106" s="199"/>
      <c r="BA106" s="200"/>
      <c r="BB106" s="201"/>
      <c r="BC106" s="202"/>
      <c r="BD106" s="202"/>
      <c r="BE106" s="202"/>
      <c r="BF106" s="202"/>
      <c r="BG106" s="203"/>
      <c r="BH106" s="204"/>
      <c r="BI106" s="204"/>
      <c r="BJ106" s="204"/>
      <c r="BK106" s="205"/>
      <c r="BL106" s="206"/>
      <c r="BM106" s="207"/>
      <c r="BN106" s="207"/>
      <c r="BO106" s="208"/>
      <c r="BP106" s="209"/>
      <c r="BQ106" s="207"/>
      <c r="BR106" s="210"/>
      <c r="BS106" s="209"/>
      <c r="BT106" s="204"/>
      <c r="BU106" s="204"/>
      <c r="BV106" s="204"/>
      <c r="BW106" s="199"/>
      <c r="BX106" s="167"/>
      <c r="BY106" s="199"/>
      <c r="BZ106" s="200"/>
      <c r="CA106" s="201"/>
      <c r="CB106" s="202"/>
      <c r="CC106" s="202"/>
      <c r="CD106" s="202"/>
      <c r="CE106" s="202"/>
      <c r="CF106" s="203"/>
      <c r="CG106" s="204"/>
      <c r="CH106" s="204"/>
      <c r="CI106" s="204"/>
      <c r="CJ106" s="205"/>
      <c r="CK106" s="206"/>
      <c r="CL106" s="207"/>
      <c r="CM106" s="207"/>
      <c r="CN106" s="208"/>
      <c r="CO106" s="209"/>
      <c r="CP106" s="207"/>
      <c r="CQ106" s="210"/>
      <c r="CR106" s="209"/>
      <c r="CS106" s="204"/>
      <c r="CT106" s="204"/>
      <c r="CU106" s="204"/>
      <c r="CV106" s="199"/>
      <c r="CW106" s="167"/>
      <c r="CX106" s="199"/>
      <c r="CY106" s="200"/>
      <c r="CZ106" s="201"/>
      <c r="DA106" s="202"/>
      <c r="DB106" s="202"/>
      <c r="DC106" s="202"/>
      <c r="DD106" s="202"/>
      <c r="DE106" s="203"/>
      <c r="DF106" s="204"/>
      <c r="DG106" s="204"/>
      <c r="DH106" s="204"/>
      <c r="DI106" s="205"/>
      <c r="DJ106" s="206"/>
      <c r="DK106" s="207"/>
      <c r="DL106" s="207"/>
      <c r="DM106" s="208"/>
      <c r="DN106" s="209"/>
      <c r="DO106" s="207"/>
      <c r="DP106" s="210"/>
      <c r="DQ106" s="209"/>
      <c r="DR106" s="204"/>
      <c r="DS106" s="204"/>
      <c r="DT106" s="204"/>
      <c r="DU106" s="199"/>
      <c r="DV106" s="167"/>
      <c r="DW106" s="199"/>
      <c r="DX106" s="200"/>
      <c r="DY106" s="201"/>
      <c r="DZ106" s="202"/>
      <c r="EA106" s="202"/>
      <c r="EB106" s="202"/>
      <c r="EC106" s="202"/>
      <c r="ED106" s="203"/>
      <c r="EE106" s="204"/>
      <c r="EF106" s="204"/>
      <c r="EG106" s="204"/>
      <c r="EH106" s="205"/>
      <c r="EI106" s="206"/>
      <c r="EJ106" s="207"/>
      <c r="EK106" s="207"/>
      <c r="EL106" s="208"/>
      <c r="EM106" s="209"/>
      <c r="EN106" s="207"/>
      <c r="EO106" s="210"/>
      <c r="EP106" s="209"/>
      <c r="EQ106" s="204"/>
      <c r="ER106" s="204"/>
      <c r="ES106" s="204"/>
      <c r="ET106" s="199"/>
      <c r="EU106" s="167"/>
      <c r="EV106" s="199"/>
      <c r="EW106" s="200"/>
      <c r="EX106" s="201"/>
      <c r="EY106" s="202"/>
      <c r="EZ106" s="202"/>
      <c r="FA106" s="202"/>
      <c r="FB106" s="202"/>
      <c r="FC106" s="203"/>
      <c r="FD106" s="204"/>
      <c r="FE106" s="204"/>
      <c r="FF106" s="204"/>
      <c r="FG106" s="205"/>
      <c r="FH106" s="206"/>
      <c r="FI106" s="207"/>
      <c r="FJ106" s="207"/>
      <c r="FK106" s="208"/>
      <c r="FL106" s="209"/>
      <c r="FM106" s="207"/>
      <c r="FN106" s="210"/>
      <c r="FO106" s="209"/>
      <c r="FP106" s="204"/>
      <c r="FQ106" s="204"/>
      <c r="FR106" s="204"/>
      <c r="FS106" s="199"/>
      <c r="FT106" s="167"/>
      <c r="FU106" s="199"/>
      <c r="FV106" s="200"/>
      <c r="FW106" s="201"/>
      <c r="FX106" s="202"/>
      <c r="FY106" s="202"/>
      <c r="FZ106" s="202"/>
      <c r="GA106" s="202"/>
      <c r="GB106" s="203"/>
      <c r="GC106" s="204"/>
      <c r="GD106" s="204"/>
      <c r="GE106" s="204"/>
      <c r="GF106" s="205"/>
      <c r="GG106" s="206"/>
      <c r="GH106" s="207"/>
      <c r="GI106" s="207"/>
      <c r="GJ106" s="208"/>
      <c r="GK106" s="209"/>
      <c r="GL106" s="207"/>
      <c r="GM106" s="210"/>
      <c r="GN106" s="209"/>
      <c r="GO106" s="204"/>
      <c r="GP106" s="204"/>
      <c r="GQ106" s="204"/>
      <c r="GR106" s="199"/>
      <c r="GS106" s="167"/>
      <c r="GT106" s="199"/>
      <c r="GU106" s="200"/>
      <c r="GV106" s="201"/>
      <c r="GW106" s="202"/>
      <c r="GX106" s="202"/>
      <c r="GY106" s="202"/>
      <c r="GZ106" s="202"/>
      <c r="HA106" s="203"/>
      <c r="HB106" s="204"/>
      <c r="HC106" s="204"/>
      <c r="HD106" s="204"/>
      <c r="HE106" s="205"/>
      <c r="HF106" s="206"/>
      <c r="HG106" s="207"/>
      <c r="HH106" s="207"/>
      <c r="HI106" s="208"/>
      <c r="HJ106" s="209"/>
      <c r="HK106" s="207"/>
      <c r="HL106" s="210"/>
      <c r="HM106" s="209"/>
      <c r="HN106" s="204"/>
      <c r="HO106" s="204"/>
      <c r="HP106" s="204"/>
      <c r="HQ106" s="199"/>
      <c r="HR106" s="167"/>
      <c r="HS106" s="199"/>
      <c r="HT106" s="200"/>
      <c r="HU106" s="201"/>
      <c r="HV106" s="202"/>
      <c r="HW106" s="202"/>
      <c r="HX106" s="202"/>
      <c r="HY106" s="202"/>
      <c r="HZ106" s="203"/>
      <c r="IA106" s="204"/>
      <c r="IB106" s="204"/>
      <c r="IC106" s="204"/>
      <c r="ID106" s="205"/>
      <c r="IE106" s="206"/>
      <c r="IF106" s="207"/>
      <c r="IG106" s="207"/>
      <c r="IH106" s="208"/>
      <c r="II106" s="209"/>
      <c r="IJ106" s="207"/>
      <c r="IK106" s="210"/>
      <c r="IL106" s="209"/>
      <c r="IM106" s="204"/>
      <c r="IN106" s="204"/>
      <c r="IO106" s="204"/>
      <c r="IP106" s="199"/>
      <c r="IQ106" s="167"/>
      <c r="IR106" s="199"/>
      <c r="IS106" s="200"/>
      <c r="IT106" s="201"/>
      <c r="IU106" s="202"/>
      <c r="IV106" s="202"/>
      <c r="IW106" s="202"/>
      <c r="IX106" s="202"/>
      <c r="IY106" s="203"/>
      <c r="IZ106" s="204"/>
      <c r="JA106" s="204"/>
      <c r="JB106" s="204"/>
      <c r="JC106" s="205"/>
      <c r="JD106" s="206"/>
      <c r="JE106" s="207"/>
      <c r="JF106" s="207"/>
      <c r="JG106" s="208"/>
      <c r="JH106" s="209"/>
      <c r="JI106" s="207"/>
      <c r="JJ106" s="210"/>
      <c r="JK106" s="209"/>
      <c r="JL106" s="204"/>
      <c r="JM106" s="204"/>
      <c r="JN106" s="204"/>
      <c r="JO106" s="199"/>
      <c r="JP106" s="167"/>
      <c r="JQ106" s="199"/>
      <c r="JR106" s="200"/>
      <c r="JS106" s="201"/>
      <c r="JT106" s="202"/>
      <c r="JU106" s="202"/>
      <c r="JV106" s="202"/>
      <c r="JW106" s="202"/>
      <c r="JX106" s="203"/>
      <c r="JY106" s="204"/>
      <c r="JZ106" s="204"/>
      <c r="KA106" s="204"/>
      <c r="KB106" s="205"/>
      <c r="KC106" s="206"/>
      <c r="KD106" s="207"/>
      <c r="KE106" s="207"/>
      <c r="KF106" s="208"/>
      <c r="KG106" s="209"/>
      <c r="KH106" s="207"/>
      <c r="KI106" s="210"/>
      <c r="KJ106" s="209"/>
      <c r="KK106" s="204"/>
      <c r="KL106" s="204"/>
      <c r="KM106" s="204"/>
      <c r="KN106" s="199"/>
      <c r="KO106" s="167"/>
      <c r="KP106" s="199"/>
      <c r="KQ106" s="200"/>
      <c r="KR106" s="201"/>
      <c r="KS106" s="202"/>
      <c r="KT106" s="202"/>
      <c r="KU106" s="202"/>
      <c r="KV106" s="202"/>
      <c r="KW106" s="203"/>
      <c r="KX106" s="204"/>
      <c r="KY106" s="204"/>
      <c r="KZ106" s="204"/>
      <c r="LA106" s="205"/>
      <c r="LB106" s="206"/>
      <c r="LC106" s="207"/>
      <c r="LD106" s="207"/>
      <c r="LE106" s="208"/>
      <c r="LF106" s="209"/>
      <c r="LG106" s="207"/>
      <c r="LH106" s="210"/>
      <c r="LI106" s="209"/>
      <c r="LJ106" s="204"/>
      <c r="LK106" s="204"/>
      <c r="LL106" s="204"/>
      <c r="LM106" s="199"/>
      <c r="LN106" s="167"/>
      <c r="LO106" s="199"/>
      <c r="LP106" s="200"/>
      <c r="LQ106" s="201"/>
      <c r="LR106" s="202"/>
      <c r="LS106" s="202"/>
      <c r="LT106" s="202"/>
      <c r="LU106" s="202"/>
      <c r="LV106" s="203"/>
      <c r="LW106" s="204"/>
      <c r="LX106" s="204"/>
      <c r="LY106" s="204"/>
      <c r="LZ106" s="205"/>
      <c r="MA106" s="206"/>
      <c r="MB106" s="207"/>
      <c r="MC106" s="207"/>
      <c r="MD106" s="208"/>
      <c r="ME106" s="209"/>
      <c r="MF106" s="207"/>
      <c r="MG106" s="210"/>
      <c r="MH106" s="209"/>
      <c r="MI106" s="204"/>
      <c r="MJ106" s="204"/>
      <c r="MK106" s="204"/>
      <c r="ML106" s="199"/>
      <c r="MM106" s="167"/>
      <c r="MN106" s="199"/>
      <c r="MO106" s="200"/>
      <c r="MP106" s="201"/>
      <c r="MQ106" s="202"/>
      <c r="MR106" s="202"/>
      <c r="MS106" s="202"/>
      <c r="MT106" s="202"/>
      <c r="MU106" s="203"/>
      <c r="MV106" s="204"/>
      <c r="MW106" s="204"/>
      <c r="MX106" s="204"/>
      <c r="MY106" s="205"/>
      <c r="MZ106" s="206"/>
      <c r="NA106" s="207"/>
      <c r="NB106" s="207"/>
      <c r="NC106" s="208"/>
      <c r="ND106" s="209"/>
      <c r="NE106" s="207"/>
      <c r="NF106" s="210"/>
      <c r="NG106" s="209"/>
      <c r="NH106" s="204"/>
      <c r="NI106" s="204"/>
      <c r="NJ106" s="204"/>
      <c r="NK106" s="199"/>
      <c r="NL106" s="167"/>
      <c r="NM106" s="199"/>
      <c r="NN106" s="200"/>
      <c r="NO106" s="201"/>
      <c r="NP106" s="202"/>
      <c r="NQ106" s="202"/>
      <c r="NR106" s="202"/>
      <c r="NS106" s="202"/>
      <c r="NT106" s="203"/>
      <c r="NU106" s="204"/>
      <c r="NV106" s="204"/>
      <c r="NW106" s="204"/>
      <c r="NX106" s="205"/>
      <c r="NY106" s="206"/>
      <c r="NZ106" s="207"/>
      <c r="OA106" s="207"/>
      <c r="OB106" s="208"/>
      <c r="OC106" s="209"/>
      <c r="OD106" s="207"/>
      <c r="OE106" s="210"/>
      <c r="OF106" s="209"/>
      <c r="OG106" s="204"/>
      <c r="OH106" s="204"/>
      <c r="OI106" s="204"/>
      <c r="OJ106" s="199"/>
      <c r="OK106" s="167"/>
      <c r="OL106" s="199"/>
      <c r="OM106" s="200"/>
      <c r="ON106" s="201"/>
      <c r="OO106" s="202"/>
      <c r="OP106" s="202"/>
      <c r="OQ106" s="202"/>
      <c r="OR106" s="202"/>
      <c r="OS106" s="203"/>
      <c r="OT106" s="204"/>
      <c r="OU106" s="204"/>
      <c r="OV106" s="204"/>
      <c r="OW106" s="205"/>
      <c r="OX106" s="206"/>
      <c r="OY106" s="207"/>
      <c r="OZ106" s="207"/>
      <c r="PA106" s="208"/>
      <c r="PB106" s="209"/>
      <c r="PC106" s="207"/>
      <c r="PD106" s="210"/>
      <c r="PE106" s="209"/>
      <c r="PF106" s="204"/>
      <c r="PG106" s="204"/>
      <c r="PH106" s="204"/>
      <c r="PI106" s="199"/>
      <c r="PJ106" s="167"/>
      <c r="PK106" s="199"/>
      <c r="PL106" s="200"/>
      <c r="PM106" s="201"/>
      <c r="PN106" s="202"/>
      <c r="PO106" s="202"/>
      <c r="PP106" s="202"/>
      <c r="PQ106" s="202"/>
      <c r="PR106" s="203"/>
      <c r="PS106" s="204"/>
      <c r="PT106" s="204"/>
      <c r="PU106" s="204"/>
      <c r="PV106" s="205"/>
      <c r="PW106" s="206"/>
      <c r="PX106" s="207"/>
      <c r="PY106" s="207"/>
      <c r="PZ106" s="208"/>
      <c r="QA106" s="209"/>
      <c r="QB106" s="207"/>
      <c r="QC106" s="210"/>
      <c r="QD106" s="209"/>
      <c r="QE106" s="204"/>
      <c r="QF106" s="204"/>
      <c r="QG106" s="204"/>
      <c r="QH106" s="199"/>
      <c r="QI106" s="167"/>
      <c r="QJ106" s="199"/>
      <c r="QK106" s="200"/>
      <c r="QL106" s="201"/>
      <c r="QM106" s="202"/>
      <c r="QN106" s="202"/>
      <c r="QO106" s="202"/>
      <c r="QP106" s="202"/>
      <c r="QQ106" s="203"/>
      <c r="QR106" s="204"/>
      <c r="QS106" s="204"/>
      <c r="QT106" s="204"/>
      <c r="QU106" s="205"/>
      <c r="QV106" s="206"/>
      <c r="QW106" s="207"/>
      <c r="QX106" s="207"/>
      <c r="QY106" s="208"/>
      <c r="QZ106" s="209"/>
      <c r="RA106" s="207"/>
      <c r="RB106" s="210"/>
      <c r="RC106" s="209"/>
      <c r="RD106" s="204"/>
      <c r="RE106" s="204"/>
      <c r="RF106" s="204"/>
      <c r="RG106" s="199"/>
      <c r="RH106" s="167"/>
      <c r="RI106" s="199"/>
      <c r="RJ106" s="200"/>
      <c r="RK106" s="201"/>
      <c r="RL106" s="202"/>
      <c r="RM106" s="202"/>
      <c r="RN106" s="202"/>
      <c r="RO106" s="202"/>
      <c r="RP106" s="203"/>
      <c r="RQ106" s="204"/>
      <c r="RR106" s="204"/>
      <c r="RS106" s="204"/>
      <c r="RT106" s="205"/>
      <c r="RU106" s="206"/>
      <c r="RV106" s="207"/>
      <c r="RW106" s="207"/>
      <c r="RX106" s="208"/>
      <c r="RY106" s="209"/>
      <c r="RZ106" s="207"/>
      <c r="SA106" s="210"/>
      <c r="SB106" s="209"/>
      <c r="SC106" s="204"/>
      <c r="SD106" s="204"/>
      <c r="SE106" s="204"/>
      <c r="SF106" s="199"/>
      <c r="SG106" s="167"/>
      <c r="SH106" s="199"/>
      <c r="SI106" s="200"/>
      <c r="SJ106" s="201"/>
      <c r="SK106" s="202"/>
      <c r="SL106" s="202"/>
      <c r="SM106" s="202"/>
      <c r="SN106" s="202"/>
      <c r="SO106" s="203"/>
      <c r="SP106" s="204"/>
      <c r="SQ106" s="204"/>
      <c r="SR106" s="204"/>
      <c r="SS106" s="205"/>
      <c r="ST106" s="206"/>
      <c r="SU106" s="207"/>
      <c r="SV106" s="207"/>
      <c r="SW106" s="208"/>
      <c r="SX106" s="209"/>
      <c r="SY106" s="207"/>
      <c r="SZ106" s="210"/>
      <c r="TA106" s="209"/>
      <c r="TB106" s="204"/>
      <c r="TC106" s="204"/>
      <c r="TD106" s="204"/>
      <c r="TE106" s="199"/>
      <c r="TF106" s="167"/>
      <c r="TG106" s="199"/>
      <c r="TH106" s="200"/>
      <c r="TI106" s="201"/>
      <c r="TJ106" s="202"/>
      <c r="TK106" s="202"/>
      <c r="TL106" s="202"/>
      <c r="TM106" s="202"/>
      <c r="TN106" s="203"/>
      <c r="TO106" s="204"/>
      <c r="TP106" s="204"/>
      <c r="TQ106" s="204"/>
      <c r="TR106" s="205"/>
      <c r="TS106" s="206"/>
      <c r="TT106" s="207"/>
      <c r="TU106" s="207"/>
      <c r="TV106" s="208"/>
      <c r="TW106" s="209"/>
      <c r="TX106" s="207"/>
      <c r="TY106" s="210"/>
      <c r="TZ106" s="209"/>
      <c r="UA106" s="204"/>
      <c r="UB106" s="204"/>
      <c r="UC106" s="204"/>
      <c r="UD106" s="199"/>
      <c r="UE106" s="167"/>
      <c r="UF106" s="199"/>
      <c r="UG106" s="200"/>
      <c r="UH106" s="201"/>
      <c r="UI106" s="202"/>
      <c r="UJ106" s="202"/>
      <c r="UK106" s="202"/>
      <c r="UL106" s="202"/>
      <c r="UM106" s="203"/>
      <c r="UN106" s="204"/>
      <c r="UO106" s="204"/>
      <c r="UP106" s="204"/>
      <c r="UQ106" s="205"/>
      <c r="UR106" s="206"/>
      <c r="US106" s="207"/>
      <c r="UT106" s="207"/>
      <c r="UU106" s="208"/>
      <c r="UV106" s="209"/>
      <c r="UW106" s="207"/>
      <c r="UX106" s="210"/>
      <c r="UY106" s="209"/>
      <c r="UZ106" s="204"/>
      <c r="VA106" s="204"/>
      <c r="VB106" s="204"/>
      <c r="VC106" s="199"/>
      <c r="VD106" s="167"/>
      <c r="VE106" s="199"/>
      <c r="VF106" s="200"/>
      <c r="VG106" s="201"/>
      <c r="VH106" s="202"/>
      <c r="VI106" s="202"/>
      <c r="VJ106" s="202"/>
      <c r="VK106" s="202"/>
      <c r="VL106" s="203"/>
      <c r="VM106" s="204"/>
      <c r="VN106" s="204"/>
      <c r="VO106" s="204"/>
      <c r="VP106" s="205"/>
      <c r="VQ106" s="206"/>
      <c r="VR106" s="207"/>
      <c r="VS106" s="207"/>
      <c r="VT106" s="208"/>
      <c r="VU106" s="209"/>
      <c r="VV106" s="207"/>
      <c r="VW106" s="210"/>
      <c r="VX106" s="209"/>
      <c r="VY106" s="204"/>
      <c r="VZ106" s="204"/>
      <c r="WA106" s="204"/>
      <c r="WB106" s="199"/>
      <c r="WC106" s="167"/>
      <c r="WD106" s="199"/>
      <c r="WE106" s="200"/>
      <c r="WF106" s="201"/>
      <c r="WG106" s="202"/>
      <c r="WH106" s="202"/>
      <c r="WI106" s="202"/>
      <c r="WJ106" s="202"/>
      <c r="WK106" s="203"/>
      <c r="WL106" s="204"/>
      <c r="WM106" s="204"/>
      <c r="WN106" s="204"/>
      <c r="WO106" s="205"/>
      <c r="WP106" s="206"/>
      <c r="WQ106" s="207"/>
      <c r="WR106" s="207"/>
      <c r="WS106" s="208"/>
      <c r="WT106" s="209"/>
      <c r="WU106" s="207"/>
      <c r="WV106" s="210"/>
      <c r="WW106" s="209"/>
      <c r="WX106" s="204"/>
      <c r="WY106" s="204"/>
      <c r="WZ106" s="204"/>
      <c r="XA106" s="199"/>
      <c r="XB106" s="167"/>
      <c r="XC106" s="199"/>
      <c r="XD106" s="200"/>
      <c r="XE106" s="201"/>
      <c r="XF106" s="202"/>
      <c r="XG106" s="202"/>
      <c r="XH106" s="202"/>
      <c r="XI106" s="202"/>
      <c r="XJ106" s="203"/>
      <c r="XK106" s="204"/>
      <c r="XL106" s="204"/>
      <c r="XM106" s="204"/>
      <c r="XN106" s="205"/>
      <c r="XO106" s="206"/>
      <c r="XP106" s="207"/>
      <c r="XQ106" s="207"/>
      <c r="XR106" s="208"/>
      <c r="XS106" s="209"/>
      <c r="XT106" s="207"/>
      <c r="XU106" s="210"/>
      <c r="XV106" s="209"/>
      <c r="XW106" s="204"/>
      <c r="XX106" s="204"/>
      <c r="XY106" s="204"/>
      <c r="XZ106" s="199"/>
      <c r="YA106" s="167"/>
      <c r="YB106" s="199"/>
      <c r="YC106" s="200"/>
      <c r="YD106" s="201"/>
      <c r="YE106" s="202"/>
      <c r="YF106" s="202"/>
      <c r="YG106" s="202"/>
      <c r="YH106" s="202"/>
      <c r="YI106" s="203"/>
      <c r="YJ106" s="204"/>
      <c r="YK106" s="204"/>
      <c r="YL106" s="204"/>
      <c r="YM106" s="205"/>
      <c r="YN106" s="206"/>
      <c r="YO106" s="207"/>
      <c r="YP106" s="207"/>
      <c r="YQ106" s="208"/>
      <c r="YR106" s="209"/>
      <c r="YS106" s="207"/>
      <c r="YT106" s="210"/>
      <c r="YU106" s="209"/>
      <c r="YV106" s="204"/>
      <c r="YW106" s="204"/>
      <c r="YX106" s="204"/>
      <c r="YY106" s="199"/>
      <c r="YZ106" s="167"/>
      <c r="ZA106" s="199"/>
      <c r="ZB106" s="200"/>
      <c r="ZC106" s="201"/>
      <c r="ZD106" s="202"/>
      <c r="ZE106" s="202"/>
      <c r="ZF106" s="202"/>
      <c r="ZG106" s="202"/>
      <c r="ZH106" s="203"/>
      <c r="ZI106" s="204"/>
      <c r="ZJ106" s="204"/>
      <c r="ZK106" s="204"/>
      <c r="ZL106" s="205"/>
      <c r="ZM106" s="206"/>
      <c r="ZN106" s="207"/>
      <c r="ZO106" s="207"/>
      <c r="ZP106" s="208"/>
      <c r="ZQ106" s="209"/>
      <c r="ZR106" s="207"/>
      <c r="ZS106" s="210"/>
      <c r="ZT106" s="209"/>
      <c r="ZU106" s="204"/>
      <c r="ZV106" s="204"/>
      <c r="ZW106" s="204"/>
      <c r="ZX106" s="199"/>
      <c r="ZY106" s="167"/>
      <c r="ZZ106" s="199"/>
      <c r="AAA106" s="200"/>
      <c r="AAB106" s="201"/>
      <c r="AAC106" s="202"/>
      <c r="AAD106" s="202"/>
      <c r="AAE106" s="202"/>
      <c r="AAF106" s="202"/>
      <c r="AAG106" s="203"/>
      <c r="AAH106" s="204"/>
      <c r="AAI106" s="204"/>
      <c r="AAJ106" s="204"/>
      <c r="AAK106" s="205"/>
      <c r="AAL106" s="206"/>
      <c r="AAM106" s="207"/>
      <c r="AAN106" s="207"/>
      <c r="AAO106" s="208"/>
      <c r="AAP106" s="209"/>
      <c r="AAQ106" s="207"/>
      <c r="AAR106" s="210"/>
      <c r="AAS106" s="209"/>
      <c r="AAT106" s="204"/>
      <c r="AAU106" s="204"/>
      <c r="AAV106" s="204"/>
      <c r="AAW106" s="199"/>
      <c r="AAX106" s="167"/>
      <c r="AAY106" s="199"/>
      <c r="AAZ106" s="200"/>
      <c r="ABA106" s="201"/>
      <c r="ABB106" s="202"/>
      <c r="ABC106" s="202"/>
      <c r="ABD106" s="202"/>
      <c r="ABE106" s="202"/>
      <c r="ABF106" s="203"/>
      <c r="ABG106" s="204"/>
      <c r="ABH106" s="204"/>
      <c r="ABI106" s="204"/>
      <c r="ABJ106" s="205"/>
      <c r="ABK106" s="206"/>
      <c r="ABL106" s="207"/>
      <c r="ABM106" s="207"/>
      <c r="ABN106" s="208"/>
      <c r="ABO106" s="209"/>
      <c r="ABP106" s="207"/>
      <c r="ABQ106" s="210"/>
      <c r="ABR106" s="209"/>
      <c r="ABS106" s="204"/>
      <c r="ABT106" s="204"/>
      <c r="ABU106" s="204"/>
      <c r="ABV106" s="199"/>
      <c r="ABW106" s="167"/>
      <c r="ABX106" s="199"/>
      <c r="ABY106" s="200"/>
      <c r="ABZ106" s="201"/>
      <c r="ACA106" s="202"/>
      <c r="ACB106" s="202"/>
      <c r="ACC106" s="202"/>
      <c r="ACD106" s="202"/>
      <c r="ACE106" s="203"/>
      <c r="ACF106" s="204"/>
      <c r="ACG106" s="204"/>
      <c r="ACH106" s="204"/>
      <c r="ACI106" s="205"/>
      <c r="ACJ106" s="206"/>
      <c r="ACK106" s="207"/>
      <c r="ACL106" s="207"/>
      <c r="ACM106" s="208"/>
      <c r="ACN106" s="209"/>
      <c r="ACO106" s="207"/>
      <c r="ACP106" s="210"/>
      <c r="ACQ106" s="209"/>
      <c r="ACR106" s="204"/>
      <c r="ACS106" s="204"/>
      <c r="ACT106" s="204"/>
      <c r="ACU106" s="199"/>
      <c r="ACV106" s="167"/>
      <c r="ACW106" s="199"/>
      <c r="ACX106" s="200"/>
      <c r="ACY106" s="201"/>
      <c r="ACZ106" s="202"/>
      <c r="ADA106" s="202"/>
      <c r="ADB106" s="202"/>
      <c r="ADC106" s="202"/>
      <c r="ADD106" s="203"/>
      <c r="ADE106" s="204"/>
      <c r="ADF106" s="204"/>
      <c r="ADG106" s="204"/>
      <c r="ADH106" s="205"/>
      <c r="ADI106" s="206"/>
      <c r="ADJ106" s="207"/>
      <c r="ADK106" s="207"/>
      <c r="ADL106" s="208"/>
      <c r="ADM106" s="209"/>
      <c r="ADN106" s="207"/>
      <c r="ADO106" s="210"/>
      <c r="ADP106" s="209"/>
      <c r="ADQ106" s="204"/>
      <c r="ADR106" s="204"/>
      <c r="ADS106" s="204"/>
      <c r="ADT106" s="199"/>
      <c r="ADU106" s="167"/>
      <c r="ADV106" s="199"/>
      <c r="ADW106" s="200"/>
      <c r="ADX106" s="201"/>
      <c r="ADY106" s="202"/>
      <c r="ADZ106" s="202"/>
      <c r="AEA106" s="202"/>
      <c r="AEB106" s="202"/>
      <c r="AEC106" s="203"/>
      <c r="AED106" s="204"/>
      <c r="AEE106" s="204"/>
      <c r="AEF106" s="204"/>
      <c r="AEG106" s="205"/>
      <c r="AEH106" s="206"/>
      <c r="AEI106" s="207"/>
      <c r="AEJ106" s="207"/>
      <c r="AEK106" s="208"/>
      <c r="AEL106" s="209"/>
      <c r="AEM106" s="207"/>
      <c r="AEN106" s="210"/>
      <c r="AEO106" s="209"/>
      <c r="AEP106" s="204"/>
      <c r="AEQ106" s="204"/>
      <c r="AER106" s="204"/>
      <c r="AES106" s="199"/>
      <c r="AET106" s="167"/>
      <c r="AEU106" s="199"/>
      <c r="AEV106" s="200"/>
      <c r="AEW106" s="201"/>
      <c r="AEX106" s="202"/>
      <c r="AEY106" s="202"/>
      <c r="AEZ106" s="202"/>
      <c r="AFA106" s="202"/>
      <c r="AFB106" s="203"/>
      <c r="AFC106" s="204"/>
      <c r="AFD106" s="204"/>
      <c r="AFE106" s="204"/>
      <c r="AFF106" s="205"/>
      <c r="AFG106" s="206"/>
      <c r="AFH106" s="207"/>
      <c r="AFI106" s="207"/>
      <c r="AFJ106" s="208"/>
      <c r="AFK106" s="209"/>
      <c r="AFL106" s="207"/>
      <c r="AFM106" s="210"/>
      <c r="AFN106" s="209"/>
      <c r="AFO106" s="204"/>
      <c r="AFP106" s="204"/>
      <c r="AFQ106" s="204"/>
      <c r="AFR106" s="199"/>
      <c r="AFS106" s="167"/>
      <c r="AFT106" s="199"/>
      <c r="AFU106" s="200"/>
      <c r="AFV106" s="201"/>
      <c r="AFW106" s="202"/>
      <c r="AFX106" s="202"/>
      <c r="AFY106" s="202"/>
      <c r="AFZ106" s="202"/>
      <c r="AGA106" s="203"/>
      <c r="AGB106" s="204"/>
      <c r="AGC106" s="204"/>
      <c r="AGD106" s="204"/>
      <c r="AGE106" s="205"/>
      <c r="AGF106" s="206"/>
      <c r="AGG106" s="207"/>
      <c r="AGH106" s="207"/>
      <c r="AGI106" s="208"/>
      <c r="AGJ106" s="209"/>
      <c r="AGK106" s="207"/>
      <c r="AGL106" s="210"/>
      <c r="AGM106" s="209"/>
      <c r="AGN106" s="204"/>
      <c r="AGO106" s="204"/>
      <c r="AGP106" s="204"/>
      <c r="AGQ106" s="199"/>
      <c r="AGR106" s="167"/>
      <c r="AGS106" s="199"/>
      <c r="AGT106" s="200"/>
      <c r="AGU106" s="201"/>
      <c r="AGV106" s="202"/>
      <c r="AGW106" s="202"/>
      <c r="AGX106" s="202"/>
      <c r="AGY106" s="202"/>
      <c r="AGZ106" s="203"/>
      <c r="AHA106" s="204"/>
      <c r="AHB106" s="204"/>
      <c r="AHC106" s="204"/>
      <c r="AHD106" s="205"/>
      <c r="AHE106" s="206"/>
      <c r="AHF106" s="207"/>
      <c r="AHG106" s="207"/>
      <c r="AHH106" s="208"/>
      <c r="AHI106" s="209"/>
      <c r="AHJ106" s="207"/>
      <c r="AHK106" s="210"/>
      <c r="AHL106" s="209"/>
      <c r="AHM106" s="204"/>
      <c r="AHN106" s="204"/>
      <c r="AHO106" s="204"/>
      <c r="AHP106" s="199"/>
      <c r="AHQ106" s="167"/>
      <c r="AHR106" s="199"/>
      <c r="AHS106" s="200"/>
      <c r="AHT106" s="201"/>
      <c r="AHU106" s="202"/>
      <c r="AHV106" s="202"/>
      <c r="AHW106" s="202"/>
      <c r="AHX106" s="202"/>
      <c r="AHY106" s="203"/>
      <c r="AHZ106" s="204"/>
      <c r="AIA106" s="204"/>
      <c r="AIB106" s="204"/>
      <c r="AIC106" s="205"/>
      <c r="AID106" s="206"/>
      <c r="AIE106" s="207"/>
      <c r="AIF106" s="207"/>
      <c r="AIG106" s="208"/>
      <c r="AIH106" s="209"/>
      <c r="AII106" s="207"/>
      <c r="AIJ106" s="210"/>
      <c r="AIK106" s="209"/>
      <c r="AIL106" s="204"/>
      <c r="AIM106" s="204"/>
      <c r="AIN106" s="204"/>
      <c r="AIO106" s="199"/>
      <c r="AIP106" s="167"/>
      <c r="AIQ106" s="199"/>
      <c r="AIR106" s="200"/>
      <c r="AIS106" s="201"/>
      <c r="AIT106" s="202"/>
      <c r="AIU106" s="202"/>
      <c r="AIV106" s="202"/>
      <c r="AIW106" s="202"/>
      <c r="AIX106" s="203"/>
      <c r="AIY106" s="204"/>
      <c r="AIZ106" s="204"/>
      <c r="AJA106" s="204"/>
      <c r="AJB106" s="205"/>
      <c r="AJC106" s="206"/>
      <c r="AJD106" s="207"/>
      <c r="AJE106" s="207"/>
      <c r="AJF106" s="208"/>
      <c r="AJG106" s="209"/>
      <c r="AJH106" s="207"/>
      <c r="AJI106" s="210"/>
      <c r="AJJ106" s="209"/>
      <c r="AJK106" s="204"/>
      <c r="AJL106" s="204"/>
      <c r="AJM106" s="204"/>
      <c r="AJN106" s="199"/>
      <c r="AJO106" s="167"/>
      <c r="AJP106" s="199"/>
      <c r="AJQ106" s="200"/>
      <c r="AJR106" s="201"/>
      <c r="AJS106" s="202"/>
      <c r="AJT106" s="202"/>
      <c r="AJU106" s="202"/>
      <c r="AJV106" s="202"/>
      <c r="AJW106" s="203"/>
      <c r="AJX106" s="204"/>
      <c r="AJY106" s="204"/>
      <c r="AJZ106" s="204"/>
      <c r="AKA106" s="205"/>
      <c r="AKB106" s="206"/>
      <c r="AKC106" s="207"/>
      <c r="AKD106" s="207"/>
      <c r="AKE106" s="208"/>
      <c r="AKF106" s="209"/>
      <c r="AKG106" s="207"/>
      <c r="AKH106" s="210"/>
      <c r="AKI106" s="209"/>
      <c r="AKJ106" s="204"/>
      <c r="AKK106" s="204"/>
      <c r="AKL106" s="204"/>
      <c r="AKM106" s="199"/>
      <c r="AKN106" s="167"/>
      <c r="AKO106" s="199"/>
      <c r="AKP106" s="200"/>
      <c r="AKQ106" s="201"/>
      <c r="AKR106" s="202"/>
      <c r="AKS106" s="202"/>
      <c r="AKT106" s="202"/>
      <c r="AKU106" s="202"/>
      <c r="AKV106" s="203"/>
      <c r="AKW106" s="204"/>
      <c r="AKX106" s="204"/>
      <c r="AKY106" s="204"/>
      <c r="AKZ106" s="205"/>
      <c r="ALA106" s="206"/>
      <c r="ALB106" s="207"/>
      <c r="ALC106" s="207"/>
      <c r="ALD106" s="208"/>
      <c r="ALE106" s="209"/>
      <c r="ALF106" s="207"/>
      <c r="ALG106" s="210"/>
      <c r="ALH106" s="209"/>
      <c r="ALI106" s="204"/>
      <c r="ALJ106" s="204"/>
      <c r="ALK106" s="204"/>
      <c r="ALL106" s="199"/>
      <c r="ALM106" s="167"/>
      <c r="ALN106" s="199"/>
      <c r="ALO106" s="200"/>
      <c r="ALP106" s="201"/>
      <c r="ALQ106" s="202"/>
      <c r="ALR106" s="202"/>
      <c r="ALS106" s="202"/>
      <c r="ALT106" s="202"/>
      <c r="ALU106" s="203"/>
      <c r="ALV106" s="204"/>
      <c r="ALW106" s="204"/>
      <c r="ALX106" s="204"/>
      <c r="ALY106" s="205"/>
      <c r="ALZ106" s="206"/>
      <c r="AMA106" s="207"/>
      <c r="AMB106" s="207"/>
      <c r="AMC106" s="208"/>
      <c r="AMD106" s="209"/>
      <c r="AME106" s="207"/>
      <c r="AMF106" s="210"/>
      <c r="AMG106" s="209"/>
      <c r="AMH106" s="204"/>
      <c r="AMI106" s="204"/>
      <c r="AMJ106" s="204"/>
      <c r="AMK106" s="199"/>
      <c r="AML106" s="167"/>
      <c r="AMM106" s="199"/>
      <c r="AMN106" s="200"/>
      <c r="AMO106" s="201"/>
      <c r="AMP106" s="202"/>
      <c r="AMQ106" s="202"/>
      <c r="AMR106" s="202"/>
      <c r="AMS106" s="202"/>
      <c r="AMT106" s="203"/>
      <c r="AMU106" s="204"/>
      <c r="AMV106" s="204"/>
      <c r="AMW106" s="204"/>
      <c r="AMX106" s="205"/>
      <c r="AMY106" s="206"/>
      <c r="AMZ106" s="207"/>
      <c r="ANA106" s="207"/>
      <c r="ANB106" s="208"/>
      <c r="ANC106" s="209"/>
      <c r="AND106" s="207"/>
      <c r="ANE106" s="210"/>
      <c r="ANF106" s="209"/>
      <c r="ANG106" s="204"/>
      <c r="ANH106" s="204"/>
      <c r="ANI106" s="204"/>
      <c r="ANJ106" s="199"/>
      <c r="ANK106" s="167"/>
      <c r="ANL106" s="199"/>
      <c r="ANM106" s="200"/>
      <c r="ANN106" s="201"/>
      <c r="ANO106" s="202"/>
      <c r="ANP106" s="202"/>
      <c r="ANQ106" s="202"/>
      <c r="ANR106" s="202"/>
      <c r="ANS106" s="203"/>
      <c r="ANT106" s="204"/>
      <c r="ANU106" s="204"/>
      <c r="ANV106" s="204"/>
      <c r="ANW106" s="205"/>
      <c r="ANX106" s="206"/>
      <c r="ANY106" s="207"/>
      <c r="ANZ106" s="207"/>
      <c r="AOA106" s="208"/>
      <c r="AOB106" s="209"/>
      <c r="AOC106" s="207"/>
      <c r="AOD106" s="210"/>
      <c r="AOE106" s="209"/>
      <c r="AOF106" s="204"/>
      <c r="AOG106" s="204"/>
      <c r="AOH106" s="204"/>
      <c r="AOI106" s="199"/>
      <c r="AOJ106" s="167"/>
      <c r="AOK106" s="199"/>
      <c r="AOL106" s="200"/>
      <c r="AOM106" s="201"/>
      <c r="AON106" s="202"/>
      <c r="AOO106" s="202"/>
      <c r="AOP106" s="202"/>
      <c r="AOQ106" s="202"/>
      <c r="AOR106" s="203"/>
      <c r="AOS106" s="204"/>
      <c r="AOT106" s="204"/>
      <c r="AOU106" s="204"/>
      <c r="AOV106" s="205"/>
      <c r="AOW106" s="206"/>
      <c r="AOX106" s="207"/>
      <c r="AOY106" s="207"/>
      <c r="AOZ106" s="208"/>
      <c r="APA106" s="209"/>
      <c r="APB106" s="207"/>
      <c r="APC106" s="210"/>
      <c r="APD106" s="209"/>
      <c r="APE106" s="204"/>
      <c r="APF106" s="204"/>
      <c r="APG106" s="204"/>
      <c r="APH106" s="199"/>
      <c r="API106" s="167"/>
      <c r="APJ106" s="199"/>
      <c r="APK106" s="200"/>
      <c r="APL106" s="201"/>
      <c r="APM106" s="202"/>
      <c r="APN106" s="202"/>
      <c r="APO106" s="202"/>
      <c r="APP106" s="202"/>
      <c r="APQ106" s="203"/>
      <c r="APR106" s="204"/>
      <c r="APS106" s="204"/>
      <c r="APT106" s="204"/>
      <c r="APU106" s="205"/>
      <c r="APV106" s="206"/>
      <c r="APW106" s="207"/>
      <c r="APX106" s="207"/>
      <c r="APY106" s="208"/>
      <c r="APZ106" s="209"/>
      <c r="AQA106" s="207"/>
      <c r="AQB106" s="210"/>
      <c r="AQC106" s="209"/>
      <c r="AQD106" s="204"/>
      <c r="AQE106" s="204"/>
      <c r="AQF106" s="204"/>
      <c r="AQG106" s="199"/>
      <c r="AQH106" s="167"/>
      <c r="AQI106" s="199"/>
      <c r="AQJ106" s="200"/>
      <c r="AQK106" s="201"/>
      <c r="AQL106" s="202"/>
      <c r="AQM106" s="202"/>
      <c r="AQN106" s="202"/>
      <c r="AQO106" s="202"/>
      <c r="AQP106" s="203"/>
      <c r="AQQ106" s="204"/>
      <c r="AQR106" s="204"/>
      <c r="AQS106" s="204"/>
      <c r="AQT106" s="205"/>
      <c r="AQU106" s="206"/>
      <c r="AQV106" s="207"/>
      <c r="AQW106" s="207"/>
      <c r="AQX106" s="208"/>
      <c r="AQY106" s="209"/>
      <c r="AQZ106" s="207"/>
      <c r="ARA106" s="210"/>
      <c r="ARB106" s="209"/>
      <c r="ARC106" s="204"/>
      <c r="ARD106" s="204"/>
      <c r="ARE106" s="204"/>
      <c r="ARF106" s="199"/>
      <c r="ARG106" s="167"/>
      <c r="ARH106" s="199"/>
      <c r="ARI106" s="200"/>
      <c r="ARJ106" s="201"/>
      <c r="ARK106" s="202"/>
      <c r="ARL106" s="202"/>
      <c r="ARM106" s="202"/>
      <c r="ARN106" s="202"/>
      <c r="ARO106" s="203"/>
      <c r="ARP106" s="204"/>
      <c r="ARQ106" s="204"/>
      <c r="ARR106" s="204"/>
      <c r="ARS106" s="205"/>
      <c r="ART106" s="206"/>
      <c r="ARU106" s="207"/>
      <c r="ARV106" s="207"/>
      <c r="ARW106" s="208"/>
      <c r="ARX106" s="209"/>
      <c r="ARY106" s="207"/>
      <c r="ARZ106" s="210"/>
      <c r="ASA106" s="209"/>
      <c r="ASB106" s="204"/>
      <c r="ASC106" s="204"/>
      <c r="ASD106" s="204"/>
      <c r="ASE106" s="199"/>
      <c r="ASF106" s="167"/>
      <c r="ASG106" s="199"/>
      <c r="ASH106" s="200"/>
      <c r="ASI106" s="201"/>
      <c r="ASJ106" s="202"/>
      <c r="ASK106" s="202"/>
      <c r="ASL106" s="202"/>
      <c r="ASM106" s="202"/>
      <c r="ASN106" s="203"/>
      <c r="ASO106" s="204"/>
      <c r="ASP106" s="204"/>
      <c r="ASQ106" s="204"/>
      <c r="ASR106" s="205"/>
      <c r="ASS106" s="206"/>
      <c r="AST106" s="207"/>
      <c r="ASU106" s="207"/>
      <c r="ASV106" s="208"/>
      <c r="ASW106" s="209"/>
      <c r="ASX106" s="207"/>
      <c r="ASY106" s="210"/>
      <c r="ASZ106" s="209"/>
      <c r="ATA106" s="204"/>
      <c r="ATB106" s="204"/>
      <c r="ATC106" s="204"/>
      <c r="ATD106" s="199"/>
      <c r="ATE106" s="167"/>
      <c r="ATF106" s="199"/>
      <c r="ATG106" s="200"/>
      <c r="ATH106" s="201"/>
      <c r="ATI106" s="202"/>
      <c r="ATJ106" s="202"/>
      <c r="ATK106" s="202"/>
      <c r="ATL106" s="202"/>
      <c r="ATM106" s="203"/>
      <c r="ATN106" s="204"/>
      <c r="ATO106" s="204"/>
      <c r="ATP106" s="204"/>
      <c r="ATQ106" s="205"/>
      <c r="ATR106" s="206"/>
      <c r="ATS106" s="207"/>
      <c r="ATT106" s="207"/>
      <c r="ATU106" s="208"/>
      <c r="ATV106" s="209"/>
      <c r="ATW106" s="207"/>
      <c r="ATX106" s="210"/>
      <c r="ATY106" s="209"/>
      <c r="ATZ106" s="204"/>
      <c r="AUA106" s="204"/>
      <c r="AUB106" s="204"/>
      <c r="AUC106" s="199"/>
      <c r="AUD106" s="167"/>
      <c r="AUE106" s="199"/>
      <c r="AUF106" s="200"/>
      <c r="AUG106" s="201"/>
      <c r="AUH106" s="202"/>
      <c r="AUI106" s="202"/>
      <c r="AUJ106" s="202"/>
      <c r="AUK106" s="202"/>
      <c r="AUL106" s="203"/>
      <c r="AUM106" s="204"/>
      <c r="AUN106" s="204"/>
      <c r="AUO106" s="204"/>
      <c r="AUP106" s="205"/>
      <c r="AUQ106" s="206"/>
      <c r="AUR106" s="207"/>
      <c r="AUS106" s="207"/>
      <c r="AUT106" s="208"/>
      <c r="AUU106" s="209"/>
      <c r="AUV106" s="207"/>
      <c r="AUW106" s="210"/>
      <c r="AUX106" s="209"/>
      <c r="AUY106" s="204"/>
      <c r="AUZ106" s="204"/>
      <c r="AVA106" s="204"/>
      <c r="AVB106" s="199"/>
      <c r="AVC106" s="167"/>
      <c r="AVD106" s="199"/>
      <c r="AVE106" s="200"/>
      <c r="AVF106" s="201"/>
      <c r="AVG106" s="202"/>
      <c r="AVH106" s="202"/>
      <c r="AVI106" s="202"/>
      <c r="AVJ106" s="202"/>
      <c r="AVK106" s="203"/>
      <c r="AVL106" s="204"/>
      <c r="AVM106" s="204"/>
      <c r="AVN106" s="204"/>
      <c r="AVO106" s="205"/>
      <c r="AVP106" s="206"/>
      <c r="AVQ106" s="207"/>
      <c r="AVR106" s="207"/>
      <c r="AVS106" s="208"/>
      <c r="AVT106" s="209"/>
      <c r="AVU106" s="207"/>
      <c r="AVV106" s="210"/>
      <c r="AVW106" s="209"/>
      <c r="AVX106" s="204"/>
      <c r="AVY106" s="204"/>
      <c r="AVZ106" s="204"/>
      <c r="AWA106" s="199"/>
      <c r="AWB106" s="167"/>
      <c r="AWC106" s="199"/>
      <c r="AWD106" s="200"/>
      <c r="AWE106" s="201"/>
      <c r="AWF106" s="202"/>
      <c r="AWG106" s="202"/>
      <c r="AWH106" s="202"/>
      <c r="AWI106" s="202"/>
      <c r="AWJ106" s="203"/>
      <c r="AWK106" s="204"/>
      <c r="AWL106" s="204"/>
      <c r="AWM106" s="204"/>
      <c r="AWN106" s="205"/>
      <c r="AWO106" s="206"/>
      <c r="AWP106" s="207"/>
      <c r="AWQ106" s="207"/>
      <c r="AWR106" s="208"/>
      <c r="AWS106" s="209"/>
      <c r="AWT106" s="207"/>
      <c r="AWU106" s="210"/>
      <c r="AWV106" s="209"/>
      <c r="AWW106" s="204"/>
      <c r="AWX106" s="204"/>
      <c r="AWY106" s="204"/>
      <c r="AWZ106" s="199"/>
      <c r="AXA106" s="167"/>
      <c r="AXB106" s="199"/>
      <c r="AXC106" s="200"/>
      <c r="AXD106" s="201"/>
      <c r="AXE106" s="202"/>
      <c r="AXF106" s="202"/>
      <c r="AXG106" s="202"/>
      <c r="AXH106" s="202"/>
      <c r="AXI106" s="203"/>
      <c r="AXJ106" s="204"/>
      <c r="AXK106" s="204"/>
      <c r="AXL106" s="204"/>
      <c r="AXM106" s="205"/>
      <c r="AXN106" s="206"/>
      <c r="AXO106" s="207"/>
      <c r="AXP106" s="207"/>
      <c r="AXQ106" s="208"/>
      <c r="AXR106" s="209"/>
      <c r="AXS106" s="207"/>
      <c r="AXT106" s="210"/>
      <c r="AXU106" s="209"/>
      <c r="AXV106" s="204"/>
      <c r="AXW106" s="204"/>
      <c r="AXX106" s="204"/>
      <c r="AXY106" s="199"/>
      <c r="AXZ106" s="167"/>
      <c r="AYA106" s="199"/>
      <c r="AYB106" s="200"/>
      <c r="AYC106" s="201"/>
      <c r="AYD106" s="202"/>
      <c r="AYE106" s="202"/>
      <c r="AYF106" s="202"/>
      <c r="AYG106" s="202"/>
      <c r="AYH106" s="203"/>
      <c r="AYI106" s="204"/>
      <c r="AYJ106" s="204"/>
      <c r="AYK106" s="204"/>
      <c r="AYL106" s="205"/>
      <c r="AYM106" s="206"/>
      <c r="AYN106" s="207"/>
      <c r="AYO106" s="207"/>
      <c r="AYP106" s="208"/>
      <c r="AYQ106" s="209"/>
      <c r="AYR106" s="207"/>
      <c r="AYS106" s="210"/>
      <c r="AYT106" s="209"/>
      <c r="AYU106" s="204"/>
      <c r="AYV106" s="204"/>
      <c r="AYW106" s="204"/>
      <c r="AYX106" s="199"/>
      <c r="AYY106" s="167"/>
      <c r="AYZ106" s="199"/>
      <c r="AZA106" s="200"/>
      <c r="AZB106" s="201"/>
      <c r="AZC106" s="202"/>
      <c r="AZD106" s="202"/>
      <c r="AZE106" s="202"/>
      <c r="AZF106" s="202"/>
      <c r="AZG106" s="203"/>
      <c r="AZH106" s="204"/>
      <c r="AZI106" s="204"/>
      <c r="AZJ106" s="204"/>
      <c r="AZK106" s="205"/>
      <c r="AZL106" s="206"/>
      <c r="AZM106" s="207"/>
      <c r="AZN106" s="207"/>
      <c r="AZO106" s="208"/>
      <c r="AZP106" s="209"/>
      <c r="AZQ106" s="207"/>
      <c r="AZR106" s="210"/>
      <c r="AZS106" s="209"/>
      <c r="AZT106" s="204"/>
      <c r="AZU106" s="204"/>
      <c r="AZV106" s="204"/>
      <c r="AZW106" s="199"/>
      <c r="AZX106" s="167"/>
      <c r="AZY106" s="199"/>
      <c r="AZZ106" s="200"/>
      <c r="BAA106" s="201"/>
      <c r="BAB106" s="202"/>
      <c r="BAC106" s="202"/>
      <c r="BAD106" s="202"/>
      <c r="BAE106" s="202"/>
      <c r="BAF106" s="203"/>
      <c r="BAG106" s="204"/>
      <c r="BAH106" s="204"/>
      <c r="BAI106" s="204"/>
      <c r="BAJ106" s="205"/>
      <c r="BAK106" s="206"/>
      <c r="BAL106" s="207"/>
      <c r="BAM106" s="207"/>
      <c r="BAN106" s="208"/>
      <c r="BAO106" s="209"/>
      <c r="BAP106" s="207"/>
      <c r="BAQ106" s="210"/>
      <c r="BAR106" s="209"/>
      <c r="BAS106" s="204"/>
      <c r="BAT106" s="204"/>
      <c r="BAU106" s="204"/>
      <c r="BAV106" s="199"/>
      <c r="BAW106" s="167"/>
      <c r="BAX106" s="199"/>
      <c r="BAY106" s="200"/>
      <c r="BAZ106" s="201"/>
      <c r="BBA106" s="202"/>
      <c r="BBB106" s="202"/>
      <c r="BBC106" s="202"/>
      <c r="BBD106" s="202"/>
      <c r="BBE106" s="203"/>
      <c r="BBF106" s="204"/>
      <c r="BBG106" s="204"/>
      <c r="BBH106" s="204"/>
      <c r="BBI106" s="205"/>
      <c r="BBJ106" s="206"/>
      <c r="BBK106" s="207"/>
      <c r="BBL106" s="207"/>
      <c r="BBM106" s="208"/>
      <c r="BBN106" s="209"/>
      <c r="BBO106" s="207"/>
      <c r="BBP106" s="210"/>
      <c r="BBQ106" s="209"/>
      <c r="BBR106" s="204"/>
      <c r="BBS106" s="204"/>
      <c r="BBT106" s="204"/>
      <c r="BBU106" s="199"/>
      <c r="BBV106" s="167"/>
      <c r="BBW106" s="199"/>
      <c r="BBX106" s="200"/>
      <c r="BBY106" s="201"/>
      <c r="BBZ106" s="202"/>
      <c r="BCA106" s="202"/>
      <c r="BCB106" s="202"/>
      <c r="BCC106" s="202"/>
      <c r="BCD106" s="203"/>
      <c r="BCE106" s="204"/>
      <c r="BCF106" s="204"/>
      <c r="BCG106" s="204"/>
      <c r="BCH106" s="205"/>
      <c r="BCI106" s="206"/>
      <c r="BCJ106" s="207"/>
      <c r="BCK106" s="207"/>
      <c r="BCL106" s="208"/>
      <c r="BCM106" s="209"/>
      <c r="BCN106" s="207"/>
      <c r="BCO106" s="210"/>
      <c r="BCP106" s="209"/>
      <c r="BCQ106" s="204"/>
      <c r="BCR106" s="204"/>
      <c r="BCS106" s="204"/>
      <c r="BCT106" s="199"/>
      <c r="BCU106" s="167"/>
      <c r="BCV106" s="199"/>
      <c r="BCW106" s="200"/>
      <c r="BCX106" s="201"/>
      <c r="BCY106" s="202"/>
      <c r="BCZ106" s="202"/>
      <c r="BDA106" s="202"/>
      <c r="BDB106" s="202"/>
      <c r="BDC106" s="203"/>
      <c r="BDD106" s="204"/>
      <c r="BDE106" s="204"/>
      <c r="BDF106" s="204"/>
      <c r="BDG106" s="205"/>
      <c r="BDH106" s="206"/>
      <c r="BDI106" s="207"/>
      <c r="BDJ106" s="207"/>
      <c r="BDK106" s="208"/>
      <c r="BDL106" s="209"/>
      <c r="BDM106" s="207"/>
      <c r="BDN106" s="210"/>
      <c r="BDO106" s="209"/>
      <c r="BDP106" s="204"/>
      <c r="BDQ106" s="204"/>
      <c r="BDR106" s="204"/>
      <c r="BDS106" s="199"/>
      <c r="BDT106" s="167"/>
      <c r="BDU106" s="199"/>
      <c r="BDV106" s="200"/>
      <c r="BDW106" s="201"/>
      <c r="BDX106" s="202"/>
      <c r="BDY106" s="202"/>
      <c r="BDZ106" s="202"/>
      <c r="BEA106" s="202"/>
      <c r="BEB106" s="203"/>
      <c r="BEC106" s="204"/>
      <c r="BED106" s="204"/>
      <c r="BEE106" s="204"/>
      <c r="BEF106" s="205"/>
      <c r="BEG106" s="206"/>
      <c r="BEH106" s="207"/>
      <c r="BEI106" s="207"/>
      <c r="BEJ106" s="208"/>
      <c r="BEK106" s="209"/>
      <c r="BEL106" s="207"/>
      <c r="BEM106" s="210"/>
      <c r="BEN106" s="209"/>
      <c r="BEO106" s="204"/>
      <c r="BEP106" s="204"/>
      <c r="BEQ106" s="204"/>
      <c r="BER106" s="199"/>
      <c r="BES106" s="167"/>
      <c r="BET106" s="199"/>
      <c r="BEU106" s="200"/>
      <c r="BEV106" s="201"/>
      <c r="BEW106" s="202"/>
      <c r="BEX106" s="202"/>
      <c r="BEY106" s="202"/>
      <c r="BEZ106" s="202"/>
      <c r="BFA106" s="203"/>
      <c r="BFB106" s="204"/>
      <c r="BFC106" s="204"/>
      <c r="BFD106" s="204"/>
      <c r="BFE106" s="205"/>
      <c r="BFF106" s="206"/>
      <c r="BFG106" s="207"/>
      <c r="BFH106" s="207"/>
      <c r="BFI106" s="208"/>
      <c r="BFJ106" s="209"/>
      <c r="BFK106" s="207"/>
      <c r="BFL106" s="210"/>
      <c r="BFM106" s="209"/>
      <c r="BFN106" s="204"/>
      <c r="BFO106" s="204"/>
      <c r="BFP106" s="204"/>
      <c r="BFQ106" s="199"/>
      <c r="BFR106" s="167"/>
      <c r="BFS106" s="199"/>
      <c r="BFT106" s="200"/>
      <c r="BFU106" s="201"/>
      <c r="BFV106" s="202"/>
      <c r="BFW106" s="202"/>
      <c r="BFX106" s="202"/>
      <c r="BFY106" s="202"/>
      <c r="BFZ106" s="203"/>
      <c r="BGA106" s="204"/>
      <c r="BGB106" s="204"/>
      <c r="BGC106" s="204"/>
      <c r="BGD106" s="205"/>
      <c r="BGE106" s="206"/>
      <c r="BGF106" s="207"/>
      <c r="BGG106" s="207"/>
      <c r="BGH106" s="208"/>
      <c r="BGI106" s="209"/>
      <c r="BGJ106" s="207"/>
      <c r="BGK106" s="210"/>
      <c r="BGL106" s="209"/>
      <c r="BGM106" s="204"/>
      <c r="BGN106" s="204"/>
      <c r="BGO106" s="204"/>
      <c r="BGP106" s="199"/>
      <c r="BGQ106" s="167"/>
      <c r="BGR106" s="199"/>
      <c r="BGS106" s="200"/>
      <c r="BGT106" s="201"/>
      <c r="BGU106" s="202"/>
      <c r="BGV106" s="202"/>
      <c r="BGW106" s="202"/>
      <c r="BGX106" s="202"/>
      <c r="BGY106" s="203"/>
      <c r="BGZ106" s="204"/>
      <c r="BHA106" s="204"/>
      <c r="BHB106" s="204"/>
      <c r="BHC106" s="205"/>
      <c r="BHD106" s="206"/>
      <c r="BHE106" s="207"/>
      <c r="BHF106" s="207"/>
      <c r="BHG106" s="208"/>
      <c r="BHH106" s="209"/>
      <c r="BHI106" s="207"/>
      <c r="BHJ106" s="210"/>
      <c r="BHK106" s="209"/>
      <c r="BHL106" s="204"/>
      <c r="BHM106" s="204"/>
      <c r="BHN106" s="204"/>
      <c r="BHO106" s="199"/>
      <c r="BHP106" s="167"/>
      <c r="BHQ106" s="199"/>
      <c r="BHR106" s="200"/>
      <c r="BHS106" s="201"/>
      <c r="BHT106" s="202"/>
      <c r="BHU106" s="202"/>
      <c r="BHV106" s="202"/>
      <c r="BHW106" s="202"/>
      <c r="BHX106" s="203"/>
      <c r="BHY106" s="204"/>
      <c r="BHZ106" s="204"/>
      <c r="BIA106" s="204"/>
      <c r="BIB106" s="205"/>
      <c r="BIC106" s="206"/>
      <c r="BID106" s="207"/>
      <c r="BIE106" s="207"/>
      <c r="BIF106" s="208"/>
      <c r="BIG106" s="209"/>
      <c r="BIH106" s="207"/>
      <c r="BII106" s="210"/>
      <c r="BIJ106" s="209"/>
      <c r="BIK106" s="204"/>
      <c r="BIL106" s="204"/>
      <c r="BIM106" s="204"/>
      <c r="BIN106" s="199"/>
      <c r="BIO106" s="167"/>
      <c r="BIP106" s="199"/>
      <c r="BIQ106" s="200"/>
      <c r="BIR106" s="201"/>
      <c r="BIS106" s="202"/>
      <c r="BIT106" s="202"/>
      <c r="BIU106" s="202"/>
      <c r="BIV106" s="202"/>
      <c r="BIW106" s="203"/>
      <c r="BIX106" s="204"/>
      <c r="BIY106" s="204"/>
      <c r="BIZ106" s="204"/>
      <c r="BJA106" s="205"/>
      <c r="BJB106" s="206"/>
      <c r="BJC106" s="207"/>
      <c r="BJD106" s="207"/>
      <c r="BJE106" s="208"/>
      <c r="BJF106" s="209"/>
      <c r="BJG106" s="207"/>
      <c r="BJH106" s="210"/>
      <c r="BJI106" s="209"/>
      <c r="BJJ106" s="204"/>
      <c r="BJK106" s="204"/>
      <c r="BJL106" s="204"/>
      <c r="BJM106" s="199"/>
      <c r="BJN106" s="167"/>
      <c r="BJO106" s="199"/>
      <c r="BJP106" s="200"/>
      <c r="BJQ106" s="201"/>
      <c r="BJR106" s="202"/>
      <c r="BJS106" s="202"/>
      <c r="BJT106" s="202"/>
      <c r="BJU106" s="202"/>
      <c r="BJV106" s="203"/>
      <c r="BJW106" s="204"/>
      <c r="BJX106" s="204"/>
      <c r="BJY106" s="204"/>
      <c r="BJZ106" s="205"/>
      <c r="BKA106" s="206"/>
      <c r="BKB106" s="207"/>
      <c r="BKC106" s="207"/>
      <c r="BKD106" s="208"/>
      <c r="BKE106" s="209"/>
      <c r="BKF106" s="207"/>
      <c r="BKG106" s="210"/>
      <c r="BKH106" s="209"/>
      <c r="BKI106" s="204"/>
      <c r="BKJ106" s="204"/>
      <c r="BKK106" s="204"/>
      <c r="BKL106" s="199"/>
      <c r="BKM106" s="167"/>
      <c r="BKN106" s="199"/>
      <c r="BKO106" s="200"/>
      <c r="BKP106" s="201"/>
      <c r="BKQ106" s="202"/>
      <c r="BKR106" s="202"/>
      <c r="BKS106" s="202"/>
      <c r="BKT106" s="202"/>
      <c r="BKU106" s="203"/>
      <c r="BKV106" s="204"/>
      <c r="BKW106" s="204"/>
      <c r="BKX106" s="204"/>
      <c r="BKY106" s="205"/>
      <c r="BKZ106" s="206"/>
      <c r="BLA106" s="207"/>
      <c r="BLB106" s="207"/>
      <c r="BLC106" s="208"/>
      <c r="BLD106" s="209"/>
      <c r="BLE106" s="207"/>
      <c r="BLF106" s="210"/>
      <c r="BLG106" s="209"/>
      <c r="BLH106" s="204"/>
      <c r="BLI106" s="204"/>
      <c r="BLJ106" s="204"/>
      <c r="BLK106" s="199"/>
      <c r="BLL106" s="167"/>
      <c r="BLM106" s="199"/>
      <c r="BLN106" s="200"/>
      <c r="BLO106" s="201"/>
      <c r="BLP106" s="202"/>
      <c r="BLQ106" s="202"/>
      <c r="BLR106" s="202"/>
      <c r="BLS106" s="202"/>
      <c r="BLT106" s="203"/>
      <c r="BLU106" s="204"/>
      <c r="BLV106" s="204"/>
      <c r="BLW106" s="204"/>
      <c r="BLX106" s="205"/>
      <c r="BLY106" s="206"/>
      <c r="BLZ106" s="207"/>
      <c r="BMA106" s="207"/>
      <c r="BMB106" s="208"/>
      <c r="BMC106" s="209"/>
      <c r="BMD106" s="207"/>
      <c r="BME106" s="210"/>
      <c r="BMF106" s="209"/>
      <c r="BMG106" s="204"/>
      <c r="BMH106" s="204"/>
      <c r="BMI106" s="204"/>
      <c r="BMJ106" s="199"/>
      <c r="BMK106" s="167"/>
      <c r="BML106" s="199"/>
      <c r="BMM106" s="200"/>
      <c r="BMN106" s="201"/>
      <c r="BMO106" s="202"/>
      <c r="BMP106" s="202"/>
      <c r="BMQ106" s="202"/>
      <c r="BMR106" s="202"/>
      <c r="BMS106" s="203"/>
      <c r="BMT106" s="204"/>
      <c r="BMU106" s="204"/>
      <c r="BMV106" s="204"/>
      <c r="BMW106" s="205"/>
      <c r="BMX106" s="206"/>
      <c r="BMY106" s="207"/>
      <c r="BMZ106" s="207"/>
      <c r="BNA106" s="208"/>
      <c r="BNB106" s="209"/>
      <c r="BNC106" s="207"/>
      <c r="BND106" s="210"/>
      <c r="BNE106" s="209"/>
      <c r="BNF106" s="204"/>
      <c r="BNG106" s="204"/>
      <c r="BNH106" s="204"/>
      <c r="BNI106" s="199"/>
      <c r="BNJ106" s="167"/>
      <c r="BNK106" s="199"/>
      <c r="BNL106" s="200"/>
      <c r="BNM106" s="201"/>
      <c r="BNN106" s="202"/>
      <c r="BNO106" s="202"/>
      <c r="BNP106" s="202"/>
      <c r="BNQ106" s="202"/>
      <c r="BNR106" s="203"/>
      <c r="BNS106" s="204"/>
      <c r="BNT106" s="204"/>
      <c r="BNU106" s="204"/>
      <c r="BNV106" s="205"/>
      <c r="BNW106" s="206"/>
      <c r="BNX106" s="207"/>
      <c r="BNY106" s="207"/>
      <c r="BNZ106" s="208"/>
      <c r="BOA106" s="209"/>
      <c r="BOB106" s="207"/>
      <c r="BOC106" s="210"/>
      <c r="BOD106" s="209"/>
      <c r="BOE106" s="204"/>
      <c r="BOF106" s="204"/>
      <c r="BOG106" s="204"/>
      <c r="BOH106" s="199"/>
      <c r="BOI106" s="167"/>
      <c r="BOJ106" s="199"/>
      <c r="BOK106" s="200"/>
      <c r="BOL106" s="201"/>
      <c r="BOM106" s="202"/>
      <c r="BON106" s="202"/>
      <c r="BOO106" s="202"/>
      <c r="BOP106" s="202"/>
      <c r="BOQ106" s="203"/>
      <c r="BOR106" s="204"/>
      <c r="BOS106" s="204"/>
      <c r="BOT106" s="204"/>
      <c r="BOU106" s="205"/>
      <c r="BOV106" s="206"/>
      <c r="BOW106" s="207"/>
      <c r="BOX106" s="207"/>
      <c r="BOY106" s="208"/>
      <c r="BOZ106" s="209"/>
      <c r="BPA106" s="207"/>
      <c r="BPB106" s="210"/>
      <c r="BPC106" s="209"/>
      <c r="BPD106" s="204"/>
      <c r="BPE106" s="204"/>
      <c r="BPF106" s="204"/>
      <c r="BPG106" s="199"/>
      <c r="BPH106" s="167"/>
      <c r="BPI106" s="199"/>
      <c r="BPJ106" s="200"/>
      <c r="BPK106" s="201"/>
      <c r="BPL106" s="202"/>
      <c r="BPM106" s="202"/>
      <c r="BPN106" s="202"/>
      <c r="BPO106" s="202"/>
      <c r="BPP106" s="203"/>
      <c r="BPQ106" s="204"/>
      <c r="BPR106" s="204"/>
      <c r="BPS106" s="204"/>
      <c r="BPT106" s="205"/>
      <c r="BPU106" s="206"/>
      <c r="BPV106" s="207"/>
      <c r="BPW106" s="207"/>
      <c r="BPX106" s="208"/>
      <c r="BPY106" s="209"/>
      <c r="BPZ106" s="207"/>
      <c r="BQA106" s="210"/>
      <c r="BQB106" s="209"/>
      <c r="BQC106" s="204"/>
      <c r="BQD106" s="204"/>
      <c r="BQE106" s="204"/>
      <c r="BQF106" s="199"/>
      <c r="BQG106" s="167"/>
      <c r="BQH106" s="199"/>
      <c r="BQI106" s="200"/>
      <c r="BQJ106" s="201"/>
      <c r="BQK106" s="202"/>
      <c r="BQL106" s="202"/>
      <c r="BQM106" s="202"/>
      <c r="BQN106" s="202"/>
      <c r="BQO106" s="203"/>
      <c r="BQP106" s="204"/>
      <c r="BQQ106" s="204"/>
      <c r="BQR106" s="204"/>
      <c r="BQS106" s="205"/>
      <c r="BQT106" s="206"/>
      <c r="BQU106" s="207"/>
      <c r="BQV106" s="207"/>
      <c r="BQW106" s="208"/>
      <c r="BQX106" s="209"/>
      <c r="BQY106" s="207"/>
      <c r="BQZ106" s="210"/>
      <c r="BRA106" s="209"/>
      <c r="BRB106" s="204"/>
      <c r="BRC106" s="204"/>
      <c r="BRD106" s="204"/>
      <c r="BRE106" s="199"/>
      <c r="BRF106" s="167"/>
      <c r="BRG106" s="199"/>
      <c r="BRH106" s="200"/>
      <c r="BRI106" s="201"/>
      <c r="BRJ106" s="202"/>
      <c r="BRK106" s="202"/>
      <c r="BRL106" s="202"/>
      <c r="BRM106" s="202"/>
      <c r="BRN106" s="203"/>
      <c r="BRO106" s="204"/>
      <c r="BRP106" s="204"/>
      <c r="BRQ106" s="204"/>
      <c r="BRR106" s="205"/>
      <c r="BRS106" s="206"/>
      <c r="BRT106" s="207"/>
      <c r="BRU106" s="207"/>
      <c r="BRV106" s="208"/>
      <c r="BRW106" s="209"/>
      <c r="BRX106" s="207"/>
      <c r="BRY106" s="210"/>
      <c r="BRZ106" s="209"/>
      <c r="BSA106" s="204"/>
      <c r="BSB106" s="204"/>
      <c r="BSC106" s="204"/>
      <c r="BSD106" s="199"/>
      <c r="BSE106" s="167"/>
      <c r="BSF106" s="199"/>
      <c r="BSG106" s="200"/>
      <c r="BSH106" s="201"/>
      <c r="BSI106" s="202"/>
      <c r="BSJ106" s="202"/>
      <c r="BSK106" s="202"/>
      <c r="BSL106" s="202"/>
      <c r="BSM106" s="203"/>
      <c r="BSN106" s="204"/>
      <c r="BSO106" s="204"/>
      <c r="BSP106" s="204"/>
      <c r="BSQ106" s="205"/>
      <c r="BSR106" s="206"/>
      <c r="BSS106" s="207"/>
      <c r="BST106" s="207"/>
      <c r="BSU106" s="208"/>
      <c r="BSV106" s="209"/>
      <c r="BSW106" s="207"/>
      <c r="BSX106" s="210"/>
      <c r="BSY106" s="209"/>
      <c r="BSZ106" s="204"/>
      <c r="BTA106" s="204"/>
      <c r="BTB106" s="204"/>
      <c r="BTC106" s="199"/>
      <c r="BTD106" s="167"/>
      <c r="BTE106" s="199"/>
      <c r="BTF106" s="200"/>
      <c r="BTG106" s="201"/>
      <c r="BTH106" s="202"/>
      <c r="BTI106" s="202"/>
      <c r="BTJ106" s="202"/>
      <c r="BTK106" s="202"/>
      <c r="BTL106" s="203"/>
      <c r="BTM106" s="204"/>
      <c r="BTN106" s="204"/>
      <c r="BTO106" s="204"/>
      <c r="BTP106" s="205"/>
      <c r="BTQ106" s="206"/>
      <c r="BTR106" s="207"/>
      <c r="BTS106" s="207"/>
      <c r="BTT106" s="208"/>
      <c r="BTU106" s="209"/>
      <c r="BTV106" s="207"/>
      <c r="BTW106" s="210"/>
      <c r="BTX106" s="209"/>
      <c r="BTY106" s="204"/>
      <c r="BTZ106" s="204"/>
      <c r="BUA106" s="204"/>
      <c r="BUB106" s="199"/>
      <c r="BUC106" s="167"/>
      <c r="BUD106" s="199"/>
      <c r="BUE106" s="200"/>
      <c r="BUF106" s="201"/>
      <c r="BUG106" s="202"/>
      <c r="BUH106" s="202"/>
      <c r="BUI106" s="202"/>
      <c r="BUJ106" s="202"/>
      <c r="BUK106" s="203"/>
      <c r="BUL106" s="204"/>
      <c r="BUM106" s="204"/>
      <c r="BUN106" s="204"/>
      <c r="BUO106" s="205"/>
      <c r="BUP106" s="206"/>
      <c r="BUQ106" s="207"/>
      <c r="BUR106" s="207"/>
      <c r="BUS106" s="208"/>
      <c r="BUT106" s="209"/>
      <c r="BUU106" s="207"/>
      <c r="BUV106" s="210"/>
      <c r="BUW106" s="209"/>
      <c r="BUX106" s="204"/>
      <c r="BUY106" s="204"/>
      <c r="BUZ106" s="204"/>
      <c r="BVA106" s="199"/>
      <c r="BVB106" s="167"/>
      <c r="BVC106" s="199"/>
      <c r="BVD106" s="200"/>
      <c r="BVE106" s="201"/>
      <c r="BVF106" s="202"/>
      <c r="BVG106" s="202"/>
      <c r="BVH106" s="202"/>
      <c r="BVI106" s="202"/>
      <c r="BVJ106" s="203"/>
      <c r="BVK106" s="204"/>
      <c r="BVL106" s="204"/>
      <c r="BVM106" s="204"/>
      <c r="BVN106" s="205"/>
      <c r="BVO106" s="206"/>
      <c r="BVP106" s="207"/>
      <c r="BVQ106" s="207"/>
      <c r="BVR106" s="208"/>
      <c r="BVS106" s="209"/>
      <c r="BVT106" s="207"/>
      <c r="BVU106" s="210"/>
      <c r="BVV106" s="209"/>
      <c r="BVW106" s="204"/>
      <c r="BVX106" s="204"/>
      <c r="BVY106" s="204"/>
      <c r="BVZ106" s="199"/>
      <c r="BWA106" s="167"/>
      <c r="BWB106" s="199"/>
      <c r="BWC106" s="200"/>
      <c r="BWD106" s="201"/>
      <c r="BWE106" s="202"/>
      <c r="BWF106" s="202"/>
      <c r="BWG106" s="202"/>
      <c r="BWH106" s="202"/>
      <c r="BWI106" s="203"/>
      <c r="BWJ106" s="204"/>
      <c r="BWK106" s="204"/>
      <c r="BWL106" s="204"/>
      <c r="BWM106" s="205"/>
      <c r="BWN106" s="206"/>
      <c r="BWO106" s="207"/>
      <c r="BWP106" s="207"/>
      <c r="BWQ106" s="208"/>
      <c r="BWR106" s="209"/>
      <c r="BWS106" s="207"/>
      <c r="BWT106" s="210"/>
      <c r="BWU106" s="209"/>
      <c r="BWV106" s="204"/>
      <c r="BWW106" s="204"/>
      <c r="BWX106" s="204"/>
      <c r="BWY106" s="199"/>
      <c r="BWZ106" s="167"/>
      <c r="BXA106" s="199"/>
      <c r="BXB106" s="200"/>
      <c r="BXC106" s="201"/>
      <c r="BXD106" s="202"/>
      <c r="BXE106" s="202"/>
      <c r="BXF106" s="202"/>
      <c r="BXG106" s="202"/>
      <c r="BXH106" s="203"/>
      <c r="BXI106" s="204"/>
      <c r="BXJ106" s="204"/>
      <c r="BXK106" s="204"/>
      <c r="BXL106" s="205"/>
      <c r="BXM106" s="206"/>
      <c r="BXN106" s="207"/>
      <c r="BXO106" s="207"/>
      <c r="BXP106" s="208"/>
      <c r="BXQ106" s="209"/>
      <c r="BXR106" s="207"/>
      <c r="BXS106" s="210"/>
      <c r="BXT106" s="209"/>
      <c r="BXU106" s="204"/>
      <c r="BXV106" s="204"/>
      <c r="BXW106" s="204"/>
      <c r="BXX106" s="199"/>
      <c r="BXY106" s="167"/>
      <c r="BXZ106" s="199"/>
      <c r="BYA106" s="200"/>
      <c r="BYB106" s="201"/>
      <c r="BYC106" s="202"/>
      <c r="BYD106" s="202"/>
      <c r="BYE106" s="202"/>
      <c r="BYF106" s="202"/>
      <c r="BYG106" s="203"/>
      <c r="BYH106" s="204"/>
      <c r="BYI106" s="204"/>
      <c r="BYJ106" s="204"/>
      <c r="BYK106" s="205"/>
      <c r="BYL106" s="206"/>
      <c r="BYM106" s="207"/>
      <c r="BYN106" s="207"/>
      <c r="BYO106" s="208"/>
      <c r="BYP106" s="209"/>
      <c r="BYQ106" s="207"/>
      <c r="BYR106" s="210"/>
      <c r="BYS106" s="209"/>
      <c r="BYT106" s="204"/>
      <c r="BYU106" s="204"/>
      <c r="BYV106" s="204"/>
      <c r="BYW106" s="199"/>
      <c r="BYX106" s="167"/>
      <c r="BYY106" s="199"/>
      <c r="BYZ106" s="200"/>
      <c r="BZA106" s="201"/>
      <c r="BZB106" s="202"/>
      <c r="BZC106" s="202"/>
      <c r="BZD106" s="202"/>
      <c r="BZE106" s="202"/>
      <c r="BZF106" s="203"/>
      <c r="BZG106" s="204"/>
      <c r="BZH106" s="204"/>
      <c r="BZI106" s="204"/>
      <c r="BZJ106" s="205"/>
      <c r="BZK106" s="206"/>
      <c r="BZL106" s="207"/>
      <c r="BZM106" s="207"/>
      <c r="BZN106" s="208"/>
      <c r="BZO106" s="209"/>
      <c r="BZP106" s="207"/>
      <c r="BZQ106" s="210"/>
      <c r="BZR106" s="209"/>
      <c r="BZS106" s="204"/>
      <c r="BZT106" s="204"/>
      <c r="BZU106" s="204"/>
      <c r="BZV106" s="199"/>
      <c r="BZW106" s="167"/>
      <c r="BZX106" s="199"/>
      <c r="BZY106" s="200"/>
      <c r="BZZ106" s="201"/>
      <c r="CAA106" s="202"/>
      <c r="CAB106" s="202"/>
      <c r="CAC106" s="202"/>
      <c r="CAD106" s="202"/>
      <c r="CAE106" s="203"/>
      <c r="CAF106" s="204"/>
      <c r="CAG106" s="204"/>
      <c r="CAH106" s="204"/>
      <c r="CAI106" s="205"/>
      <c r="CAJ106" s="206"/>
      <c r="CAK106" s="207"/>
      <c r="CAL106" s="207"/>
      <c r="CAM106" s="208"/>
      <c r="CAN106" s="209"/>
      <c r="CAO106" s="207"/>
      <c r="CAP106" s="210"/>
      <c r="CAQ106" s="209"/>
      <c r="CAR106" s="204"/>
      <c r="CAS106" s="204"/>
      <c r="CAT106" s="204"/>
      <c r="CAU106" s="199"/>
      <c r="CAV106" s="167"/>
      <c r="CAW106" s="199"/>
      <c r="CAX106" s="200"/>
      <c r="CAY106" s="201"/>
      <c r="CAZ106" s="202"/>
      <c r="CBA106" s="202"/>
      <c r="CBB106" s="202"/>
      <c r="CBC106" s="202"/>
      <c r="CBD106" s="203"/>
      <c r="CBE106" s="204"/>
      <c r="CBF106" s="204"/>
      <c r="CBG106" s="204"/>
      <c r="CBH106" s="205"/>
      <c r="CBI106" s="206"/>
      <c r="CBJ106" s="207"/>
      <c r="CBK106" s="207"/>
      <c r="CBL106" s="208"/>
      <c r="CBM106" s="209"/>
      <c r="CBN106" s="207"/>
      <c r="CBO106" s="210"/>
      <c r="CBP106" s="209"/>
      <c r="CBQ106" s="204"/>
      <c r="CBR106" s="204"/>
      <c r="CBS106" s="204"/>
      <c r="CBT106" s="199"/>
      <c r="CBU106" s="167"/>
      <c r="CBV106" s="199"/>
      <c r="CBW106" s="200"/>
      <c r="CBX106" s="201"/>
      <c r="CBY106" s="202"/>
      <c r="CBZ106" s="202"/>
      <c r="CCA106" s="202"/>
      <c r="CCB106" s="202"/>
      <c r="CCC106" s="203"/>
      <c r="CCD106" s="204"/>
      <c r="CCE106" s="204"/>
      <c r="CCF106" s="204"/>
      <c r="CCG106" s="205"/>
      <c r="CCH106" s="206"/>
      <c r="CCI106" s="207"/>
      <c r="CCJ106" s="207"/>
      <c r="CCK106" s="208"/>
      <c r="CCL106" s="209"/>
      <c r="CCM106" s="207"/>
      <c r="CCN106" s="210"/>
      <c r="CCO106" s="209"/>
      <c r="CCP106" s="204"/>
      <c r="CCQ106" s="204"/>
      <c r="CCR106" s="204"/>
      <c r="CCS106" s="199"/>
      <c r="CCT106" s="167"/>
      <c r="CCU106" s="199"/>
      <c r="CCV106" s="200"/>
      <c r="CCW106" s="201"/>
      <c r="CCX106" s="202"/>
      <c r="CCY106" s="202"/>
      <c r="CCZ106" s="202"/>
      <c r="CDA106" s="202"/>
      <c r="CDB106" s="203"/>
      <c r="CDC106" s="204"/>
      <c r="CDD106" s="204"/>
      <c r="CDE106" s="204"/>
      <c r="CDF106" s="205"/>
      <c r="CDG106" s="206"/>
      <c r="CDH106" s="207"/>
      <c r="CDI106" s="207"/>
      <c r="CDJ106" s="208"/>
      <c r="CDK106" s="209"/>
      <c r="CDL106" s="207"/>
      <c r="CDM106" s="210"/>
      <c r="CDN106" s="209"/>
      <c r="CDO106" s="204"/>
      <c r="CDP106" s="204"/>
      <c r="CDQ106" s="204"/>
      <c r="CDR106" s="199"/>
      <c r="CDS106" s="167"/>
      <c r="CDT106" s="199"/>
      <c r="CDU106" s="200"/>
      <c r="CDV106" s="201"/>
      <c r="CDW106" s="202"/>
      <c r="CDX106" s="202"/>
      <c r="CDY106" s="202"/>
      <c r="CDZ106" s="202"/>
      <c r="CEA106" s="203"/>
      <c r="CEB106" s="204"/>
      <c r="CEC106" s="204"/>
      <c r="CED106" s="204"/>
      <c r="CEE106" s="205"/>
      <c r="CEF106" s="206"/>
      <c r="CEG106" s="207"/>
      <c r="CEH106" s="207"/>
      <c r="CEI106" s="208"/>
      <c r="CEJ106" s="209"/>
      <c r="CEK106" s="207"/>
      <c r="CEL106" s="210"/>
      <c r="CEM106" s="209"/>
      <c r="CEN106" s="204"/>
      <c r="CEO106" s="204"/>
      <c r="CEP106" s="204"/>
      <c r="CEQ106" s="199"/>
      <c r="CER106" s="167"/>
      <c r="CES106" s="199"/>
      <c r="CET106" s="200"/>
      <c r="CEU106" s="201"/>
      <c r="CEV106" s="202"/>
      <c r="CEW106" s="202"/>
      <c r="CEX106" s="202"/>
      <c r="CEY106" s="202"/>
      <c r="CEZ106" s="203"/>
      <c r="CFA106" s="204"/>
      <c r="CFB106" s="204"/>
      <c r="CFC106" s="204"/>
      <c r="CFD106" s="205"/>
      <c r="CFE106" s="206"/>
      <c r="CFF106" s="207"/>
      <c r="CFG106" s="207"/>
      <c r="CFH106" s="208"/>
      <c r="CFI106" s="209"/>
      <c r="CFJ106" s="207"/>
      <c r="CFK106" s="210"/>
      <c r="CFL106" s="209"/>
      <c r="CFM106" s="204"/>
      <c r="CFN106" s="204"/>
      <c r="CFO106" s="204"/>
      <c r="CFP106" s="199"/>
      <c r="CFQ106" s="167"/>
      <c r="CFR106" s="199"/>
      <c r="CFS106" s="200"/>
      <c r="CFT106" s="201"/>
      <c r="CFU106" s="202"/>
      <c r="CFV106" s="202"/>
      <c r="CFW106" s="202"/>
      <c r="CFX106" s="202"/>
      <c r="CFY106" s="203"/>
      <c r="CFZ106" s="204"/>
      <c r="CGA106" s="204"/>
      <c r="CGB106" s="204"/>
      <c r="CGC106" s="205"/>
      <c r="CGD106" s="206"/>
      <c r="CGE106" s="207"/>
      <c r="CGF106" s="207"/>
      <c r="CGG106" s="208"/>
      <c r="CGH106" s="209"/>
      <c r="CGI106" s="207"/>
      <c r="CGJ106" s="210"/>
      <c r="CGK106" s="209"/>
      <c r="CGL106" s="204"/>
      <c r="CGM106" s="204"/>
      <c r="CGN106" s="204"/>
      <c r="CGO106" s="199"/>
      <c r="CGP106" s="167"/>
      <c r="CGQ106" s="199"/>
      <c r="CGR106" s="200"/>
      <c r="CGS106" s="201"/>
      <c r="CGT106" s="202"/>
      <c r="CGU106" s="202"/>
      <c r="CGV106" s="202"/>
      <c r="CGW106" s="202"/>
      <c r="CGX106" s="203"/>
      <c r="CGY106" s="204"/>
      <c r="CGZ106" s="204"/>
      <c r="CHA106" s="204"/>
      <c r="CHB106" s="205"/>
      <c r="CHC106" s="206"/>
      <c r="CHD106" s="207"/>
      <c r="CHE106" s="207"/>
      <c r="CHF106" s="208"/>
      <c r="CHG106" s="209"/>
      <c r="CHH106" s="207"/>
      <c r="CHI106" s="210"/>
      <c r="CHJ106" s="209"/>
      <c r="CHK106" s="204"/>
      <c r="CHL106" s="204"/>
      <c r="CHM106" s="204"/>
      <c r="CHN106" s="199"/>
      <c r="CHO106" s="167"/>
      <c r="CHP106" s="199"/>
      <c r="CHQ106" s="200"/>
      <c r="CHR106" s="201"/>
      <c r="CHS106" s="202"/>
      <c r="CHT106" s="202"/>
      <c r="CHU106" s="202"/>
      <c r="CHV106" s="202"/>
      <c r="CHW106" s="203"/>
      <c r="CHX106" s="204"/>
      <c r="CHY106" s="204"/>
      <c r="CHZ106" s="204"/>
      <c r="CIA106" s="205"/>
      <c r="CIB106" s="206"/>
      <c r="CIC106" s="207"/>
      <c r="CID106" s="207"/>
      <c r="CIE106" s="208"/>
      <c r="CIF106" s="209"/>
      <c r="CIG106" s="207"/>
      <c r="CIH106" s="210"/>
      <c r="CII106" s="209"/>
      <c r="CIJ106" s="204"/>
      <c r="CIK106" s="204"/>
      <c r="CIL106" s="204"/>
      <c r="CIM106" s="199"/>
      <c r="CIN106" s="167"/>
      <c r="CIO106" s="199"/>
      <c r="CIP106" s="200"/>
      <c r="CIQ106" s="201"/>
      <c r="CIR106" s="202"/>
      <c r="CIS106" s="202"/>
      <c r="CIT106" s="202"/>
      <c r="CIU106" s="202"/>
      <c r="CIV106" s="203"/>
      <c r="CIW106" s="204"/>
      <c r="CIX106" s="204"/>
      <c r="CIY106" s="204"/>
      <c r="CIZ106" s="205"/>
      <c r="CJA106" s="206"/>
      <c r="CJB106" s="207"/>
      <c r="CJC106" s="207"/>
      <c r="CJD106" s="208"/>
      <c r="CJE106" s="209"/>
      <c r="CJF106" s="207"/>
      <c r="CJG106" s="210"/>
      <c r="CJH106" s="209"/>
      <c r="CJI106" s="204"/>
      <c r="CJJ106" s="204"/>
      <c r="CJK106" s="204"/>
      <c r="CJL106" s="199"/>
      <c r="CJM106" s="167"/>
      <c r="CJN106" s="199"/>
      <c r="CJO106" s="200"/>
      <c r="CJP106" s="201"/>
      <c r="CJQ106" s="202"/>
      <c r="CJR106" s="202"/>
      <c r="CJS106" s="202"/>
      <c r="CJT106" s="202"/>
      <c r="CJU106" s="203"/>
      <c r="CJV106" s="204"/>
      <c r="CJW106" s="204"/>
      <c r="CJX106" s="204"/>
      <c r="CJY106" s="205"/>
      <c r="CJZ106" s="206"/>
      <c r="CKA106" s="207"/>
      <c r="CKB106" s="207"/>
      <c r="CKC106" s="208"/>
      <c r="CKD106" s="209"/>
      <c r="CKE106" s="207"/>
      <c r="CKF106" s="210"/>
      <c r="CKG106" s="209"/>
      <c r="CKH106" s="204"/>
      <c r="CKI106" s="204"/>
      <c r="CKJ106" s="204"/>
      <c r="CKK106" s="199"/>
      <c r="CKL106" s="167"/>
      <c r="CKM106" s="199"/>
      <c r="CKN106" s="200"/>
      <c r="CKO106" s="201"/>
      <c r="CKP106" s="202"/>
      <c r="CKQ106" s="202"/>
      <c r="CKR106" s="202"/>
      <c r="CKS106" s="202"/>
      <c r="CKT106" s="203"/>
      <c r="CKU106" s="204"/>
      <c r="CKV106" s="204"/>
      <c r="CKW106" s="204"/>
      <c r="CKX106" s="205"/>
      <c r="CKY106" s="206"/>
      <c r="CKZ106" s="207"/>
      <c r="CLA106" s="207"/>
      <c r="CLB106" s="208"/>
      <c r="CLC106" s="209"/>
      <c r="CLD106" s="207"/>
      <c r="CLE106" s="210"/>
      <c r="CLF106" s="209"/>
      <c r="CLG106" s="204"/>
      <c r="CLH106" s="204"/>
      <c r="CLI106" s="204"/>
      <c r="CLJ106" s="199"/>
      <c r="CLK106" s="167"/>
      <c r="CLL106" s="199"/>
      <c r="CLM106" s="200"/>
      <c r="CLN106" s="201"/>
      <c r="CLO106" s="202"/>
      <c r="CLP106" s="202"/>
      <c r="CLQ106" s="202"/>
      <c r="CLR106" s="202"/>
      <c r="CLS106" s="203"/>
      <c r="CLT106" s="204"/>
      <c r="CLU106" s="204"/>
      <c r="CLV106" s="204"/>
      <c r="CLW106" s="205"/>
      <c r="CLX106" s="206"/>
      <c r="CLY106" s="207"/>
      <c r="CLZ106" s="207"/>
      <c r="CMA106" s="208"/>
      <c r="CMB106" s="209"/>
      <c r="CMC106" s="207"/>
      <c r="CMD106" s="210"/>
      <c r="CME106" s="209"/>
      <c r="CMF106" s="204"/>
      <c r="CMG106" s="204"/>
      <c r="CMH106" s="204"/>
      <c r="CMI106" s="199"/>
      <c r="CMJ106" s="167"/>
      <c r="CMK106" s="199"/>
      <c r="CML106" s="200"/>
      <c r="CMM106" s="201"/>
      <c r="CMN106" s="202"/>
      <c r="CMO106" s="202"/>
      <c r="CMP106" s="202"/>
      <c r="CMQ106" s="202"/>
      <c r="CMR106" s="203"/>
      <c r="CMS106" s="204"/>
      <c r="CMT106" s="204"/>
      <c r="CMU106" s="204"/>
      <c r="CMV106" s="205"/>
      <c r="CMW106" s="206"/>
      <c r="CMX106" s="207"/>
      <c r="CMY106" s="207"/>
      <c r="CMZ106" s="208"/>
      <c r="CNA106" s="209"/>
      <c r="CNB106" s="207"/>
      <c r="CNC106" s="210"/>
      <c r="CND106" s="209"/>
      <c r="CNE106" s="204"/>
      <c r="CNF106" s="204"/>
      <c r="CNG106" s="204"/>
      <c r="CNH106" s="199"/>
      <c r="CNI106" s="167"/>
      <c r="CNJ106" s="199"/>
      <c r="CNK106" s="200"/>
      <c r="CNL106" s="201"/>
      <c r="CNM106" s="202"/>
      <c r="CNN106" s="202"/>
      <c r="CNO106" s="202"/>
      <c r="CNP106" s="202"/>
      <c r="CNQ106" s="203"/>
      <c r="CNR106" s="204"/>
      <c r="CNS106" s="204"/>
      <c r="CNT106" s="204"/>
      <c r="CNU106" s="205"/>
      <c r="CNV106" s="206"/>
      <c r="CNW106" s="207"/>
      <c r="CNX106" s="207"/>
      <c r="CNY106" s="208"/>
      <c r="CNZ106" s="209"/>
      <c r="COA106" s="207"/>
      <c r="COB106" s="210"/>
      <c r="COC106" s="209"/>
      <c r="COD106" s="204"/>
      <c r="COE106" s="204"/>
      <c r="COF106" s="204"/>
      <c r="COG106" s="199"/>
      <c r="COH106" s="167"/>
      <c r="COI106" s="199"/>
      <c r="COJ106" s="200"/>
      <c r="COK106" s="201"/>
      <c r="COL106" s="202"/>
      <c r="COM106" s="202"/>
      <c r="CON106" s="202"/>
      <c r="COO106" s="202"/>
      <c r="COP106" s="203"/>
      <c r="COQ106" s="204"/>
      <c r="COR106" s="204"/>
      <c r="COS106" s="204"/>
      <c r="COT106" s="205"/>
      <c r="COU106" s="206"/>
      <c r="COV106" s="207"/>
      <c r="COW106" s="207"/>
      <c r="COX106" s="208"/>
      <c r="COY106" s="209"/>
      <c r="COZ106" s="207"/>
      <c r="CPA106" s="210"/>
      <c r="CPB106" s="209"/>
      <c r="CPC106" s="204"/>
      <c r="CPD106" s="204"/>
      <c r="CPE106" s="204"/>
      <c r="CPF106" s="199"/>
      <c r="CPG106" s="167"/>
      <c r="CPH106" s="199"/>
      <c r="CPI106" s="200"/>
      <c r="CPJ106" s="201"/>
      <c r="CPK106" s="202"/>
      <c r="CPL106" s="202"/>
      <c r="CPM106" s="202"/>
      <c r="CPN106" s="202"/>
      <c r="CPO106" s="203"/>
      <c r="CPP106" s="204"/>
      <c r="CPQ106" s="204"/>
      <c r="CPR106" s="204"/>
      <c r="CPS106" s="205"/>
      <c r="CPT106" s="206"/>
      <c r="CPU106" s="207"/>
      <c r="CPV106" s="207"/>
      <c r="CPW106" s="208"/>
      <c r="CPX106" s="209"/>
      <c r="CPY106" s="207"/>
      <c r="CPZ106" s="210"/>
      <c r="CQA106" s="209"/>
      <c r="CQB106" s="204"/>
      <c r="CQC106" s="204"/>
      <c r="CQD106" s="204"/>
      <c r="CQE106" s="199"/>
      <c r="CQF106" s="167"/>
      <c r="CQG106" s="199"/>
      <c r="CQH106" s="200"/>
      <c r="CQI106" s="201"/>
      <c r="CQJ106" s="202"/>
      <c r="CQK106" s="202"/>
      <c r="CQL106" s="202"/>
      <c r="CQM106" s="202"/>
      <c r="CQN106" s="203"/>
      <c r="CQO106" s="204"/>
      <c r="CQP106" s="204"/>
      <c r="CQQ106" s="204"/>
      <c r="CQR106" s="205"/>
      <c r="CQS106" s="206"/>
      <c r="CQT106" s="207"/>
      <c r="CQU106" s="207"/>
      <c r="CQV106" s="208"/>
      <c r="CQW106" s="209"/>
      <c r="CQX106" s="207"/>
      <c r="CQY106" s="210"/>
      <c r="CQZ106" s="209"/>
      <c r="CRA106" s="204"/>
      <c r="CRB106" s="204"/>
      <c r="CRC106" s="204"/>
      <c r="CRD106" s="199"/>
      <c r="CRE106" s="167"/>
      <c r="CRF106" s="199"/>
      <c r="CRG106" s="200"/>
      <c r="CRH106" s="201"/>
      <c r="CRI106" s="202"/>
      <c r="CRJ106" s="202"/>
      <c r="CRK106" s="202"/>
      <c r="CRL106" s="202"/>
      <c r="CRM106" s="203"/>
      <c r="CRN106" s="204"/>
      <c r="CRO106" s="204"/>
      <c r="CRP106" s="204"/>
      <c r="CRQ106" s="205"/>
      <c r="CRR106" s="206"/>
      <c r="CRS106" s="207"/>
      <c r="CRT106" s="207"/>
      <c r="CRU106" s="208"/>
      <c r="CRV106" s="209"/>
      <c r="CRW106" s="207"/>
      <c r="CRX106" s="210"/>
      <c r="CRY106" s="209"/>
      <c r="CRZ106" s="204"/>
      <c r="CSA106" s="204"/>
      <c r="CSB106" s="204"/>
      <c r="CSC106" s="199"/>
      <c r="CSD106" s="167"/>
      <c r="CSE106" s="199"/>
      <c r="CSF106" s="200"/>
      <c r="CSG106" s="201"/>
      <c r="CSH106" s="202"/>
      <c r="CSI106" s="202"/>
      <c r="CSJ106" s="202"/>
      <c r="CSK106" s="202"/>
      <c r="CSL106" s="203"/>
      <c r="CSM106" s="204"/>
      <c r="CSN106" s="204"/>
      <c r="CSO106" s="204"/>
      <c r="CSP106" s="205"/>
      <c r="CSQ106" s="206"/>
      <c r="CSR106" s="207"/>
      <c r="CSS106" s="207"/>
      <c r="CST106" s="208"/>
      <c r="CSU106" s="209"/>
      <c r="CSV106" s="207"/>
      <c r="CSW106" s="210"/>
      <c r="CSX106" s="209"/>
      <c r="CSY106" s="204"/>
      <c r="CSZ106" s="204"/>
      <c r="CTA106" s="204"/>
      <c r="CTB106" s="199"/>
      <c r="CTC106" s="167"/>
      <c r="CTD106" s="199"/>
      <c r="CTE106" s="200"/>
      <c r="CTF106" s="201"/>
      <c r="CTG106" s="202"/>
      <c r="CTH106" s="202"/>
      <c r="CTI106" s="202"/>
      <c r="CTJ106" s="202"/>
      <c r="CTK106" s="203"/>
      <c r="CTL106" s="204"/>
      <c r="CTM106" s="204"/>
      <c r="CTN106" s="204"/>
      <c r="CTO106" s="205"/>
      <c r="CTP106" s="206"/>
      <c r="CTQ106" s="207"/>
      <c r="CTR106" s="207"/>
      <c r="CTS106" s="208"/>
      <c r="CTT106" s="209"/>
      <c r="CTU106" s="207"/>
      <c r="CTV106" s="210"/>
      <c r="CTW106" s="209"/>
      <c r="CTX106" s="204"/>
      <c r="CTY106" s="204"/>
      <c r="CTZ106" s="204"/>
      <c r="CUA106" s="199"/>
      <c r="CUB106" s="167"/>
      <c r="CUC106" s="199"/>
      <c r="CUD106" s="200"/>
      <c r="CUE106" s="201"/>
      <c r="CUF106" s="202"/>
      <c r="CUG106" s="202"/>
      <c r="CUH106" s="202"/>
      <c r="CUI106" s="202"/>
      <c r="CUJ106" s="203"/>
      <c r="CUK106" s="204"/>
      <c r="CUL106" s="204"/>
      <c r="CUM106" s="204"/>
      <c r="CUN106" s="205"/>
      <c r="CUO106" s="206"/>
      <c r="CUP106" s="207"/>
      <c r="CUQ106" s="207"/>
      <c r="CUR106" s="208"/>
      <c r="CUS106" s="209"/>
      <c r="CUT106" s="207"/>
      <c r="CUU106" s="210"/>
      <c r="CUV106" s="209"/>
      <c r="CUW106" s="204"/>
      <c r="CUX106" s="204"/>
      <c r="CUY106" s="204"/>
      <c r="CUZ106" s="199"/>
      <c r="CVA106" s="167"/>
      <c r="CVB106" s="199"/>
      <c r="CVC106" s="200"/>
      <c r="CVD106" s="201"/>
      <c r="CVE106" s="202"/>
      <c r="CVF106" s="202"/>
      <c r="CVG106" s="202"/>
      <c r="CVH106" s="202"/>
      <c r="CVI106" s="203"/>
      <c r="CVJ106" s="204"/>
      <c r="CVK106" s="204"/>
      <c r="CVL106" s="204"/>
      <c r="CVM106" s="205"/>
      <c r="CVN106" s="206"/>
      <c r="CVO106" s="207"/>
      <c r="CVP106" s="207"/>
      <c r="CVQ106" s="208"/>
      <c r="CVR106" s="209"/>
      <c r="CVS106" s="207"/>
      <c r="CVT106" s="210"/>
      <c r="CVU106" s="209"/>
      <c r="CVV106" s="204"/>
      <c r="CVW106" s="204"/>
      <c r="CVX106" s="204"/>
      <c r="CVY106" s="199"/>
      <c r="CVZ106" s="167"/>
      <c r="CWA106" s="199"/>
      <c r="CWB106" s="200"/>
      <c r="CWC106" s="201"/>
      <c r="CWD106" s="202"/>
      <c r="CWE106" s="202"/>
      <c r="CWF106" s="202"/>
      <c r="CWG106" s="202"/>
      <c r="CWH106" s="203"/>
      <c r="CWI106" s="204"/>
      <c r="CWJ106" s="204"/>
      <c r="CWK106" s="204"/>
      <c r="CWL106" s="205"/>
      <c r="CWM106" s="206"/>
      <c r="CWN106" s="207"/>
      <c r="CWO106" s="207"/>
      <c r="CWP106" s="208"/>
      <c r="CWQ106" s="209"/>
      <c r="CWR106" s="207"/>
      <c r="CWS106" s="210"/>
      <c r="CWT106" s="209"/>
      <c r="CWU106" s="204"/>
      <c r="CWV106" s="204"/>
      <c r="CWW106" s="204"/>
      <c r="CWX106" s="199"/>
      <c r="CWY106" s="167"/>
      <c r="CWZ106" s="199"/>
      <c r="CXA106" s="200"/>
      <c r="CXB106" s="201"/>
      <c r="CXC106" s="202"/>
      <c r="CXD106" s="202"/>
      <c r="CXE106" s="202"/>
      <c r="CXF106" s="202"/>
      <c r="CXG106" s="203"/>
      <c r="CXH106" s="204"/>
      <c r="CXI106" s="204"/>
      <c r="CXJ106" s="204"/>
      <c r="CXK106" s="205"/>
      <c r="CXL106" s="206"/>
      <c r="CXM106" s="207"/>
      <c r="CXN106" s="207"/>
      <c r="CXO106" s="208"/>
      <c r="CXP106" s="209"/>
      <c r="CXQ106" s="207"/>
      <c r="CXR106" s="210"/>
      <c r="CXS106" s="209"/>
      <c r="CXT106" s="204"/>
      <c r="CXU106" s="204"/>
      <c r="CXV106" s="204"/>
      <c r="CXW106" s="199"/>
      <c r="CXX106" s="167"/>
      <c r="CXY106" s="199"/>
      <c r="CXZ106" s="200"/>
      <c r="CYA106" s="201"/>
      <c r="CYB106" s="202"/>
      <c r="CYC106" s="202"/>
      <c r="CYD106" s="202"/>
      <c r="CYE106" s="202"/>
      <c r="CYF106" s="203"/>
      <c r="CYG106" s="204"/>
      <c r="CYH106" s="204"/>
      <c r="CYI106" s="204"/>
      <c r="CYJ106" s="205"/>
      <c r="CYK106" s="206"/>
      <c r="CYL106" s="207"/>
      <c r="CYM106" s="207"/>
      <c r="CYN106" s="208"/>
      <c r="CYO106" s="209"/>
      <c r="CYP106" s="207"/>
      <c r="CYQ106" s="210"/>
      <c r="CYR106" s="209"/>
      <c r="CYS106" s="204"/>
      <c r="CYT106" s="204"/>
      <c r="CYU106" s="204"/>
      <c r="CYV106" s="199"/>
      <c r="CYW106" s="167"/>
      <c r="CYX106" s="199"/>
      <c r="CYY106" s="200"/>
      <c r="CYZ106" s="201"/>
      <c r="CZA106" s="202"/>
      <c r="CZB106" s="202"/>
      <c r="CZC106" s="202"/>
      <c r="CZD106" s="202"/>
      <c r="CZE106" s="203"/>
      <c r="CZF106" s="204"/>
      <c r="CZG106" s="204"/>
      <c r="CZH106" s="204"/>
      <c r="CZI106" s="205"/>
      <c r="CZJ106" s="206"/>
      <c r="CZK106" s="207"/>
      <c r="CZL106" s="207"/>
      <c r="CZM106" s="208"/>
      <c r="CZN106" s="209"/>
      <c r="CZO106" s="207"/>
      <c r="CZP106" s="210"/>
      <c r="CZQ106" s="209"/>
      <c r="CZR106" s="204"/>
      <c r="CZS106" s="204"/>
      <c r="CZT106" s="204"/>
      <c r="CZU106" s="199"/>
      <c r="CZV106" s="167"/>
      <c r="CZW106" s="199"/>
      <c r="CZX106" s="200"/>
      <c r="CZY106" s="201"/>
      <c r="CZZ106" s="202"/>
      <c r="DAA106" s="202"/>
      <c r="DAB106" s="202"/>
      <c r="DAC106" s="202"/>
      <c r="DAD106" s="203"/>
      <c r="DAE106" s="204"/>
      <c r="DAF106" s="204"/>
      <c r="DAG106" s="204"/>
      <c r="DAH106" s="205"/>
      <c r="DAI106" s="206"/>
      <c r="DAJ106" s="207"/>
      <c r="DAK106" s="207"/>
      <c r="DAL106" s="208"/>
      <c r="DAM106" s="209"/>
      <c r="DAN106" s="207"/>
      <c r="DAO106" s="210"/>
      <c r="DAP106" s="209"/>
      <c r="DAQ106" s="204"/>
      <c r="DAR106" s="204"/>
      <c r="DAS106" s="204"/>
      <c r="DAT106" s="199"/>
      <c r="DAU106" s="167"/>
      <c r="DAV106" s="199"/>
      <c r="DAW106" s="200"/>
      <c r="DAX106" s="201"/>
      <c r="DAY106" s="202"/>
      <c r="DAZ106" s="202"/>
      <c r="DBA106" s="202"/>
      <c r="DBB106" s="202"/>
      <c r="DBC106" s="203"/>
      <c r="DBD106" s="204"/>
      <c r="DBE106" s="204"/>
      <c r="DBF106" s="204"/>
      <c r="DBG106" s="205"/>
      <c r="DBH106" s="206"/>
      <c r="DBI106" s="207"/>
      <c r="DBJ106" s="207"/>
      <c r="DBK106" s="208"/>
      <c r="DBL106" s="209"/>
      <c r="DBM106" s="207"/>
      <c r="DBN106" s="210"/>
      <c r="DBO106" s="209"/>
      <c r="DBP106" s="204"/>
      <c r="DBQ106" s="204"/>
      <c r="DBR106" s="204"/>
      <c r="DBS106" s="199"/>
      <c r="DBT106" s="167"/>
      <c r="DBU106" s="199"/>
      <c r="DBV106" s="200"/>
      <c r="DBW106" s="201"/>
      <c r="DBX106" s="202"/>
      <c r="DBY106" s="202"/>
      <c r="DBZ106" s="202"/>
      <c r="DCA106" s="202"/>
      <c r="DCB106" s="203"/>
      <c r="DCC106" s="204"/>
      <c r="DCD106" s="204"/>
      <c r="DCE106" s="204"/>
      <c r="DCF106" s="205"/>
      <c r="DCG106" s="206"/>
      <c r="DCH106" s="207"/>
      <c r="DCI106" s="207"/>
      <c r="DCJ106" s="208"/>
      <c r="DCK106" s="209"/>
      <c r="DCL106" s="207"/>
      <c r="DCM106" s="210"/>
      <c r="DCN106" s="209"/>
      <c r="DCO106" s="204"/>
      <c r="DCP106" s="204"/>
      <c r="DCQ106" s="204"/>
      <c r="DCR106" s="199"/>
      <c r="DCS106" s="167"/>
      <c r="DCT106" s="199"/>
      <c r="DCU106" s="200"/>
      <c r="DCV106" s="201"/>
      <c r="DCW106" s="202"/>
      <c r="DCX106" s="202"/>
      <c r="DCY106" s="202"/>
      <c r="DCZ106" s="202"/>
      <c r="DDA106" s="203"/>
      <c r="DDB106" s="204"/>
      <c r="DDC106" s="204"/>
      <c r="DDD106" s="204"/>
      <c r="DDE106" s="205"/>
      <c r="DDF106" s="206"/>
      <c r="DDG106" s="207"/>
      <c r="DDH106" s="207"/>
      <c r="DDI106" s="208"/>
      <c r="DDJ106" s="209"/>
      <c r="DDK106" s="207"/>
      <c r="DDL106" s="210"/>
      <c r="DDM106" s="209"/>
      <c r="DDN106" s="204"/>
      <c r="DDO106" s="204"/>
      <c r="DDP106" s="204"/>
      <c r="DDQ106" s="199"/>
      <c r="DDR106" s="167"/>
      <c r="DDS106" s="199"/>
      <c r="DDT106" s="200"/>
      <c r="DDU106" s="201"/>
      <c r="DDV106" s="202"/>
      <c r="DDW106" s="202"/>
      <c r="DDX106" s="202"/>
      <c r="DDY106" s="202"/>
      <c r="DDZ106" s="203"/>
      <c r="DEA106" s="204"/>
      <c r="DEB106" s="204"/>
      <c r="DEC106" s="204"/>
      <c r="DED106" s="205"/>
      <c r="DEE106" s="206"/>
      <c r="DEF106" s="207"/>
      <c r="DEG106" s="207"/>
      <c r="DEH106" s="208"/>
      <c r="DEI106" s="209"/>
      <c r="DEJ106" s="207"/>
      <c r="DEK106" s="210"/>
      <c r="DEL106" s="209"/>
      <c r="DEM106" s="204"/>
      <c r="DEN106" s="204"/>
      <c r="DEO106" s="204"/>
      <c r="DEP106" s="199"/>
      <c r="DEQ106" s="167"/>
      <c r="DER106" s="199"/>
      <c r="DES106" s="200"/>
      <c r="DET106" s="201"/>
      <c r="DEU106" s="202"/>
      <c r="DEV106" s="202"/>
      <c r="DEW106" s="202"/>
      <c r="DEX106" s="202"/>
      <c r="DEY106" s="203"/>
      <c r="DEZ106" s="204"/>
      <c r="DFA106" s="204"/>
      <c r="DFB106" s="204"/>
      <c r="DFC106" s="205"/>
      <c r="DFD106" s="206"/>
      <c r="DFE106" s="207"/>
      <c r="DFF106" s="207"/>
      <c r="DFG106" s="208"/>
      <c r="DFH106" s="209"/>
      <c r="DFI106" s="207"/>
      <c r="DFJ106" s="210"/>
      <c r="DFK106" s="209"/>
      <c r="DFL106" s="204"/>
      <c r="DFM106" s="204"/>
      <c r="DFN106" s="204"/>
      <c r="DFO106" s="199"/>
      <c r="DFP106" s="167"/>
      <c r="DFQ106" s="199"/>
      <c r="DFR106" s="200"/>
      <c r="DFS106" s="201"/>
      <c r="DFT106" s="202"/>
      <c r="DFU106" s="202"/>
      <c r="DFV106" s="202"/>
      <c r="DFW106" s="202"/>
      <c r="DFX106" s="203"/>
      <c r="DFY106" s="204"/>
      <c r="DFZ106" s="204"/>
      <c r="DGA106" s="204"/>
      <c r="DGB106" s="205"/>
      <c r="DGC106" s="206"/>
      <c r="DGD106" s="207"/>
      <c r="DGE106" s="207"/>
      <c r="DGF106" s="208"/>
      <c r="DGG106" s="209"/>
      <c r="DGH106" s="207"/>
      <c r="DGI106" s="210"/>
      <c r="DGJ106" s="209"/>
      <c r="DGK106" s="204"/>
      <c r="DGL106" s="204"/>
      <c r="DGM106" s="204"/>
      <c r="DGN106" s="199"/>
      <c r="DGO106" s="167"/>
      <c r="DGP106" s="199"/>
      <c r="DGQ106" s="200"/>
      <c r="DGR106" s="201"/>
      <c r="DGS106" s="202"/>
      <c r="DGT106" s="202"/>
      <c r="DGU106" s="202"/>
      <c r="DGV106" s="202"/>
      <c r="DGW106" s="203"/>
      <c r="DGX106" s="204"/>
      <c r="DGY106" s="204"/>
      <c r="DGZ106" s="204"/>
      <c r="DHA106" s="205"/>
      <c r="DHB106" s="206"/>
      <c r="DHC106" s="207"/>
      <c r="DHD106" s="207"/>
      <c r="DHE106" s="208"/>
      <c r="DHF106" s="209"/>
      <c r="DHG106" s="207"/>
      <c r="DHH106" s="210"/>
      <c r="DHI106" s="209"/>
      <c r="DHJ106" s="204"/>
      <c r="DHK106" s="204"/>
      <c r="DHL106" s="204"/>
      <c r="DHM106" s="199"/>
      <c r="DHN106" s="167"/>
      <c r="DHO106" s="199"/>
      <c r="DHP106" s="200"/>
      <c r="DHQ106" s="201"/>
      <c r="DHR106" s="202"/>
      <c r="DHS106" s="202"/>
      <c r="DHT106" s="202"/>
      <c r="DHU106" s="202"/>
      <c r="DHV106" s="203"/>
      <c r="DHW106" s="204"/>
      <c r="DHX106" s="204"/>
      <c r="DHY106" s="204"/>
      <c r="DHZ106" s="205"/>
      <c r="DIA106" s="206"/>
      <c r="DIB106" s="207"/>
      <c r="DIC106" s="207"/>
      <c r="DID106" s="208"/>
      <c r="DIE106" s="209"/>
      <c r="DIF106" s="207"/>
      <c r="DIG106" s="210"/>
      <c r="DIH106" s="209"/>
      <c r="DII106" s="204"/>
      <c r="DIJ106" s="204"/>
      <c r="DIK106" s="204"/>
      <c r="DIL106" s="199"/>
      <c r="DIM106" s="167"/>
      <c r="DIN106" s="199"/>
      <c r="DIO106" s="200"/>
      <c r="DIP106" s="201"/>
      <c r="DIQ106" s="202"/>
      <c r="DIR106" s="202"/>
      <c r="DIS106" s="202"/>
      <c r="DIT106" s="202"/>
      <c r="DIU106" s="203"/>
      <c r="DIV106" s="204"/>
      <c r="DIW106" s="204"/>
      <c r="DIX106" s="204"/>
      <c r="DIY106" s="205"/>
      <c r="DIZ106" s="206"/>
      <c r="DJA106" s="207"/>
      <c r="DJB106" s="207"/>
      <c r="DJC106" s="208"/>
      <c r="DJD106" s="209"/>
      <c r="DJE106" s="207"/>
      <c r="DJF106" s="210"/>
      <c r="DJG106" s="209"/>
      <c r="DJH106" s="204"/>
      <c r="DJI106" s="204"/>
      <c r="DJJ106" s="204"/>
      <c r="DJK106" s="199"/>
      <c r="DJL106" s="167"/>
      <c r="DJM106" s="199"/>
      <c r="DJN106" s="200"/>
      <c r="DJO106" s="201"/>
      <c r="DJP106" s="202"/>
      <c r="DJQ106" s="202"/>
      <c r="DJR106" s="202"/>
      <c r="DJS106" s="202"/>
      <c r="DJT106" s="203"/>
      <c r="DJU106" s="204"/>
      <c r="DJV106" s="204"/>
      <c r="DJW106" s="204"/>
      <c r="DJX106" s="205"/>
      <c r="DJY106" s="206"/>
      <c r="DJZ106" s="207"/>
      <c r="DKA106" s="207"/>
      <c r="DKB106" s="208"/>
      <c r="DKC106" s="209"/>
      <c r="DKD106" s="207"/>
      <c r="DKE106" s="210"/>
      <c r="DKF106" s="209"/>
      <c r="DKG106" s="204"/>
      <c r="DKH106" s="204"/>
      <c r="DKI106" s="204"/>
      <c r="DKJ106" s="199"/>
      <c r="DKK106" s="167"/>
      <c r="DKL106" s="199"/>
      <c r="DKM106" s="200"/>
      <c r="DKN106" s="201"/>
      <c r="DKO106" s="202"/>
      <c r="DKP106" s="202"/>
      <c r="DKQ106" s="202"/>
      <c r="DKR106" s="202"/>
      <c r="DKS106" s="203"/>
      <c r="DKT106" s="204"/>
      <c r="DKU106" s="204"/>
      <c r="DKV106" s="204"/>
      <c r="DKW106" s="205"/>
      <c r="DKX106" s="206"/>
      <c r="DKY106" s="207"/>
      <c r="DKZ106" s="207"/>
      <c r="DLA106" s="208"/>
      <c r="DLB106" s="209"/>
      <c r="DLC106" s="207"/>
      <c r="DLD106" s="210"/>
      <c r="DLE106" s="209"/>
      <c r="DLF106" s="204"/>
      <c r="DLG106" s="204"/>
      <c r="DLH106" s="204"/>
      <c r="DLI106" s="199"/>
      <c r="DLJ106" s="167"/>
      <c r="DLK106" s="199"/>
      <c r="DLL106" s="200"/>
      <c r="DLM106" s="201"/>
      <c r="DLN106" s="202"/>
      <c r="DLO106" s="202"/>
      <c r="DLP106" s="202"/>
      <c r="DLQ106" s="202"/>
      <c r="DLR106" s="203"/>
      <c r="DLS106" s="204"/>
      <c r="DLT106" s="204"/>
      <c r="DLU106" s="204"/>
      <c r="DLV106" s="205"/>
      <c r="DLW106" s="206"/>
      <c r="DLX106" s="207"/>
      <c r="DLY106" s="207"/>
      <c r="DLZ106" s="208"/>
      <c r="DMA106" s="209"/>
      <c r="DMB106" s="207"/>
      <c r="DMC106" s="210"/>
      <c r="DMD106" s="209"/>
      <c r="DME106" s="204"/>
      <c r="DMF106" s="204"/>
      <c r="DMG106" s="204"/>
      <c r="DMH106" s="199"/>
      <c r="DMI106" s="167"/>
      <c r="DMJ106" s="199"/>
      <c r="DMK106" s="200"/>
      <c r="DML106" s="201"/>
      <c r="DMM106" s="202"/>
      <c r="DMN106" s="202"/>
      <c r="DMO106" s="202"/>
      <c r="DMP106" s="202"/>
      <c r="DMQ106" s="203"/>
      <c r="DMR106" s="204"/>
      <c r="DMS106" s="204"/>
      <c r="DMT106" s="204"/>
      <c r="DMU106" s="205"/>
      <c r="DMV106" s="206"/>
      <c r="DMW106" s="207"/>
      <c r="DMX106" s="207"/>
      <c r="DMY106" s="208"/>
      <c r="DMZ106" s="209"/>
      <c r="DNA106" s="207"/>
      <c r="DNB106" s="210"/>
      <c r="DNC106" s="209"/>
      <c r="DND106" s="204"/>
      <c r="DNE106" s="204"/>
      <c r="DNF106" s="204"/>
      <c r="DNG106" s="199"/>
      <c r="DNH106" s="167"/>
      <c r="DNI106" s="199"/>
      <c r="DNJ106" s="200"/>
      <c r="DNK106" s="201"/>
      <c r="DNL106" s="202"/>
      <c r="DNM106" s="202"/>
      <c r="DNN106" s="202"/>
      <c r="DNO106" s="202"/>
      <c r="DNP106" s="203"/>
      <c r="DNQ106" s="204"/>
      <c r="DNR106" s="204"/>
      <c r="DNS106" s="204"/>
      <c r="DNT106" s="205"/>
      <c r="DNU106" s="206"/>
      <c r="DNV106" s="207"/>
      <c r="DNW106" s="207"/>
      <c r="DNX106" s="208"/>
      <c r="DNY106" s="209"/>
      <c r="DNZ106" s="207"/>
      <c r="DOA106" s="210"/>
      <c r="DOB106" s="209"/>
      <c r="DOC106" s="204"/>
      <c r="DOD106" s="204"/>
      <c r="DOE106" s="204"/>
      <c r="DOF106" s="199"/>
      <c r="DOG106" s="167"/>
      <c r="DOH106" s="199"/>
      <c r="DOI106" s="200"/>
      <c r="DOJ106" s="201"/>
      <c r="DOK106" s="202"/>
      <c r="DOL106" s="202"/>
      <c r="DOM106" s="202"/>
      <c r="DON106" s="202"/>
      <c r="DOO106" s="203"/>
      <c r="DOP106" s="204"/>
      <c r="DOQ106" s="204"/>
      <c r="DOR106" s="204"/>
      <c r="DOS106" s="205"/>
      <c r="DOT106" s="206"/>
      <c r="DOU106" s="207"/>
      <c r="DOV106" s="207"/>
      <c r="DOW106" s="208"/>
      <c r="DOX106" s="209"/>
      <c r="DOY106" s="207"/>
      <c r="DOZ106" s="210"/>
      <c r="DPA106" s="209"/>
      <c r="DPB106" s="204"/>
      <c r="DPC106" s="204"/>
      <c r="DPD106" s="204"/>
      <c r="DPE106" s="199"/>
      <c r="DPF106" s="167"/>
      <c r="DPG106" s="199"/>
      <c r="DPH106" s="200"/>
      <c r="DPI106" s="201"/>
      <c r="DPJ106" s="202"/>
      <c r="DPK106" s="202"/>
      <c r="DPL106" s="202"/>
      <c r="DPM106" s="202"/>
      <c r="DPN106" s="203"/>
      <c r="DPO106" s="204"/>
      <c r="DPP106" s="204"/>
      <c r="DPQ106" s="204"/>
      <c r="DPR106" s="205"/>
      <c r="DPS106" s="206"/>
      <c r="DPT106" s="207"/>
      <c r="DPU106" s="207"/>
      <c r="DPV106" s="208"/>
      <c r="DPW106" s="209"/>
      <c r="DPX106" s="207"/>
      <c r="DPY106" s="210"/>
      <c r="DPZ106" s="209"/>
      <c r="DQA106" s="204"/>
      <c r="DQB106" s="204"/>
      <c r="DQC106" s="204"/>
      <c r="DQD106" s="199"/>
      <c r="DQE106" s="167"/>
      <c r="DQF106" s="199"/>
      <c r="DQG106" s="200"/>
      <c r="DQH106" s="201"/>
      <c r="DQI106" s="202"/>
      <c r="DQJ106" s="202"/>
      <c r="DQK106" s="202"/>
      <c r="DQL106" s="202"/>
      <c r="DQM106" s="203"/>
      <c r="DQN106" s="204"/>
      <c r="DQO106" s="204"/>
      <c r="DQP106" s="204"/>
      <c r="DQQ106" s="205"/>
      <c r="DQR106" s="206"/>
      <c r="DQS106" s="207"/>
      <c r="DQT106" s="207"/>
      <c r="DQU106" s="208"/>
      <c r="DQV106" s="209"/>
      <c r="DQW106" s="207"/>
      <c r="DQX106" s="210"/>
      <c r="DQY106" s="209"/>
      <c r="DQZ106" s="204"/>
      <c r="DRA106" s="204"/>
      <c r="DRB106" s="204"/>
      <c r="DRC106" s="199"/>
      <c r="DRD106" s="167"/>
      <c r="DRE106" s="199"/>
      <c r="DRF106" s="200"/>
      <c r="DRG106" s="201"/>
      <c r="DRH106" s="202"/>
      <c r="DRI106" s="202"/>
      <c r="DRJ106" s="202"/>
      <c r="DRK106" s="202"/>
      <c r="DRL106" s="203"/>
      <c r="DRM106" s="204"/>
      <c r="DRN106" s="204"/>
      <c r="DRO106" s="204"/>
      <c r="DRP106" s="205"/>
      <c r="DRQ106" s="206"/>
      <c r="DRR106" s="207"/>
      <c r="DRS106" s="207"/>
      <c r="DRT106" s="208"/>
      <c r="DRU106" s="209"/>
      <c r="DRV106" s="207"/>
      <c r="DRW106" s="210"/>
      <c r="DRX106" s="209"/>
      <c r="DRY106" s="204"/>
      <c r="DRZ106" s="204"/>
      <c r="DSA106" s="204"/>
      <c r="DSB106" s="199"/>
      <c r="DSC106" s="167"/>
      <c r="DSD106" s="199"/>
      <c r="DSE106" s="200"/>
      <c r="DSF106" s="201"/>
      <c r="DSG106" s="202"/>
      <c r="DSH106" s="202"/>
      <c r="DSI106" s="202"/>
      <c r="DSJ106" s="202"/>
      <c r="DSK106" s="203"/>
      <c r="DSL106" s="204"/>
      <c r="DSM106" s="204"/>
      <c r="DSN106" s="204"/>
      <c r="DSO106" s="205"/>
      <c r="DSP106" s="206"/>
      <c r="DSQ106" s="207"/>
      <c r="DSR106" s="207"/>
      <c r="DSS106" s="208"/>
      <c r="DST106" s="209"/>
      <c r="DSU106" s="207"/>
      <c r="DSV106" s="210"/>
      <c r="DSW106" s="209"/>
      <c r="DSX106" s="204"/>
      <c r="DSY106" s="204"/>
      <c r="DSZ106" s="204"/>
      <c r="DTA106" s="199"/>
      <c r="DTB106" s="167"/>
      <c r="DTC106" s="199"/>
      <c r="DTD106" s="200"/>
      <c r="DTE106" s="201"/>
      <c r="DTF106" s="202"/>
      <c r="DTG106" s="202"/>
      <c r="DTH106" s="202"/>
      <c r="DTI106" s="202"/>
      <c r="DTJ106" s="203"/>
      <c r="DTK106" s="204"/>
      <c r="DTL106" s="204"/>
      <c r="DTM106" s="204"/>
      <c r="DTN106" s="205"/>
      <c r="DTO106" s="206"/>
      <c r="DTP106" s="207"/>
      <c r="DTQ106" s="207"/>
      <c r="DTR106" s="208"/>
      <c r="DTS106" s="209"/>
      <c r="DTT106" s="207"/>
      <c r="DTU106" s="210"/>
      <c r="DTV106" s="209"/>
      <c r="DTW106" s="204"/>
      <c r="DTX106" s="204"/>
      <c r="DTY106" s="204"/>
      <c r="DTZ106" s="199"/>
      <c r="DUA106" s="167"/>
      <c r="DUB106" s="199"/>
      <c r="DUC106" s="200"/>
      <c r="DUD106" s="201"/>
      <c r="DUE106" s="202"/>
      <c r="DUF106" s="202"/>
      <c r="DUG106" s="202"/>
      <c r="DUH106" s="202"/>
      <c r="DUI106" s="203"/>
      <c r="DUJ106" s="204"/>
      <c r="DUK106" s="204"/>
      <c r="DUL106" s="204"/>
      <c r="DUM106" s="205"/>
      <c r="DUN106" s="206"/>
      <c r="DUO106" s="207"/>
      <c r="DUP106" s="207"/>
      <c r="DUQ106" s="208"/>
      <c r="DUR106" s="209"/>
      <c r="DUS106" s="207"/>
      <c r="DUT106" s="210"/>
      <c r="DUU106" s="209"/>
      <c r="DUV106" s="204"/>
      <c r="DUW106" s="204"/>
      <c r="DUX106" s="204"/>
      <c r="DUY106" s="199"/>
      <c r="DUZ106" s="167"/>
      <c r="DVA106" s="199"/>
      <c r="DVB106" s="200"/>
      <c r="DVC106" s="201"/>
      <c r="DVD106" s="202"/>
      <c r="DVE106" s="202"/>
      <c r="DVF106" s="202"/>
      <c r="DVG106" s="202"/>
      <c r="DVH106" s="203"/>
      <c r="DVI106" s="204"/>
      <c r="DVJ106" s="204"/>
      <c r="DVK106" s="204"/>
      <c r="DVL106" s="205"/>
      <c r="DVM106" s="206"/>
      <c r="DVN106" s="207"/>
      <c r="DVO106" s="207"/>
      <c r="DVP106" s="208"/>
      <c r="DVQ106" s="209"/>
      <c r="DVR106" s="207"/>
      <c r="DVS106" s="210"/>
      <c r="DVT106" s="209"/>
      <c r="DVU106" s="204"/>
      <c r="DVV106" s="204"/>
      <c r="DVW106" s="204"/>
      <c r="DVX106" s="199"/>
      <c r="DVY106" s="167"/>
      <c r="DVZ106" s="199"/>
      <c r="DWA106" s="200"/>
      <c r="DWB106" s="201"/>
      <c r="DWC106" s="202"/>
      <c r="DWD106" s="202"/>
      <c r="DWE106" s="202"/>
      <c r="DWF106" s="202"/>
      <c r="DWG106" s="203"/>
      <c r="DWH106" s="204"/>
      <c r="DWI106" s="204"/>
      <c r="DWJ106" s="204"/>
      <c r="DWK106" s="205"/>
      <c r="DWL106" s="206"/>
      <c r="DWM106" s="207"/>
      <c r="DWN106" s="207"/>
      <c r="DWO106" s="208"/>
      <c r="DWP106" s="209"/>
      <c r="DWQ106" s="207"/>
      <c r="DWR106" s="210"/>
      <c r="DWS106" s="209"/>
      <c r="DWT106" s="204"/>
      <c r="DWU106" s="204"/>
      <c r="DWV106" s="204"/>
      <c r="DWW106" s="199"/>
      <c r="DWX106" s="167"/>
      <c r="DWY106" s="199"/>
      <c r="DWZ106" s="200"/>
      <c r="DXA106" s="201"/>
      <c r="DXB106" s="202"/>
      <c r="DXC106" s="202"/>
      <c r="DXD106" s="202"/>
      <c r="DXE106" s="202"/>
      <c r="DXF106" s="203"/>
      <c r="DXG106" s="204"/>
      <c r="DXH106" s="204"/>
      <c r="DXI106" s="204"/>
      <c r="DXJ106" s="205"/>
      <c r="DXK106" s="206"/>
      <c r="DXL106" s="207"/>
      <c r="DXM106" s="207"/>
      <c r="DXN106" s="208"/>
      <c r="DXO106" s="209"/>
      <c r="DXP106" s="207"/>
      <c r="DXQ106" s="210"/>
      <c r="DXR106" s="209"/>
      <c r="DXS106" s="204"/>
      <c r="DXT106" s="204"/>
      <c r="DXU106" s="204"/>
      <c r="DXV106" s="199"/>
      <c r="DXW106" s="167"/>
      <c r="DXX106" s="199"/>
      <c r="DXY106" s="200"/>
      <c r="DXZ106" s="201"/>
      <c r="DYA106" s="202"/>
      <c r="DYB106" s="202"/>
      <c r="DYC106" s="202"/>
      <c r="DYD106" s="202"/>
      <c r="DYE106" s="203"/>
      <c r="DYF106" s="204"/>
      <c r="DYG106" s="204"/>
      <c r="DYH106" s="204"/>
      <c r="DYI106" s="205"/>
      <c r="DYJ106" s="206"/>
      <c r="DYK106" s="207"/>
      <c r="DYL106" s="207"/>
      <c r="DYM106" s="208"/>
      <c r="DYN106" s="209"/>
      <c r="DYO106" s="207"/>
      <c r="DYP106" s="210"/>
      <c r="DYQ106" s="209"/>
      <c r="DYR106" s="204"/>
      <c r="DYS106" s="204"/>
      <c r="DYT106" s="204"/>
      <c r="DYU106" s="199"/>
      <c r="DYV106" s="167"/>
      <c r="DYW106" s="199"/>
      <c r="DYX106" s="200"/>
      <c r="DYY106" s="201"/>
      <c r="DYZ106" s="202"/>
      <c r="DZA106" s="202"/>
      <c r="DZB106" s="202"/>
      <c r="DZC106" s="202"/>
      <c r="DZD106" s="203"/>
      <c r="DZE106" s="204"/>
      <c r="DZF106" s="204"/>
      <c r="DZG106" s="204"/>
      <c r="DZH106" s="205"/>
      <c r="DZI106" s="206"/>
      <c r="DZJ106" s="207"/>
      <c r="DZK106" s="207"/>
      <c r="DZL106" s="208"/>
      <c r="DZM106" s="209"/>
      <c r="DZN106" s="207"/>
      <c r="DZO106" s="210"/>
      <c r="DZP106" s="209"/>
      <c r="DZQ106" s="204"/>
      <c r="DZR106" s="204"/>
      <c r="DZS106" s="204"/>
      <c r="DZT106" s="199"/>
      <c r="DZU106" s="167"/>
      <c r="DZV106" s="199"/>
      <c r="DZW106" s="200"/>
      <c r="DZX106" s="201"/>
      <c r="DZY106" s="202"/>
      <c r="DZZ106" s="202"/>
      <c r="EAA106" s="202"/>
      <c r="EAB106" s="202"/>
      <c r="EAC106" s="203"/>
      <c r="EAD106" s="204"/>
      <c r="EAE106" s="204"/>
      <c r="EAF106" s="204"/>
      <c r="EAG106" s="205"/>
      <c r="EAH106" s="206"/>
      <c r="EAI106" s="207"/>
      <c r="EAJ106" s="207"/>
      <c r="EAK106" s="208"/>
      <c r="EAL106" s="209"/>
      <c r="EAM106" s="207"/>
      <c r="EAN106" s="210"/>
      <c r="EAO106" s="209"/>
      <c r="EAP106" s="204"/>
      <c r="EAQ106" s="204"/>
      <c r="EAR106" s="204"/>
      <c r="EAS106" s="199"/>
      <c r="EAT106" s="167"/>
      <c r="EAU106" s="199"/>
      <c r="EAV106" s="200"/>
      <c r="EAW106" s="201"/>
      <c r="EAX106" s="202"/>
      <c r="EAY106" s="202"/>
      <c r="EAZ106" s="202"/>
      <c r="EBA106" s="202"/>
      <c r="EBB106" s="203"/>
      <c r="EBC106" s="204"/>
      <c r="EBD106" s="204"/>
      <c r="EBE106" s="204"/>
      <c r="EBF106" s="205"/>
      <c r="EBG106" s="206"/>
      <c r="EBH106" s="207"/>
      <c r="EBI106" s="207"/>
      <c r="EBJ106" s="208"/>
      <c r="EBK106" s="209"/>
      <c r="EBL106" s="207"/>
      <c r="EBM106" s="210"/>
      <c r="EBN106" s="209"/>
      <c r="EBO106" s="204"/>
      <c r="EBP106" s="204"/>
      <c r="EBQ106" s="204"/>
      <c r="EBR106" s="199"/>
      <c r="EBS106" s="167"/>
      <c r="EBT106" s="199"/>
      <c r="EBU106" s="200"/>
      <c r="EBV106" s="201"/>
      <c r="EBW106" s="202"/>
      <c r="EBX106" s="202"/>
      <c r="EBY106" s="202"/>
      <c r="EBZ106" s="202"/>
      <c r="ECA106" s="203"/>
      <c r="ECB106" s="204"/>
      <c r="ECC106" s="204"/>
      <c r="ECD106" s="204"/>
      <c r="ECE106" s="205"/>
      <c r="ECF106" s="206"/>
      <c r="ECG106" s="207"/>
      <c r="ECH106" s="207"/>
      <c r="ECI106" s="208"/>
      <c r="ECJ106" s="209"/>
      <c r="ECK106" s="207"/>
      <c r="ECL106" s="210"/>
      <c r="ECM106" s="209"/>
      <c r="ECN106" s="204"/>
      <c r="ECO106" s="204"/>
      <c r="ECP106" s="204"/>
      <c r="ECQ106" s="199"/>
      <c r="ECR106" s="167"/>
      <c r="ECS106" s="199"/>
      <c r="ECT106" s="200"/>
      <c r="ECU106" s="201"/>
      <c r="ECV106" s="202"/>
      <c r="ECW106" s="202"/>
      <c r="ECX106" s="202"/>
      <c r="ECY106" s="202"/>
      <c r="ECZ106" s="203"/>
      <c r="EDA106" s="204"/>
      <c r="EDB106" s="204"/>
      <c r="EDC106" s="204"/>
      <c r="EDD106" s="205"/>
      <c r="EDE106" s="206"/>
      <c r="EDF106" s="207"/>
      <c r="EDG106" s="207"/>
      <c r="EDH106" s="208"/>
      <c r="EDI106" s="209"/>
      <c r="EDJ106" s="207"/>
      <c r="EDK106" s="210"/>
      <c r="EDL106" s="209"/>
      <c r="EDM106" s="204"/>
      <c r="EDN106" s="204"/>
      <c r="EDO106" s="204"/>
      <c r="EDP106" s="199"/>
      <c r="EDQ106" s="167"/>
      <c r="EDR106" s="199"/>
      <c r="EDS106" s="200"/>
      <c r="EDT106" s="201"/>
      <c r="EDU106" s="202"/>
      <c r="EDV106" s="202"/>
      <c r="EDW106" s="202"/>
      <c r="EDX106" s="202"/>
      <c r="EDY106" s="203"/>
      <c r="EDZ106" s="204"/>
      <c r="EEA106" s="204"/>
      <c r="EEB106" s="204"/>
      <c r="EEC106" s="205"/>
      <c r="EED106" s="206"/>
      <c r="EEE106" s="207"/>
      <c r="EEF106" s="207"/>
      <c r="EEG106" s="208"/>
      <c r="EEH106" s="209"/>
      <c r="EEI106" s="207"/>
      <c r="EEJ106" s="210"/>
      <c r="EEK106" s="209"/>
      <c r="EEL106" s="204"/>
      <c r="EEM106" s="204"/>
      <c r="EEN106" s="204"/>
      <c r="EEO106" s="199"/>
      <c r="EEP106" s="167"/>
      <c r="EEQ106" s="199"/>
      <c r="EER106" s="200"/>
      <c r="EES106" s="201"/>
      <c r="EET106" s="202"/>
      <c r="EEU106" s="202"/>
      <c r="EEV106" s="202"/>
      <c r="EEW106" s="202"/>
      <c r="EEX106" s="203"/>
      <c r="EEY106" s="204"/>
      <c r="EEZ106" s="204"/>
      <c r="EFA106" s="204"/>
      <c r="EFB106" s="205"/>
      <c r="EFC106" s="206"/>
      <c r="EFD106" s="207"/>
      <c r="EFE106" s="207"/>
      <c r="EFF106" s="208"/>
      <c r="EFG106" s="209"/>
      <c r="EFH106" s="207"/>
      <c r="EFI106" s="210"/>
      <c r="EFJ106" s="209"/>
      <c r="EFK106" s="204"/>
      <c r="EFL106" s="204"/>
      <c r="EFM106" s="204"/>
      <c r="EFN106" s="199"/>
      <c r="EFO106" s="167"/>
      <c r="EFP106" s="199"/>
      <c r="EFQ106" s="200"/>
      <c r="EFR106" s="201"/>
      <c r="EFS106" s="202"/>
      <c r="EFT106" s="202"/>
      <c r="EFU106" s="202"/>
      <c r="EFV106" s="202"/>
      <c r="EFW106" s="203"/>
      <c r="EFX106" s="204"/>
      <c r="EFY106" s="204"/>
      <c r="EFZ106" s="204"/>
      <c r="EGA106" s="205"/>
      <c r="EGB106" s="206"/>
      <c r="EGC106" s="207"/>
      <c r="EGD106" s="207"/>
      <c r="EGE106" s="208"/>
      <c r="EGF106" s="209"/>
      <c r="EGG106" s="207"/>
      <c r="EGH106" s="210"/>
      <c r="EGI106" s="209"/>
      <c r="EGJ106" s="204"/>
      <c r="EGK106" s="204"/>
      <c r="EGL106" s="204"/>
      <c r="EGM106" s="199"/>
      <c r="EGN106" s="167"/>
      <c r="EGO106" s="199"/>
      <c r="EGP106" s="200"/>
      <c r="EGQ106" s="201"/>
      <c r="EGR106" s="202"/>
      <c r="EGS106" s="202"/>
      <c r="EGT106" s="202"/>
      <c r="EGU106" s="202"/>
      <c r="EGV106" s="203"/>
      <c r="EGW106" s="204"/>
      <c r="EGX106" s="204"/>
      <c r="EGY106" s="204"/>
      <c r="EGZ106" s="205"/>
      <c r="EHA106" s="206"/>
      <c r="EHB106" s="207"/>
      <c r="EHC106" s="207"/>
      <c r="EHD106" s="208"/>
      <c r="EHE106" s="209"/>
      <c r="EHF106" s="207"/>
      <c r="EHG106" s="210"/>
      <c r="EHH106" s="209"/>
      <c r="EHI106" s="204"/>
      <c r="EHJ106" s="204"/>
      <c r="EHK106" s="204"/>
      <c r="EHL106" s="199"/>
      <c r="EHM106" s="167"/>
      <c r="EHN106" s="199"/>
      <c r="EHO106" s="200"/>
      <c r="EHP106" s="201"/>
      <c r="EHQ106" s="202"/>
      <c r="EHR106" s="202"/>
      <c r="EHS106" s="202"/>
      <c r="EHT106" s="202"/>
      <c r="EHU106" s="203"/>
      <c r="EHV106" s="204"/>
      <c r="EHW106" s="204"/>
      <c r="EHX106" s="204"/>
      <c r="EHY106" s="205"/>
      <c r="EHZ106" s="206"/>
      <c r="EIA106" s="207"/>
      <c r="EIB106" s="207"/>
      <c r="EIC106" s="208"/>
      <c r="EID106" s="209"/>
      <c r="EIE106" s="207"/>
      <c r="EIF106" s="210"/>
      <c r="EIG106" s="209"/>
      <c r="EIH106" s="204"/>
      <c r="EII106" s="204"/>
      <c r="EIJ106" s="204"/>
      <c r="EIK106" s="199"/>
      <c r="EIL106" s="167"/>
      <c r="EIM106" s="199"/>
      <c r="EIN106" s="200"/>
      <c r="EIO106" s="201"/>
      <c r="EIP106" s="202"/>
      <c r="EIQ106" s="202"/>
      <c r="EIR106" s="202"/>
      <c r="EIS106" s="202"/>
      <c r="EIT106" s="203"/>
      <c r="EIU106" s="204"/>
      <c r="EIV106" s="204"/>
      <c r="EIW106" s="204"/>
      <c r="EIX106" s="205"/>
      <c r="EIY106" s="206"/>
      <c r="EIZ106" s="207"/>
      <c r="EJA106" s="207"/>
      <c r="EJB106" s="208"/>
      <c r="EJC106" s="209"/>
      <c r="EJD106" s="207"/>
      <c r="EJE106" s="210"/>
      <c r="EJF106" s="209"/>
      <c r="EJG106" s="204"/>
      <c r="EJH106" s="204"/>
      <c r="EJI106" s="204"/>
      <c r="EJJ106" s="199"/>
      <c r="EJK106" s="167"/>
      <c r="EJL106" s="199"/>
      <c r="EJM106" s="200"/>
      <c r="EJN106" s="201"/>
      <c r="EJO106" s="202"/>
      <c r="EJP106" s="202"/>
      <c r="EJQ106" s="202"/>
      <c r="EJR106" s="202"/>
      <c r="EJS106" s="203"/>
      <c r="EJT106" s="204"/>
      <c r="EJU106" s="204"/>
      <c r="EJV106" s="204"/>
      <c r="EJW106" s="205"/>
      <c r="EJX106" s="206"/>
      <c r="EJY106" s="207"/>
      <c r="EJZ106" s="207"/>
      <c r="EKA106" s="208"/>
      <c r="EKB106" s="209"/>
      <c r="EKC106" s="207"/>
      <c r="EKD106" s="210"/>
      <c r="EKE106" s="209"/>
      <c r="EKF106" s="204"/>
      <c r="EKG106" s="204"/>
      <c r="EKH106" s="204"/>
      <c r="EKI106" s="199"/>
      <c r="EKJ106" s="167"/>
      <c r="EKK106" s="199"/>
      <c r="EKL106" s="200"/>
      <c r="EKM106" s="201"/>
      <c r="EKN106" s="202"/>
      <c r="EKO106" s="202"/>
      <c r="EKP106" s="202"/>
      <c r="EKQ106" s="202"/>
      <c r="EKR106" s="203"/>
      <c r="EKS106" s="204"/>
      <c r="EKT106" s="204"/>
      <c r="EKU106" s="204"/>
      <c r="EKV106" s="205"/>
      <c r="EKW106" s="206"/>
      <c r="EKX106" s="207"/>
      <c r="EKY106" s="207"/>
      <c r="EKZ106" s="208"/>
      <c r="ELA106" s="209"/>
      <c r="ELB106" s="207"/>
      <c r="ELC106" s="210"/>
      <c r="ELD106" s="209"/>
      <c r="ELE106" s="204"/>
      <c r="ELF106" s="204"/>
      <c r="ELG106" s="204"/>
      <c r="ELH106" s="199"/>
      <c r="ELI106" s="167"/>
      <c r="ELJ106" s="199"/>
      <c r="ELK106" s="200"/>
      <c r="ELL106" s="201"/>
      <c r="ELM106" s="202"/>
      <c r="ELN106" s="202"/>
      <c r="ELO106" s="202"/>
      <c r="ELP106" s="202"/>
      <c r="ELQ106" s="203"/>
      <c r="ELR106" s="204"/>
      <c r="ELS106" s="204"/>
      <c r="ELT106" s="204"/>
      <c r="ELU106" s="205"/>
      <c r="ELV106" s="206"/>
      <c r="ELW106" s="207"/>
      <c r="ELX106" s="207"/>
      <c r="ELY106" s="208"/>
      <c r="ELZ106" s="209"/>
      <c r="EMA106" s="207"/>
      <c r="EMB106" s="210"/>
      <c r="EMC106" s="209"/>
      <c r="EMD106" s="204"/>
      <c r="EME106" s="204"/>
      <c r="EMF106" s="204"/>
      <c r="EMG106" s="199"/>
      <c r="EMH106" s="167"/>
      <c r="EMI106" s="199"/>
      <c r="EMJ106" s="200"/>
      <c r="EMK106" s="201"/>
      <c r="EML106" s="202"/>
      <c r="EMM106" s="202"/>
      <c r="EMN106" s="202"/>
      <c r="EMO106" s="202"/>
      <c r="EMP106" s="203"/>
      <c r="EMQ106" s="204"/>
      <c r="EMR106" s="204"/>
      <c r="EMS106" s="204"/>
      <c r="EMT106" s="205"/>
      <c r="EMU106" s="206"/>
      <c r="EMV106" s="207"/>
      <c r="EMW106" s="207"/>
      <c r="EMX106" s="208"/>
      <c r="EMY106" s="209"/>
      <c r="EMZ106" s="207"/>
      <c r="ENA106" s="210"/>
      <c r="ENB106" s="209"/>
      <c r="ENC106" s="204"/>
      <c r="END106" s="204"/>
      <c r="ENE106" s="204"/>
      <c r="ENF106" s="199"/>
      <c r="ENG106" s="167"/>
      <c r="ENH106" s="199"/>
      <c r="ENI106" s="200"/>
      <c r="ENJ106" s="201"/>
      <c r="ENK106" s="202"/>
      <c r="ENL106" s="202"/>
      <c r="ENM106" s="202"/>
      <c r="ENN106" s="202"/>
      <c r="ENO106" s="203"/>
      <c r="ENP106" s="204"/>
      <c r="ENQ106" s="204"/>
      <c r="ENR106" s="204"/>
      <c r="ENS106" s="205"/>
      <c r="ENT106" s="206"/>
      <c r="ENU106" s="207"/>
      <c r="ENV106" s="207"/>
      <c r="ENW106" s="208"/>
      <c r="ENX106" s="209"/>
      <c r="ENY106" s="207"/>
      <c r="ENZ106" s="210"/>
      <c r="EOA106" s="209"/>
      <c r="EOB106" s="204"/>
      <c r="EOC106" s="204"/>
      <c r="EOD106" s="204"/>
      <c r="EOE106" s="199"/>
      <c r="EOF106" s="167"/>
      <c r="EOG106" s="199"/>
      <c r="EOH106" s="200"/>
      <c r="EOI106" s="201"/>
      <c r="EOJ106" s="202"/>
      <c r="EOK106" s="202"/>
      <c r="EOL106" s="202"/>
      <c r="EOM106" s="202"/>
      <c r="EON106" s="203"/>
      <c r="EOO106" s="204"/>
      <c r="EOP106" s="204"/>
      <c r="EOQ106" s="204"/>
      <c r="EOR106" s="205"/>
      <c r="EOS106" s="206"/>
      <c r="EOT106" s="207"/>
      <c r="EOU106" s="207"/>
      <c r="EOV106" s="208"/>
      <c r="EOW106" s="209"/>
      <c r="EOX106" s="207"/>
      <c r="EOY106" s="210"/>
      <c r="EOZ106" s="209"/>
      <c r="EPA106" s="204"/>
      <c r="EPB106" s="204"/>
      <c r="EPC106" s="204"/>
      <c r="EPD106" s="199"/>
      <c r="EPE106" s="167"/>
      <c r="EPF106" s="199"/>
      <c r="EPG106" s="200"/>
      <c r="EPH106" s="201"/>
      <c r="EPI106" s="202"/>
      <c r="EPJ106" s="202"/>
      <c r="EPK106" s="202"/>
      <c r="EPL106" s="202"/>
      <c r="EPM106" s="203"/>
      <c r="EPN106" s="204"/>
      <c r="EPO106" s="204"/>
      <c r="EPP106" s="204"/>
      <c r="EPQ106" s="205"/>
      <c r="EPR106" s="206"/>
      <c r="EPS106" s="207"/>
      <c r="EPT106" s="207"/>
      <c r="EPU106" s="208"/>
      <c r="EPV106" s="209"/>
      <c r="EPW106" s="207"/>
      <c r="EPX106" s="210"/>
      <c r="EPY106" s="209"/>
      <c r="EPZ106" s="204"/>
      <c r="EQA106" s="204"/>
      <c r="EQB106" s="204"/>
      <c r="EQC106" s="199"/>
      <c r="EQD106" s="167"/>
      <c r="EQE106" s="199"/>
      <c r="EQF106" s="200"/>
      <c r="EQG106" s="201"/>
      <c r="EQH106" s="202"/>
      <c r="EQI106" s="202"/>
      <c r="EQJ106" s="202"/>
      <c r="EQK106" s="202"/>
      <c r="EQL106" s="203"/>
      <c r="EQM106" s="204"/>
      <c r="EQN106" s="204"/>
      <c r="EQO106" s="204"/>
      <c r="EQP106" s="205"/>
      <c r="EQQ106" s="206"/>
      <c r="EQR106" s="207"/>
      <c r="EQS106" s="207"/>
      <c r="EQT106" s="208"/>
      <c r="EQU106" s="209"/>
      <c r="EQV106" s="207"/>
      <c r="EQW106" s="210"/>
      <c r="EQX106" s="209"/>
      <c r="EQY106" s="204"/>
      <c r="EQZ106" s="204"/>
      <c r="ERA106" s="204"/>
      <c r="ERB106" s="199"/>
      <c r="ERC106" s="167"/>
      <c r="ERD106" s="199"/>
      <c r="ERE106" s="200"/>
      <c r="ERF106" s="201"/>
      <c r="ERG106" s="202"/>
      <c r="ERH106" s="202"/>
      <c r="ERI106" s="202"/>
      <c r="ERJ106" s="202"/>
      <c r="ERK106" s="203"/>
      <c r="ERL106" s="204"/>
      <c r="ERM106" s="204"/>
      <c r="ERN106" s="204"/>
      <c r="ERO106" s="205"/>
      <c r="ERP106" s="206"/>
      <c r="ERQ106" s="207"/>
      <c r="ERR106" s="207"/>
      <c r="ERS106" s="208"/>
      <c r="ERT106" s="209"/>
      <c r="ERU106" s="207"/>
      <c r="ERV106" s="210"/>
      <c r="ERW106" s="209"/>
      <c r="ERX106" s="204"/>
      <c r="ERY106" s="204"/>
      <c r="ERZ106" s="204"/>
      <c r="ESA106" s="199"/>
      <c r="ESB106" s="167"/>
      <c r="ESC106" s="199"/>
      <c r="ESD106" s="200"/>
      <c r="ESE106" s="201"/>
      <c r="ESF106" s="202"/>
      <c r="ESG106" s="202"/>
      <c r="ESH106" s="202"/>
      <c r="ESI106" s="202"/>
      <c r="ESJ106" s="203"/>
      <c r="ESK106" s="204"/>
      <c r="ESL106" s="204"/>
      <c r="ESM106" s="204"/>
      <c r="ESN106" s="205"/>
      <c r="ESO106" s="206"/>
      <c r="ESP106" s="207"/>
      <c r="ESQ106" s="207"/>
      <c r="ESR106" s="208"/>
      <c r="ESS106" s="209"/>
      <c r="EST106" s="207"/>
      <c r="ESU106" s="210"/>
      <c r="ESV106" s="209"/>
      <c r="ESW106" s="204"/>
      <c r="ESX106" s="204"/>
      <c r="ESY106" s="204"/>
      <c r="ESZ106" s="199"/>
      <c r="ETA106" s="167"/>
      <c r="ETB106" s="199"/>
      <c r="ETC106" s="200"/>
      <c r="ETD106" s="201"/>
      <c r="ETE106" s="202"/>
      <c r="ETF106" s="202"/>
      <c r="ETG106" s="202"/>
      <c r="ETH106" s="202"/>
      <c r="ETI106" s="203"/>
      <c r="ETJ106" s="204"/>
      <c r="ETK106" s="204"/>
      <c r="ETL106" s="204"/>
      <c r="ETM106" s="205"/>
      <c r="ETN106" s="206"/>
      <c r="ETO106" s="207"/>
      <c r="ETP106" s="207"/>
      <c r="ETQ106" s="208"/>
      <c r="ETR106" s="209"/>
      <c r="ETS106" s="207"/>
      <c r="ETT106" s="210"/>
      <c r="ETU106" s="209"/>
      <c r="ETV106" s="204"/>
      <c r="ETW106" s="204"/>
      <c r="ETX106" s="204"/>
      <c r="ETY106" s="199"/>
      <c r="ETZ106" s="167"/>
      <c r="EUA106" s="199"/>
      <c r="EUB106" s="200"/>
      <c r="EUC106" s="201"/>
      <c r="EUD106" s="202"/>
      <c r="EUE106" s="202"/>
      <c r="EUF106" s="202"/>
      <c r="EUG106" s="202"/>
      <c r="EUH106" s="203"/>
      <c r="EUI106" s="204"/>
      <c r="EUJ106" s="204"/>
      <c r="EUK106" s="204"/>
      <c r="EUL106" s="205"/>
      <c r="EUM106" s="206"/>
      <c r="EUN106" s="207"/>
      <c r="EUO106" s="207"/>
      <c r="EUP106" s="208"/>
      <c r="EUQ106" s="209"/>
      <c r="EUR106" s="207"/>
      <c r="EUS106" s="210"/>
      <c r="EUT106" s="209"/>
      <c r="EUU106" s="204"/>
      <c r="EUV106" s="204"/>
      <c r="EUW106" s="204"/>
      <c r="EUX106" s="199"/>
      <c r="EUY106" s="167"/>
      <c r="EUZ106" s="199"/>
      <c r="EVA106" s="200"/>
      <c r="EVB106" s="201"/>
      <c r="EVC106" s="202"/>
      <c r="EVD106" s="202"/>
      <c r="EVE106" s="202"/>
      <c r="EVF106" s="202"/>
      <c r="EVG106" s="203"/>
      <c r="EVH106" s="204"/>
      <c r="EVI106" s="204"/>
      <c r="EVJ106" s="204"/>
      <c r="EVK106" s="205"/>
      <c r="EVL106" s="206"/>
      <c r="EVM106" s="207"/>
      <c r="EVN106" s="207"/>
      <c r="EVO106" s="208"/>
      <c r="EVP106" s="209"/>
      <c r="EVQ106" s="207"/>
      <c r="EVR106" s="210"/>
      <c r="EVS106" s="209"/>
      <c r="EVT106" s="204"/>
      <c r="EVU106" s="204"/>
      <c r="EVV106" s="204"/>
      <c r="EVW106" s="199"/>
      <c r="EVX106" s="167"/>
      <c r="EVY106" s="199"/>
      <c r="EVZ106" s="200"/>
      <c r="EWA106" s="201"/>
      <c r="EWB106" s="202"/>
      <c r="EWC106" s="202"/>
      <c r="EWD106" s="202"/>
      <c r="EWE106" s="202"/>
      <c r="EWF106" s="203"/>
      <c r="EWG106" s="204"/>
      <c r="EWH106" s="204"/>
      <c r="EWI106" s="204"/>
      <c r="EWJ106" s="205"/>
      <c r="EWK106" s="206"/>
      <c r="EWL106" s="207"/>
      <c r="EWM106" s="207"/>
      <c r="EWN106" s="208"/>
      <c r="EWO106" s="209"/>
      <c r="EWP106" s="207"/>
      <c r="EWQ106" s="210"/>
      <c r="EWR106" s="209"/>
      <c r="EWS106" s="204"/>
      <c r="EWT106" s="204"/>
      <c r="EWU106" s="204"/>
      <c r="EWV106" s="199"/>
      <c r="EWW106" s="167"/>
      <c r="EWX106" s="199"/>
      <c r="EWY106" s="200"/>
      <c r="EWZ106" s="201"/>
      <c r="EXA106" s="202"/>
      <c r="EXB106" s="202"/>
      <c r="EXC106" s="202"/>
      <c r="EXD106" s="202"/>
      <c r="EXE106" s="203"/>
      <c r="EXF106" s="204"/>
      <c r="EXG106" s="204"/>
      <c r="EXH106" s="204"/>
      <c r="EXI106" s="205"/>
      <c r="EXJ106" s="206"/>
      <c r="EXK106" s="207"/>
      <c r="EXL106" s="207"/>
      <c r="EXM106" s="208"/>
      <c r="EXN106" s="209"/>
      <c r="EXO106" s="207"/>
      <c r="EXP106" s="210"/>
      <c r="EXQ106" s="209"/>
      <c r="EXR106" s="204"/>
      <c r="EXS106" s="204"/>
      <c r="EXT106" s="204"/>
      <c r="EXU106" s="199"/>
      <c r="EXV106" s="167"/>
      <c r="EXW106" s="199"/>
      <c r="EXX106" s="200"/>
      <c r="EXY106" s="201"/>
      <c r="EXZ106" s="202"/>
      <c r="EYA106" s="202"/>
      <c r="EYB106" s="202"/>
      <c r="EYC106" s="202"/>
      <c r="EYD106" s="203"/>
      <c r="EYE106" s="204"/>
      <c r="EYF106" s="204"/>
      <c r="EYG106" s="204"/>
      <c r="EYH106" s="205"/>
      <c r="EYI106" s="206"/>
      <c r="EYJ106" s="207"/>
      <c r="EYK106" s="207"/>
      <c r="EYL106" s="208"/>
      <c r="EYM106" s="209"/>
      <c r="EYN106" s="207"/>
      <c r="EYO106" s="210"/>
      <c r="EYP106" s="209"/>
      <c r="EYQ106" s="204"/>
      <c r="EYR106" s="204"/>
      <c r="EYS106" s="204"/>
      <c r="EYT106" s="199"/>
      <c r="EYU106" s="167"/>
      <c r="EYV106" s="199"/>
      <c r="EYW106" s="200"/>
      <c r="EYX106" s="201"/>
      <c r="EYY106" s="202"/>
      <c r="EYZ106" s="202"/>
      <c r="EZA106" s="202"/>
      <c r="EZB106" s="202"/>
      <c r="EZC106" s="203"/>
      <c r="EZD106" s="204"/>
      <c r="EZE106" s="204"/>
      <c r="EZF106" s="204"/>
      <c r="EZG106" s="205"/>
      <c r="EZH106" s="206"/>
      <c r="EZI106" s="207"/>
      <c r="EZJ106" s="207"/>
      <c r="EZK106" s="208"/>
      <c r="EZL106" s="209"/>
      <c r="EZM106" s="207"/>
      <c r="EZN106" s="210"/>
      <c r="EZO106" s="209"/>
      <c r="EZP106" s="204"/>
      <c r="EZQ106" s="204"/>
      <c r="EZR106" s="204"/>
      <c r="EZS106" s="199"/>
      <c r="EZT106" s="167"/>
      <c r="EZU106" s="199"/>
      <c r="EZV106" s="200"/>
      <c r="EZW106" s="201"/>
      <c r="EZX106" s="202"/>
      <c r="EZY106" s="202"/>
      <c r="EZZ106" s="202"/>
      <c r="FAA106" s="202"/>
      <c r="FAB106" s="203"/>
      <c r="FAC106" s="204"/>
      <c r="FAD106" s="204"/>
      <c r="FAE106" s="204"/>
      <c r="FAF106" s="205"/>
      <c r="FAG106" s="206"/>
      <c r="FAH106" s="207"/>
      <c r="FAI106" s="207"/>
      <c r="FAJ106" s="208"/>
      <c r="FAK106" s="209"/>
      <c r="FAL106" s="207"/>
      <c r="FAM106" s="210"/>
      <c r="FAN106" s="209"/>
      <c r="FAO106" s="204"/>
      <c r="FAP106" s="204"/>
      <c r="FAQ106" s="204"/>
      <c r="FAR106" s="199"/>
      <c r="FAS106" s="167"/>
      <c r="FAT106" s="199"/>
      <c r="FAU106" s="200"/>
      <c r="FAV106" s="201"/>
      <c r="FAW106" s="202"/>
      <c r="FAX106" s="202"/>
      <c r="FAY106" s="202"/>
      <c r="FAZ106" s="202"/>
      <c r="FBA106" s="203"/>
      <c r="FBB106" s="204"/>
      <c r="FBC106" s="204"/>
      <c r="FBD106" s="204"/>
      <c r="FBE106" s="205"/>
      <c r="FBF106" s="206"/>
      <c r="FBG106" s="207"/>
      <c r="FBH106" s="207"/>
      <c r="FBI106" s="208"/>
      <c r="FBJ106" s="209"/>
      <c r="FBK106" s="207"/>
      <c r="FBL106" s="210"/>
      <c r="FBM106" s="209"/>
      <c r="FBN106" s="204"/>
      <c r="FBO106" s="204"/>
      <c r="FBP106" s="204"/>
      <c r="FBQ106" s="199"/>
      <c r="FBR106" s="167"/>
      <c r="FBS106" s="199"/>
      <c r="FBT106" s="200"/>
      <c r="FBU106" s="201"/>
      <c r="FBV106" s="202"/>
      <c r="FBW106" s="202"/>
      <c r="FBX106" s="202"/>
      <c r="FBY106" s="202"/>
      <c r="FBZ106" s="203"/>
      <c r="FCA106" s="204"/>
      <c r="FCB106" s="204"/>
      <c r="FCC106" s="204"/>
      <c r="FCD106" s="205"/>
      <c r="FCE106" s="206"/>
      <c r="FCF106" s="207"/>
      <c r="FCG106" s="207"/>
      <c r="FCH106" s="208"/>
      <c r="FCI106" s="209"/>
      <c r="FCJ106" s="207"/>
      <c r="FCK106" s="210"/>
      <c r="FCL106" s="209"/>
      <c r="FCM106" s="204"/>
      <c r="FCN106" s="204"/>
      <c r="FCO106" s="204"/>
      <c r="FCP106" s="199"/>
      <c r="FCQ106" s="167"/>
      <c r="FCR106" s="199"/>
      <c r="FCS106" s="200"/>
      <c r="FCT106" s="201"/>
      <c r="FCU106" s="202"/>
      <c r="FCV106" s="202"/>
      <c r="FCW106" s="202"/>
      <c r="FCX106" s="202"/>
      <c r="FCY106" s="203"/>
      <c r="FCZ106" s="204"/>
      <c r="FDA106" s="204"/>
      <c r="FDB106" s="204"/>
      <c r="FDC106" s="205"/>
      <c r="FDD106" s="206"/>
      <c r="FDE106" s="207"/>
      <c r="FDF106" s="207"/>
      <c r="FDG106" s="208"/>
      <c r="FDH106" s="209"/>
      <c r="FDI106" s="207"/>
      <c r="FDJ106" s="210"/>
      <c r="FDK106" s="209"/>
      <c r="FDL106" s="204"/>
      <c r="FDM106" s="204"/>
      <c r="FDN106" s="204"/>
      <c r="FDO106" s="199"/>
      <c r="FDP106" s="167"/>
      <c r="FDQ106" s="199"/>
      <c r="FDR106" s="200"/>
      <c r="FDS106" s="201"/>
      <c r="FDT106" s="202"/>
      <c r="FDU106" s="202"/>
      <c r="FDV106" s="202"/>
      <c r="FDW106" s="202"/>
      <c r="FDX106" s="203"/>
      <c r="FDY106" s="204"/>
      <c r="FDZ106" s="204"/>
      <c r="FEA106" s="204"/>
      <c r="FEB106" s="205"/>
      <c r="FEC106" s="206"/>
      <c r="FED106" s="207"/>
      <c r="FEE106" s="207"/>
      <c r="FEF106" s="208"/>
      <c r="FEG106" s="209"/>
      <c r="FEH106" s="207"/>
      <c r="FEI106" s="210"/>
      <c r="FEJ106" s="209"/>
      <c r="FEK106" s="204"/>
      <c r="FEL106" s="204"/>
      <c r="FEM106" s="204"/>
      <c r="FEN106" s="199"/>
      <c r="FEO106" s="167"/>
      <c r="FEP106" s="199"/>
      <c r="FEQ106" s="200"/>
      <c r="FER106" s="201"/>
      <c r="FES106" s="202"/>
      <c r="FET106" s="202"/>
      <c r="FEU106" s="202"/>
      <c r="FEV106" s="202"/>
      <c r="FEW106" s="203"/>
      <c r="FEX106" s="204"/>
      <c r="FEY106" s="204"/>
      <c r="FEZ106" s="204"/>
      <c r="FFA106" s="205"/>
      <c r="FFB106" s="206"/>
      <c r="FFC106" s="207"/>
      <c r="FFD106" s="207"/>
      <c r="FFE106" s="208"/>
      <c r="FFF106" s="209"/>
      <c r="FFG106" s="207"/>
      <c r="FFH106" s="210"/>
      <c r="FFI106" s="209"/>
      <c r="FFJ106" s="204"/>
      <c r="FFK106" s="204"/>
      <c r="FFL106" s="204"/>
      <c r="FFM106" s="199"/>
      <c r="FFN106" s="167"/>
      <c r="FFO106" s="199"/>
      <c r="FFP106" s="200"/>
      <c r="FFQ106" s="201"/>
      <c r="FFR106" s="202"/>
      <c r="FFS106" s="202"/>
      <c r="FFT106" s="202"/>
      <c r="FFU106" s="202"/>
      <c r="FFV106" s="203"/>
      <c r="FFW106" s="204"/>
      <c r="FFX106" s="204"/>
      <c r="FFY106" s="204"/>
      <c r="FFZ106" s="205"/>
      <c r="FGA106" s="206"/>
      <c r="FGB106" s="207"/>
      <c r="FGC106" s="207"/>
      <c r="FGD106" s="208"/>
      <c r="FGE106" s="209"/>
      <c r="FGF106" s="207"/>
      <c r="FGG106" s="210"/>
      <c r="FGH106" s="209"/>
      <c r="FGI106" s="204"/>
      <c r="FGJ106" s="204"/>
      <c r="FGK106" s="204"/>
      <c r="FGL106" s="199"/>
      <c r="FGM106" s="167"/>
      <c r="FGN106" s="199"/>
      <c r="FGO106" s="200"/>
      <c r="FGP106" s="201"/>
      <c r="FGQ106" s="202"/>
      <c r="FGR106" s="202"/>
      <c r="FGS106" s="202"/>
      <c r="FGT106" s="202"/>
      <c r="FGU106" s="203"/>
      <c r="FGV106" s="204"/>
      <c r="FGW106" s="204"/>
      <c r="FGX106" s="204"/>
      <c r="FGY106" s="205"/>
      <c r="FGZ106" s="206"/>
      <c r="FHA106" s="207"/>
      <c r="FHB106" s="207"/>
      <c r="FHC106" s="208"/>
      <c r="FHD106" s="209"/>
      <c r="FHE106" s="207"/>
      <c r="FHF106" s="210"/>
      <c r="FHG106" s="209"/>
      <c r="FHH106" s="204"/>
      <c r="FHI106" s="204"/>
      <c r="FHJ106" s="204"/>
      <c r="FHK106" s="199"/>
      <c r="FHL106" s="167"/>
      <c r="FHM106" s="199"/>
      <c r="FHN106" s="200"/>
      <c r="FHO106" s="201"/>
      <c r="FHP106" s="202"/>
      <c r="FHQ106" s="202"/>
      <c r="FHR106" s="202"/>
      <c r="FHS106" s="202"/>
      <c r="FHT106" s="203"/>
      <c r="FHU106" s="204"/>
      <c r="FHV106" s="204"/>
      <c r="FHW106" s="204"/>
      <c r="FHX106" s="205"/>
      <c r="FHY106" s="206"/>
      <c r="FHZ106" s="207"/>
      <c r="FIA106" s="207"/>
      <c r="FIB106" s="208"/>
      <c r="FIC106" s="209"/>
      <c r="FID106" s="207"/>
      <c r="FIE106" s="210"/>
      <c r="FIF106" s="209"/>
      <c r="FIG106" s="204"/>
      <c r="FIH106" s="204"/>
      <c r="FII106" s="204"/>
      <c r="FIJ106" s="199"/>
      <c r="FIK106" s="167"/>
      <c r="FIL106" s="199"/>
      <c r="FIM106" s="200"/>
      <c r="FIN106" s="201"/>
      <c r="FIO106" s="202"/>
      <c r="FIP106" s="202"/>
      <c r="FIQ106" s="202"/>
      <c r="FIR106" s="202"/>
      <c r="FIS106" s="203"/>
      <c r="FIT106" s="204"/>
      <c r="FIU106" s="204"/>
      <c r="FIV106" s="204"/>
      <c r="FIW106" s="205"/>
      <c r="FIX106" s="206"/>
      <c r="FIY106" s="207"/>
      <c r="FIZ106" s="207"/>
      <c r="FJA106" s="208"/>
      <c r="FJB106" s="209"/>
      <c r="FJC106" s="207"/>
      <c r="FJD106" s="210"/>
      <c r="FJE106" s="209"/>
      <c r="FJF106" s="204"/>
      <c r="FJG106" s="204"/>
      <c r="FJH106" s="204"/>
      <c r="FJI106" s="199"/>
      <c r="FJJ106" s="167"/>
      <c r="FJK106" s="199"/>
      <c r="FJL106" s="200"/>
      <c r="FJM106" s="201"/>
      <c r="FJN106" s="202"/>
      <c r="FJO106" s="202"/>
      <c r="FJP106" s="202"/>
      <c r="FJQ106" s="202"/>
      <c r="FJR106" s="203"/>
      <c r="FJS106" s="204"/>
      <c r="FJT106" s="204"/>
      <c r="FJU106" s="204"/>
      <c r="FJV106" s="205"/>
      <c r="FJW106" s="206"/>
      <c r="FJX106" s="207"/>
      <c r="FJY106" s="207"/>
      <c r="FJZ106" s="208"/>
      <c r="FKA106" s="209"/>
      <c r="FKB106" s="207"/>
      <c r="FKC106" s="210"/>
      <c r="FKD106" s="209"/>
      <c r="FKE106" s="204"/>
      <c r="FKF106" s="204"/>
      <c r="FKG106" s="204"/>
      <c r="FKH106" s="199"/>
      <c r="FKI106" s="167"/>
      <c r="FKJ106" s="199"/>
      <c r="FKK106" s="200"/>
      <c r="FKL106" s="201"/>
      <c r="FKM106" s="202"/>
      <c r="FKN106" s="202"/>
      <c r="FKO106" s="202"/>
      <c r="FKP106" s="202"/>
      <c r="FKQ106" s="203"/>
      <c r="FKR106" s="204"/>
      <c r="FKS106" s="204"/>
      <c r="FKT106" s="204"/>
      <c r="FKU106" s="205"/>
      <c r="FKV106" s="206"/>
      <c r="FKW106" s="207"/>
      <c r="FKX106" s="207"/>
      <c r="FKY106" s="208"/>
      <c r="FKZ106" s="209"/>
      <c r="FLA106" s="207"/>
      <c r="FLB106" s="210"/>
      <c r="FLC106" s="209"/>
      <c r="FLD106" s="204"/>
      <c r="FLE106" s="204"/>
      <c r="FLF106" s="204"/>
      <c r="FLG106" s="199"/>
      <c r="FLH106" s="167"/>
      <c r="FLI106" s="199"/>
      <c r="FLJ106" s="200"/>
      <c r="FLK106" s="201"/>
      <c r="FLL106" s="202"/>
      <c r="FLM106" s="202"/>
      <c r="FLN106" s="202"/>
      <c r="FLO106" s="202"/>
      <c r="FLP106" s="203"/>
      <c r="FLQ106" s="204"/>
      <c r="FLR106" s="204"/>
      <c r="FLS106" s="204"/>
      <c r="FLT106" s="205"/>
      <c r="FLU106" s="206"/>
      <c r="FLV106" s="207"/>
      <c r="FLW106" s="207"/>
      <c r="FLX106" s="208"/>
      <c r="FLY106" s="209"/>
      <c r="FLZ106" s="207"/>
      <c r="FMA106" s="210"/>
      <c r="FMB106" s="209"/>
      <c r="FMC106" s="204"/>
      <c r="FMD106" s="204"/>
      <c r="FME106" s="204"/>
      <c r="FMF106" s="199"/>
      <c r="FMG106" s="167"/>
      <c r="FMH106" s="199"/>
      <c r="FMI106" s="200"/>
      <c r="FMJ106" s="201"/>
      <c r="FMK106" s="202"/>
      <c r="FML106" s="202"/>
      <c r="FMM106" s="202"/>
      <c r="FMN106" s="202"/>
      <c r="FMO106" s="203"/>
      <c r="FMP106" s="204"/>
      <c r="FMQ106" s="204"/>
      <c r="FMR106" s="204"/>
      <c r="FMS106" s="205"/>
      <c r="FMT106" s="206"/>
      <c r="FMU106" s="207"/>
      <c r="FMV106" s="207"/>
      <c r="FMW106" s="208"/>
      <c r="FMX106" s="209"/>
      <c r="FMY106" s="207"/>
      <c r="FMZ106" s="210"/>
      <c r="FNA106" s="209"/>
      <c r="FNB106" s="204"/>
      <c r="FNC106" s="204"/>
      <c r="FND106" s="204"/>
      <c r="FNE106" s="199"/>
      <c r="FNF106" s="167"/>
      <c r="FNG106" s="199"/>
      <c r="FNH106" s="200"/>
      <c r="FNI106" s="201"/>
      <c r="FNJ106" s="202"/>
      <c r="FNK106" s="202"/>
      <c r="FNL106" s="202"/>
      <c r="FNM106" s="202"/>
      <c r="FNN106" s="203"/>
      <c r="FNO106" s="204"/>
      <c r="FNP106" s="204"/>
      <c r="FNQ106" s="204"/>
      <c r="FNR106" s="205"/>
      <c r="FNS106" s="206"/>
      <c r="FNT106" s="207"/>
      <c r="FNU106" s="207"/>
      <c r="FNV106" s="208"/>
      <c r="FNW106" s="209"/>
      <c r="FNX106" s="207"/>
      <c r="FNY106" s="210"/>
      <c r="FNZ106" s="209"/>
      <c r="FOA106" s="204"/>
      <c r="FOB106" s="204"/>
      <c r="FOC106" s="204"/>
      <c r="FOD106" s="199"/>
      <c r="FOE106" s="167"/>
      <c r="FOF106" s="199"/>
      <c r="FOG106" s="200"/>
      <c r="FOH106" s="201"/>
      <c r="FOI106" s="202"/>
      <c r="FOJ106" s="202"/>
      <c r="FOK106" s="202"/>
      <c r="FOL106" s="202"/>
      <c r="FOM106" s="203"/>
      <c r="FON106" s="204"/>
      <c r="FOO106" s="204"/>
      <c r="FOP106" s="204"/>
      <c r="FOQ106" s="205"/>
      <c r="FOR106" s="206"/>
      <c r="FOS106" s="207"/>
      <c r="FOT106" s="207"/>
      <c r="FOU106" s="208"/>
      <c r="FOV106" s="209"/>
      <c r="FOW106" s="207"/>
      <c r="FOX106" s="210"/>
      <c r="FOY106" s="209"/>
      <c r="FOZ106" s="204"/>
      <c r="FPA106" s="204"/>
      <c r="FPB106" s="204"/>
      <c r="FPC106" s="199"/>
      <c r="FPD106" s="167"/>
      <c r="FPE106" s="199"/>
      <c r="FPF106" s="200"/>
      <c r="FPG106" s="201"/>
      <c r="FPH106" s="202"/>
      <c r="FPI106" s="202"/>
      <c r="FPJ106" s="202"/>
      <c r="FPK106" s="202"/>
      <c r="FPL106" s="203"/>
      <c r="FPM106" s="204"/>
      <c r="FPN106" s="204"/>
      <c r="FPO106" s="204"/>
      <c r="FPP106" s="205"/>
      <c r="FPQ106" s="206"/>
      <c r="FPR106" s="207"/>
      <c r="FPS106" s="207"/>
      <c r="FPT106" s="208"/>
      <c r="FPU106" s="209"/>
      <c r="FPV106" s="207"/>
      <c r="FPW106" s="210"/>
      <c r="FPX106" s="209"/>
      <c r="FPY106" s="204"/>
      <c r="FPZ106" s="204"/>
      <c r="FQA106" s="204"/>
      <c r="FQB106" s="199"/>
      <c r="FQC106" s="167"/>
      <c r="FQD106" s="199"/>
      <c r="FQE106" s="200"/>
      <c r="FQF106" s="201"/>
      <c r="FQG106" s="202"/>
      <c r="FQH106" s="202"/>
      <c r="FQI106" s="202"/>
      <c r="FQJ106" s="202"/>
      <c r="FQK106" s="203"/>
      <c r="FQL106" s="204"/>
      <c r="FQM106" s="204"/>
      <c r="FQN106" s="204"/>
      <c r="FQO106" s="205"/>
      <c r="FQP106" s="206"/>
      <c r="FQQ106" s="207"/>
      <c r="FQR106" s="207"/>
      <c r="FQS106" s="208"/>
      <c r="FQT106" s="209"/>
      <c r="FQU106" s="207"/>
      <c r="FQV106" s="210"/>
      <c r="FQW106" s="209"/>
      <c r="FQX106" s="204"/>
      <c r="FQY106" s="204"/>
      <c r="FQZ106" s="204"/>
      <c r="FRA106" s="199"/>
      <c r="FRB106" s="167"/>
      <c r="FRC106" s="199"/>
      <c r="FRD106" s="200"/>
      <c r="FRE106" s="201"/>
      <c r="FRF106" s="202"/>
      <c r="FRG106" s="202"/>
      <c r="FRH106" s="202"/>
      <c r="FRI106" s="202"/>
      <c r="FRJ106" s="203"/>
      <c r="FRK106" s="204"/>
      <c r="FRL106" s="204"/>
      <c r="FRM106" s="204"/>
      <c r="FRN106" s="205"/>
      <c r="FRO106" s="206"/>
      <c r="FRP106" s="207"/>
      <c r="FRQ106" s="207"/>
      <c r="FRR106" s="208"/>
      <c r="FRS106" s="209"/>
      <c r="FRT106" s="207"/>
      <c r="FRU106" s="210"/>
      <c r="FRV106" s="209"/>
      <c r="FRW106" s="204"/>
      <c r="FRX106" s="204"/>
      <c r="FRY106" s="204"/>
      <c r="FRZ106" s="199"/>
      <c r="FSA106" s="167"/>
      <c r="FSB106" s="199"/>
      <c r="FSC106" s="200"/>
      <c r="FSD106" s="201"/>
      <c r="FSE106" s="202"/>
      <c r="FSF106" s="202"/>
      <c r="FSG106" s="202"/>
      <c r="FSH106" s="202"/>
      <c r="FSI106" s="203"/>
      <c r="FSJ106" s="204"/>
      <c r="FSK106" s="204"/>
      <c r="FSL106" s="204"/>
      <c r="FSM106" s="205"/>
      <c r="FSN106" s="206"/>
      <c r="FSO106" s="207"/>
      <c r="FSP106" s="207"/>
      <c r="FSQ106" s="208"/>
      <c r="FSR106" s="209"/>
      <c r="FSS106" s="207"/>
      <c r="FST106" s="210"/>
      <c r="FSU106" s="209"/>
      <c r="FSV106" s="204"/>
      <c r="FSW106" s="204"/>
      <c r="FSX106" s="204"/>
      <c r="FSY106" s="199"/>
      <c r="FSZ106" s="167"/>
      <c r="FTA106" s="199"/>
      <c r="FTB106" s="200"/>
      <c r="FTC106" s="201"/>
      <c r="FTD106" s="202"/>
      <c r="FTE106" s="202"/>
      <c r="FTF106" s="202"/>
      <c r="FTG106" s="202"/>
      <c r="FTH106" s="203"/>
      <c r="FTI106" s="204"/>
      <c r="FTJ106" s="204"/>
      <c r="FTK106" s="204"/>
      <c r="FTL106" s="205"/>
      <c r="FTM106" s="206"/>
      <c r="FTN106" s="207"/>
      <c r="FTO106" s="207"/>
      <c r="FTP106" s="208"/>
      <c r="FTQ106" s="209"/>
      <c r="FTR106" s="207"/>
      <c r="FTS106" s="210"/>
      <c r="FTT106" s="209"/>
      <c r="FTU106" s="204"/>
      <c r="FTV106" s="204"/>
      <c r="FTW106" s="204"/>
      <c r="FTX106" s="199"/>
      <c r="FTY106" s="167"/>
      <c r="FTZ106" s="199"/>
      <c r="FUA106" s="200"/>
      <c r="FUB106" s="201"/>
      <c r="FUC106" s="202"/>
      <c r="FUD106" s="202"/>
      <c r="FUE106" s="202"/>
      <c r="FUF106" s="202"/>
      <c r="FUG106" s="203"/>
      <c r="FUH106" s="204"/>
      <c r="FUI106" s="204"/>
      <c r="FUJ106" s="204"/>
      <c r="FUK106" s="205"/>
      <c r="FUL106" s="206"/>
      <c r="FUM106" s="207"/>
      <c r="FUN106" s="207"/>
      <c r="FUO106" s="208"/>
      <c r="FUP106" s="209"/>
      <c r="FUQ106" s="207"/>
      <c r="FUR106" s="210"/>
      <c r="FUS106" s="209"/>
      <c r="FUT106" s="204"/>
      <c r="FUU106" s="204"/>
      <c r="FUV106" s="204"/>
      <c r="FUW106" s="199"/>
      <c r="FUX106" s="167"/>
      <c r="FUY106" s="199"/>
      <c r="FUZ106" s="200"/>
      <c r="FVA106" s="201"/>
      <c r="FVB106" s="202"/>
      <c r="FVC106" s="202"/>
      <c r="FVD106" s="202"/>
      <c r="FVE106" s="202"/>
      <c r="FVF106" s="203"/>
      <c r="FVG106" s="204"/>
      <c r="FVH106" s="204"/>
      <c r="FVI106" s="204"/>
      <c r="FVJ106" s="205"/>
      <c r="FVK106" s="206"/>
      <c r="FVL106" s="207"/>
      <c r="FVM106" s="207"/>
      <c r="FVN106" s="208"/>
      <c r="FVO106" s="209"/>
      <c r="FVP106" s="207"/>
      <c r="FVQ106" s="210"/>
      <c r="FVR106" s="209"/>
      <c r="FVS106" s="204"/>
      <c r="FVT106" s="204"/>
      <c r="FVU106" s="204"/>
      <c r="FVV106" s="199"/>
      <c r="FVW106" s="167"/>
      <c r="FVX106" s="199"/>
      <c r="FVY106" s="200"/>
      <c r="FVZ106" s="201"/>
      <c r="FWA106" s="202"/>
      <c r="FWB106" s="202"/>
      <c r="FWC106" s="202"/>
      <c r="FWD106" s="202"/>
      <c r="FWE106" s="203"/>
      <c r="FWF106" s="204"/>
      <c r="FWG106" s="204"/>
      <c r="FWH106" s="204"/>
      <c r="FWI106" s="205"/>
      <c r="FWJ106" s="206"/>
      <c r="FWK106" s="207"/>
      <c r="FWL106" s="207"/>
      <c r="FWM106" s="208"/>
      <c r="FWN106" s="209"/>
      <c r="FWO106" s="207"/>
      <c r="FWP106" s="210"/>
      <c r="FWQ106" s="209"/>
      <c r="FWR106" s="204"/>
      <c r="FWS106" s="204"/>
      <c r="FWT106" s="204"/>
      <c r="FWU106" s="199"/>
      <c r="FWV106" s="167"/>
      <c r="FWW106" s="199"/>
      <c r="FWX106" s="200"/>
      <c r="FWY106" s="201"/>
      <c r="FWZ106" s="202"/>
      <c r="FXA106" s="202"/>
      <c r="FXB106" s="202"/>
      <c r="FXC106" s="202"/>
      <c r="FXD106" s="203"/>
      <c r="FXE106" s="204"/>
      <c r="FXF106" s="204"/>
      <c r="FXG106" s="204"/>
      <c r="FXH106" s="205"/>
      <c r="FXI106" s="206"/>
      <c r="FXJ106" s="207"/>
      <c r="FXK106" s="207"/>
      <c r="FXL106" s="208"/>
      <c r="FXM106" s="209"/>
      <c r="FXN106" s="207"/>
      <c r="FXO106" s="210"/>
      <c r="FXP106" s="209"/>
      <c r="FXQ106" s="204"/>
      <c r="FXR106" s="204"/>
      <c r="FXS106" s="204"/>
      <c r="FXT106" s="199"/>
      <c r="FXU106" s="167"/>
      <c r="FXV106" s="199"/>
      <c r="FXW106" s="200"/>
      <c r="FXX106" s="201"/>
      <c r="FXY106" s="202"/>
      <c r="FXZ106" s="202"/>
      <c r="FYA106" s="202"/>
      <c r="FYB106" s="202"/>
      <c r="FYC106" s="203"/>
      <c r="FYD106" s="204"/>
      <c r="FYE106" s="204"/>
      <c r="FYF106" s="204"/>
      <c r="FYG106" s="205"/>
      <c r="FYH106" s="206"/>
      <c r="FYI106" s="207"/>
      <c r="FYJ106" s="207"/>
      <c r="FYK106" s="208"/>
      <c r="FYL106" s="209"/>
      <c r="FYM106" s="207"/>
      <c r="FYN106" s="210"/>
      <c r="FYO106" s="209"/>
      <c r="FYP106" s="204"/>
      <c r="FYQ106" s="204"/>
      <c r="FYR106" s="204"/>
      <c r="FYS106" s="199"/>
      <c r="FYT106" s="167"/>
      <c r="FYU106" s="199"/>
      <c r="FYV106" s="200"/>
      <c r="FYW106" s="201"/>
      <c r="FYX106" s="202"/>
      <c r="FYY106" s="202"/>
      <c r="FYZ106" s="202"/>
      <c r="FZA106" s="202"/>
      <c r="FZB106" s="203"/>
      <c r="FZC106" s="204"/>
      <c r="FZD106" s="204"/>
      <c r="FZE106" s="204"/>
      <c r="FZF106" s="205"/>
      <c r="FZG106" s="206"/>
      <c r="FZH106" s="207"/>
      <c r="FZI106" s="207"/>
      <c r="FZJ106" s="208"/>
      <c r="FZK106" s="209"/>
      <c r="FZL106" s="207"/>
      <c r="FZM106" s="210"/>
      <c r="FZN106" s="209"/>
      <c r="FZO106" s="204"/>
      <c r="FZP106" s="204"/>
      <c r="FZQ106" s="204"/>
      <c r="FZR106" s="199"/>
      <c r="FZS106" s="167"/>
      <c r="FZT106" s="199"/>
      <c r="FZU106" s="200"/>
      <c r="FZV106" s="201"/>
      <c r="FZW106" s="202"/>
      <c r="FZX106" s="202"/>
      <c r="FZY106" s="202"/>
      <c r="FZZ106" s="202"/>
      <c r="GAA106" s="203"/>
      <c r="GAB106" s="204"/>
      <c r="GAC106" s="204"/>
      <c r="GAD106" s="204"/>
      <c r="GAE106" s="205"/>
      <c r="GAF106" s="206"/>
      <c r="GAG106" s="207"/>
      <c r="GAH106" s="207"/>
      <c r="GAI106" s="208"/>
      <c r="GAJ106" s="209"/>
      <c r="GAK106" s="207"/>
      <c r="GAL106" s="210"/>
      <c r="GAM106" s="209"/>
      <c r="GAN106" s="204"/>
      <c r="GAO106" s="204"/>
      <c r="GAP106" s="204"/>
      <c r="GAQ106" s="199"/>
      <c r="GAR106" s="167"/>
      <c r="GAS106" s="199"/>
      <c r="GAT106" s="200"/>
      <c r="GAU106" s="201"/>
      <c r="GAV106" s="202"/>
      <c r="GAW106" s="202"/>
      <c r="GAX106" s="202"/>
      <c r="GAY106" s="202"/>
      <c r="GAZ106" s="203"/>
      <c r="GBA106" s="204"/>
      <c r="GBB106" s="204"/>
      <c r="GBC106" s="204"/>
      <c r="GBD106" s="205"/>
      <c r="GBE106" s="206"/>
      <c r="GBF106" s="207"/>
      <c r="GBG106" s="207"/>
      <c r="GBH106" s="208"/>
      <c r="GBI106" s="209"/>
      <c r="GBJ106" s="207"/>
      <c r="GBK106" s="210"/>
      <c r="GBL106" s="209"/>
      <c r="GBM106" s="204"/>
      <c r="GBN106" s="204"/>
      <c r="GBO106" s="204"/>
      <c r="GBP106" s="199"/>
      <c r="GBQ106" s="167"/>
      <c r="GBR106" s="199"/>
      <c r="GBS106" s="200"/>
      <c r="GBT106" s="201"/>
      <c r="GBU106" s="202"/>
      <c r="GBV106" s="202"/>
      <c r="GBW106" s="202"/>
      <c r="GBX106" s="202"/>
      <c r="GBY106" s="203"/>
      <c r="GBZ106" s="204"/>
      <c r="GCA106" s="204"/>
      <c r="GCB106" s="204"/>
      <c r="GCC106" s="205"/>
      <c r="GCD106" s="206"/>
      <c r="GCE106" s="207"/>
      <c r="GCF106" s="207"/>
      <c r="GCG106" s="208"/>
      <c r="GCH106" s="209"/>
      <c r="GCI106" s="207"/>
      <c r="GCJ106" s="210"/>
      <c r="GCK106" s="209"/>
      <c r="GCL106" s="204"/>
      <c r="GCM106" s="204"/>
      <c r="GCN106" s="204"/>
      <c r="GCO106" s="199"/>
      <c r="GCP106" s="167"/>
      <c r="GCQ106" s="199"/>
      <c r="GCR106" s="200"/>
      <c r="GCS106" s="201"/>
      <c r="GCT106" s="202"/>
      <c r="GCU106" s="202"/>
      <c r="GCV106" s="202"/>
      <c r="GCW106" s="202"/>
      <c r="GCX106" s="203"/>
      <c r="GCY106" s="204"/>
      <c r="GCZ106" s="204"/>
      <c r="GDA106" s="204"/>
      <c r="GDB106" s="205"/>
      <c r="GDC106" s="206"/>
      <c r="GDD106" s="207"/>
      <c r="GDE106" s="207"/>
      <c r="GDF106" s="208"/>
      <c r="GDG106" s="209"/>
      <c r="GDH106" s="207"/>
      <c r="GDI106" s="210"/>
      <c r="GDJ106" s="209"/>
      <c r="GDK106" s="204"/>
      <c r="GDL106" s="204"/>
      <c r="GDM106" s="204"/>
      <c r="GDN106" s="199"/>
      <c r="GDO106" s="167"/>
      <c r="GDP106" s="199"/>
      <c r="GDQ106" s="200"/>
      <c r="GDR106" s="201"/>
      <c r="GDS106" s="202"/>
      <c r="GDT106" s="202"/>
      <c r="GDU106" s="202"/>
      <c r="GDV106" s="202"/>
      <c r="GDW106" s="203"/>
      <c r="GDX106" s="204"/>
      <c r="GDY106" s="204"/>
      <c r="GDZ106" s="204"/>
      <c r="GEA106" s="205"/>
      <c r="GEB106" s="206"/>
      <c r="GEC106" s="207"/>
      <c r="GED106" s="207"/>
      <c r="GEE106" s="208"/>
      <c r="GEF106" s="209"/>
      <c r="GEG106" s="207"/>
      <c r="GEH106" s="210"/>
      <c r="GEI106" s="209"/>
      <c r="GEJ106" s="204"/>
      <c r="GEK106" s="204"/>
      <c r="GEL106" s="204"/>
      <c r="GEM106" s="199"/>
      <c r="GEN106" s="167"/>
      <c r="GEO106" s="199"/>
      <c r="GEP106" s="200"/>
      <c r="GEQ106" s="201"/>
      <c r="GER106" s="202"/>
      <c r="GES106" s="202"/>
      <c r="GET106" s="202"/>
      <c r="GEU106" s="202"/>
      <c r="GEV106" s="203"/>
      <c r="GEW106" s="204"/>
      <c r="GEX106" s="204"/>
      <c r="GEY106" s="204"/>
      <c r="GEZ106" s="205"/>
      <c r="GFA106" s="206"/>
      <c r="GFB106" s="207"/>
      <c r="GFC106" s="207"/>
      <c r="GFD106" s="208"/>
      <c r="GFE106" s="209"/>
      <c r="GFF106" s="207"/>
      <c r="GFG106" s="210"/>
      <c r="GFH106" s="209"/>
      <c r="GFI106" s="204"/>
      <c r="GFJ106" s="204"/>
      <c r="GFK106" s="204"/>
      <c r="GFL106" s="199"/>
      <c r="GFM106" s="167"/>
      <c r="GFN106" s="199"/>
      <c r="GFO106" s="200"/>
      <c r="GFP106" s="201"/>
      <c r="GFQ106" s="202"/>
      <c r="GFR106" s="202"/>
      <c r="GFS106" s="202"/>
      <c r="GFT106" s="202"/>
      <c r="GFU106" s="203"/>
      <c r="GFV106" s="204"/>
      <c r="GFW106" s="204"/>
      <c r="GFX106" s="204"/>
      <c r="GFY106" s="205"/>
      <c r="GFZ106" s="206"/>
      <c r="GGA106" s="207"/>
      <c r="GGB106" s="207"/>
      <c r="GGC106" s="208"/>
      <c r="GGD106" s="209"/>
      <c r="GGE106" s="207"/>
      <c r="GGF106" s="210"/>
      <c r="GGG106" s="209"/>
      <c r="GGH106" s="204"/>
      <c r="GGI106" s="204"/>
      <c r="GGJ106" s="204"/>
      <c r="GGK106" s="199"/>
      <c r="GGL106" s="167"/>
      <c r="GGM106" s="199"/>
      <c r="GGN106" s="200"/>
      <c r="GGO106" s="201"/>
      <c r="GGP106" s="202"/>
      <c r="GGQ106" s="202"/>
      <c r="GGR106" s="202"/>
      <c r="GGS106" s="202"/>
      <c r="GGT106" s="203"/>
      <c r="GGU106" s="204"/>
      <c r="GGV106" s="204"/>
      <c r="GGW106" s="204"/>
      <c r="GGX106" s="205"/>
      <c r="GGY106" s="206"/>
      <c r="GGZ106" s="207"/>
      <c r="GHA106" s="207"/>
      <c r="GHB106" s="208"/>
      <c r="GHC106" s="209"/>
      <c r="GHD106" s="207"/>
      <c r="GHE106" s="210"/>
      <c r="GHF106" s="209"/>
      <c r="GHG106" s="204"/>
      <c r="GHH106" s="204"/>
      <c r="GHI106" s="204"/>
      <c r="GHJ106" s="199"/>
      <c r="GHK106" s="167"/>
      <c r="GHL106" s="199"/>
      <c r="GHM106" s="200"/>
      <c r="GHN106" s="201"/>
      <c r="GHO106" s="202"/>
      <c r="GHP106" s="202"/>
      <c r="GHQ106" s="202"/>
      <c r="GHR106" s="202"/>
      <c r="GHS106" s="203"/>
      <c r="GHT106" s="204"/>
      <c r="GHU106" s="204"/>
      <c r="GHV106" s="204"/>
      <c r="GHW106" s="205"/>
      <c r="GHX106" s="206"/>
      <c r="GHY106" s="207"/>
      <c r="GHZ106" s="207"/>
      <c r="GIA106" s="208"/>
      <c r="GIB106" s="209"/>
      <c r="GIC106" s="207"/>
      <c r="GID106" s="210"/>
      <c r="GIE106" s="209"/>
      <c r="GIF106" s="204"/>
      <c r="GIG106" s="204"/>
      <c r="GIH106" s="204"/>
      <c r="GII106" s="199"/>
      <c r="GIJ106" s="167"/>
      <c r="GIK106" s="199"/>
      <c r="GIL106" s="200"/>
      <c r="GIM106" s="201"/>
      <c r="GIN106" s="202"/>
      <c r="GIO106" s="202"/>
      <c r="GIP106" s="202"/>
      <c r="GIQ106" s="202"/>
      <c r="GIR106" s="203"/>
      <c r="GIS106" s="204"/>
      <c r="GIT106" s="204"/>
      <c r="GIU106" s="204"/>
      <c r="GIV106" s="205"/>
      <c r="GIW106" s="206"/>
      <c r="GIX106" s="207"/>
      <c r="GIY106" s="207"/>
      <c r="GIZ106" s="208"/>
      <c r="GJA106" s="209"/>
      <c r="GJB106" s="207"/>
      <c r="GJC106" s="210"/>
      <c r="GJD106" s="209"/>
      <c r="GJE106" s="204"/>
      <c r="GJF106" s="204"/>
      <c r="GJG106" s="204"/>
      <c r="GJH106" s="199"/>
      <c r="GJI106" s="167"/>
      <c r="GJJ106" s="199"/>
      <c r="GJK106" s="200"/>
      <c r="GJL106" s="201"/>
      <c r="GJM106" s="202"/>
      <c r="GJN106" s="202"/>
      <c r="GJO106" s="202"/>
      <c r="GJP106" s="202"/>
      <c r="GJQ106" s="203"/>
      <c r="GJR106" s="204"/>
      <c r="GJS106" s="204"/>
      <c r="GJT106" s="204"/>
      <c r="GJU106" s="205"/>
      <c r="GJV106" s="206"/>
      <c r="GJW106" s="207"/>
      <c r="GJX106" s="207"/>
      <c r="GJY106" s="208"/>
      <c r="GJZ106" s="209"/>
      <c r="GKA106" s="207"/>
      <c r="GKB106" s="210"/>
      <c r="GKC106" s="209"/>
      <c r="GKD106" s="204"/>
      <c r="GKE106" s="204"/>
      <c r="GKF106" s="204"/>
      <c r="GKG106" s="199"/>
      <c r="GKH106" s="167"/>
      <c r="GKI106" s="199"/>
      <c r="GKJ106" s="200"/>
      <c r="GKK106" s="201"/>
      <c r="GKL106" s="202"/>
      <c r="GKM106" s="202"/>
      <c r="GKN106" s="202"/>
      <c r="GKO106" s="202"/>
      <c r="GKP106" s="203"/>
      <c r="GKQ106" s="204"/>
      <c r="GKR106" s="204"/>
      <c r="GKS106" s="204"/>
      <c r="GKT106" s="205"/>
      <c r="GKU106" s="206"/>
      <c r="GKV106" s="207"/>
      <c r="GKW106" s="207"/>
      <c r="GKX106" s="208"/>
      <c r="GKY106" s="209"/>
      <c r="GKZ106" s="207"/>
      <c r="GLA106" s="210"/>
      <c r="GLB106" s="209"/>
      <c r="GLC106" s="204"/>
      <c r="GLD106" s="204"/>
      <c r="GLE106" s="204"/>
      <c r="GLF106" s="199"/>
      <c r="GLG106" s="167"/>
      <c r="GLH106" s="199"/>
      <c r="GLI106" s="200"/>
      <c r="GLJ106" s="201"/>
      <c r="GLK106" s="202"/>
      <c r="GLL106" s="202"/>
      <c r="GLM106" s="202"/>
      <c r="GLN106" s="202"/>
      <c r="GLO106" s="203"/>
      <c r="GLP106" s="204"/>
      <c r="GLQ106" s="204"/>
      <c r="GLR106" s="204"/>
      <c r="GLS106" s="205"/>
      <c r="GLT106" s="206"/>
      <c r="GLU106" s="207"/>
      <c r="GLV106" s="207"/>
      <c r="GLW106" s="208"/>
      <c r="GLX106" s="209"/>
      <c r="GLY106" s="207"/>
      <c r="GLZ106" s="210"/>
      <c r="GMA106" s="209"/>
      <c r="GMB106" s="204"/>
      <c r="GMC106" s="204"/>
      <c r="GMD106" s="204"/>
      <c r="GME106" s="199"/>
      <c r="GMF106" s="167"/>
      <c r="GMG106" s="199"/>
      <c r="GMH106" s="200"/>
      <c r="GMI106" s="201"/>
      <c r="GMJ106" s="202"/>
      <c r="GMK106" s="202"/>
      <c r="GML106" s="202"/>
      <c r="GMM106" s="202"/>
      <c r="GMN106" s="203"/>
      <c r="GMO106" s="204"/>
      <c r="GMP106" s="204"/>
      <c r="GMQ106" s="204"/>
      <c r="GMR106" s="205"/>
      <c r="GMS106" s="206"/>
      <c r="GMT106" s="207"/>
      <c r="GMU106" s="207"/>
      <c r="GMV106" s="208"/>
      <c r="GMW106" s="209"/>
      <c r="GMX106" s="207"/>
      <c r="GMY106" s="210"/>
      <c r="GMZ106" s="209"/>
      <c r="GNA106" s="204"/>
      <c r="GNB106" s="204"/>
      <c r="GNC106" s="204"/>
      <c r="GND106" s="199"/>
      <c r="GNE106" s="167"/>
      <c r="GNF106" s="199"/>
      <c r="GNG106" s="200"/>
      <c r="GNH106" s="201"/>
      <c r="GNI106" s="202"/>
      <c r="GNJ106" s="202"/>
      <c r="GNK106" s="202"/>
      <c r="GNL106" s="202"/>
      <c r="GNM106" s="203"/>
      <c r="GNN106" s="204"/>
      <c r="GNO106" s="204"/>
      <c r="GNP106" s="204"/>
      <c r="GNQ106" s="205"/>
      <c r="GNR106" s="206"/>
      <c r="GNS106" s="207"/>
      <c r="GNT106" s="207"/>
      <c r="GNU106" s="208"/>
      <c r="GNV106" s="209"/>
      <c r="GNW106" s="207"/>
      <c r="GNX106" s="210"/>
      <c r="GNY106" s="209"/>
      <c r="GNZ106" s="204"/>
      <c r="GOA106" s="204"/>
      <c r="GOB106" s="204"/>
      <c r="GOC106" s="199"/>
      <c r="GOD106" s="167"/>
      <c r="GOE106" s="199"/>
      <c r="GOF106" s="200"/>
      <c r="GOG106" s="201"/>
      <c r="GOH106" s="202"/>
      <c r="GOI106" s="202"/>
      <c r="GOJ106" s="202"/>
      <c r="GOK106" s="202"/>
      <c r="GOL106" s="203"/>
      <c r="GOM106" s="204"/>
      <c r="GON106" s="204"/>
      <c r="GOO106" s="204"/>
      <c r="GOP106" s="205"/>
      <c r="GOQ106" s="206"/>
      <c r="GOR106" s="207"/>
      <c r="GOS106" s="207"/>
      <c r="GOT106" s="208"/>
      <c r="GOU106" s="209"/>
      <c r="GOV106" s="207"/>
      <c r="GOW106" s="210"/>
      <c r="GOX106" s="209"/>
      <c r="GOY106" s="204"/>
      <c r="GOZ106" s="204"/>
      <c r="GPA106" s="204"/>
      <c r="GPB106" s="199"/>
      <c r="GPC106" s="167"/>
      <c r="GPD106" s="199"/>
      <c r="GPE106" s="200"/>
      <c r="GPF106" s="201"/>
      <c r="GPG106" s="202"/>
      <c r="GPH106" s="202"/>
      <c r="GPI106" s="202"/>
      <c r="GPJ106" s="202"/>
      <c r="GPK106" s="203"/>
      <c r="GPL106" s="204"/>
      <c r="GPM106" s="204"/>
      <c r="GPN106" s="204"/>
      <c r="GPO106" s="205"/>
      <c r="GPP106" s="206"/>
      <c r="GPQ106" s="207"/>
      <c r="GPR106" s="207"/>
      <c r="GPS106" s="208"/>
      <c r="GPT106" s="209"/>
      <c r="GPU106" s="207"/>
      <c r="GPV106" s="210"/>
      <c r="GPW106" s="209"/>
      <c r="GPX106" s="204"/>
      <c r="GPY106" s="204"/>
      <c r="GPZ106" s="204"/>
      <c r="GQA106" s="199"/>
      <c r="GQB106" s="167"/>
      <c r="GQC106" s="199"/>
      <c r="GQD106" s="200"/>
      <c r="GQE106" s="201"/>
      <c r="GQF106" s="202"/>
      <c r="GQG106" s="202"/>
      <c r="GQH106" s="202"/>
      <c r="GQI106" s="202"/>
      <c r="GQJ106" s="203"/>
      <c r="GQK106" s="204"/>
      <c r="GQL106" s="204"/>
      <c r="GQM106" s="204"/>
      <c r="GQN106" s="205"/>
      <c r="GQO106" s="206"/>
      <c r="GQP106" s="207"/>
      <c r="GQQ106" s="207"/>
      <c r="GQR106" s="208"/>
      <c r="GQS106" s="209"/>
      <c r="GQT106" s="207"/>
      <c r="GQU106" s="210"/>
      <c r="GQV106" s="209"/>
      <c r="GQW106" s="204"/>
      <c r="GQX106" s="204"/>
      <c r="GQY106" s="204"/>
      <c r="GQZ106" s="199"/>
      <c r="GRA106" s="167"/>
      <c r="GRB106" s="199"/>
      <c r="GRC106" s="200"/>
      <c r="GRD106" s="201"/>
      <c r="GRE106" s="202"/>
      <c r="GRF106" s="202"/>
      <c r="GRG106" s="202"/>
      <c r="GRH106" s="202"/>
      <c r="GRI106" s="203"/>
      <c r="GRJ106" s="204"/>
      <c r="GRK106" s="204"/>
      <c r="GRL106" s="204"/>
      <c r="GRM106" s="205"/>
      <c r="GRN106" s="206"/>
      <c r="GRO106" s="207"/>
      <c r="GRP106" s="207"/>
      <c r="GRQ106" s="208"/>
      <c r="GRR106" s="209"/>
      <c r="GRS106" s="207"/>
      <c r="GRT106" s="210"/>
      <c r="GRU106" s="209"/>
      <c r="GRV106" s="204"/>
      <c r="GRW106" s="204"/>
      <c r="GRX106" s="204"/>
      <c r="GRY106" s="199"/>
      <c r="GRZ106" s="167"/>
      <c r="GSA106" s="199"/>
      <c r="GSB106" s="200"/>
      <c r="GSC106" s="201"/>
      <c r="GSD106" s="202"/>
      <c r="GSE106" s="202"/>
      <c r="GSF106" s="202"/>
      <c r="GSG106" s="202"/>
      <c r="GSH106" s="203"/>
      <c r="GSI106" s="204"/>
      <c r="GSJ106" s="204"/>
      <c r="GSK106" s="204"/>
      <c r="GSL106" s="205"/>
      <c r="GSM106" s="206"/>
      <c r="GSN106" s="207"/>
      <c r="GSO106" s="207"/>
      <c r="GSP106" s="208"/>
      <c r="GSQ106" s="209"/>
      <c r="GSR106" s="207"/>
      <c r="GSS106" s="210"/>
      <c r="GST106" s="209"/>
      <c r="GSU106" s="204"/>
      <c r="GSV106" s="204"/>
      <c r="GSW106" s="204"/>
      <c r="GSX106" s="199"/>
      <c r="GSY106" s="167"/>
      <c r="GSZ106" s="199"/>
      <c r="GTA106" s="200"/>
      <c r="GTB106" s="201"/>
      <c r="GTC106" s="202"/>
      <c r="GTD106" s="202"/>
      <c r="GTE106" s="202"/>
      <c r="GTF106" s="202"/>
      <c r="GTG106" s="203"/>
      <c r="GTH106" s="204"/>
      <c r="GTI106" s="204"/>
      <c r="GTJ106" s="204"/>
      <c r="GTK106" s="205"/>
      <c r="GTL106" s="206"/>
      <c r="GTM106" s="207"/>
      <c r="GTN106" s="207"/>
      <c r="GTO106" s="208"/>
      <c r="GTP106" s="209"/>
      <c r="GTQ106" s="207"/>
      <c r="GTR106" s="210"/>
      <c r="GTS106" s="209"/>
      <c r="GTT106" s="204"/>
      <c r="GTU106" s="204"/>
      <c r="GTV106" s="204"/>
      <c r="GTW106" s="199"/>
      <c r="GTX106" s="167"/>
      <c r="GTY106" s="199"/>
      <c r="GTZ106" s="200"/>
      <c r="GUA106" s="201"/>
      <c r="GUB106" s="202"/>
      <c r="GUC106" s="202"/>
      <c r="GUD106" s="202"/>
      <c r="GUE106" s="202"/>
      <c r="GUF106" s="203"/>
      <c r="GUG106" s="204"/>
      <c r="GUH106" s="204"/>
      <c r="GUI106" s="204"/>
      <c r="GUJ106" s="205"/>
      <c r="GUK106" s="206"/>
      <c r="GUL106" s="207"/>
      <c r="GUM106" s="207"/>
      <c r="GUN106" s="208"/>
      <c r="GUO106" s="209"/>
      <c r="GUP106" s="207"/>
      <c r="GUQ106" s="210"/>
      <c r="GUR106" s="209"/>
      <c r="GUS106" s="204"/>
      <c r="GUT106" s="204"/>
      <c r="GUU106" s="204"/>
      <c r="GUV106" s="199"/>
      <c r="GUW106" s="167"/>
      <c r="GUX106" s="199"/>
      <c r="GUY106" s="200"/>
      <c r="GUZ106" s="201"/>
      <c r="GVA106" s="202"/>
      <c r="GVB106" s="202"/>
      <c r="GVC106" s="202"/>
      <c r="GVD106" s="202"/>
      <c r="GVE106" s="203"/>
      <c r="GVF106" s="204"/>
      <c r="GVG106" s="204"/>
      <c r="GVH106" s="204"/>
      <c r="GVI106" s="205"/>
      <c r="GVJ106" s="206"/>
      <c r="GVK106" s="207"/>
      <c r="GVL106" s="207"/>
      <c r="GVM106" s="208"/>
      <c r="GVN106" s="209"/>
      <c r="GVO106" s="207"/>
      <c r="GVP106" s="210"/>
      <c r="GVQ106" s="209"/>
      <c r="GVR106" s="204"/>
      <c r="GVS106" s="204"/>
      <c r="GVT106" s="204"/>
      <c r="GVU106" s="199"/>
      <c r="GVV106" s="167"/>
      <c r="GVW106" s="199"/>
      <c r="GVX106" s="200"/>
      <c r="GVY106" s="201"/>
      <c r="GVZ106" s="202"/>
      <c r="GWA106" s="202"/>
      <c r="GWB106" s="202"/>
      <c r="GWC106" s="202"/>
      <c r="GWD106" s="203"/>
      <c r="GWE106" s="204"/>
      <c r="GWF106" s="204"/>
      <c r="GWG106" s="204"/>
      <c r="GWH106" s="205"/>
      <c r="GWI106" s="206"/>
      <c r="GWJ106" s="207"/>
      <c r="GWK106" s="207"/>
      <c r="GWL106" s="208"/>
      <c r="GWM106" s="209"/>
      <c r="GWN106" s="207"/>
      <c r="GWO106" s="210"/>
      <c r="GWP106" s="209"/>
      <c r="GWQ106" s="204"/>
      <c r="GWR106" s="204"/>
      <c r="GWS106" s="204"/>
      <c r="GWT106" s="199"/>
      <c r="GWU106" s="167"/>
      <c r="GWV106" s="199"/>
      <c r="GWW106" s="200"/>
      <c r="GWX106" s="201"/>
      <c r="GWY106" s="202"/>
      <c r="GWZ106" s="202"/>
      <c r="GXA106" s="202"/>
      <c r="GXB106" s="202"/>
      <c r="GXC106" s="203"/>
      <c r="GXD106" s="204"/>
      <c r="GXE106" s="204"/>
      <c r="GXF106" s="204"/>
      <c r="GXG106" s="205"/>
      <c r="GXH106" s="206"/>
      <c r="GXI106" s="207"/>
      <c r="GXJ106" s="207"/>
      <c r="GXK106" s="208"/>
      <c r="GXL106" s="209"/>
      <c r="GXM106" s="207"/>
      <c r="GXN106" s="210"/>
      <c r="GXO106" s="209"/>
      <c r="GXP106" s="204"/>
      <c r="GXQ106" s="204"/>
      <c r="GXR106" s="204"/>
      <c r="GXS106" s="199"/>
      <c r="GXT106" s="167"/>
      <c r="GXU106" s="199"/>
      <c r="GXV106" s="200"/>
      <c r="GXW106" s="201"/>
      <c r="GXX106" s="202"/>
      <c r="GXY106" s="202"/>
      <c r="GXZ106" s="202"/>
      <c r="GYA106" s="202"/>
      <c r="GYB106" s="203"/>
      <c r="GYC106" s="204"/>
      <c r="GYD106" s="204"/>
      <c r="GYE106" s="204"/>
      <c r="GYF106" s="205"/>
      <c r="GYG106" s="206"/>
      <c r="GYH106" s="207"/>
      <c r="GYI106" s="207"/>
      <c r="GYJ106" s="208"/>
      <c r="GYK106" s="209"/>
      <c r="GYL106" s="207"/>
      <c r="GYM106" s="210"/>
      <c r="GYN106" s="209"/>
      <c r="GYO106" s="204"/>
      <c r="GYP106" s="204"/>
      <c r="GYQ106" s="204"/>
      <c r="GYR106" s="199"/>
      <c r="GYS106" s="167"/>
      <c r="GYT106" s="199"/>
      <c r="GYU106" s="200"/>
      <c r="GYV106" s="201"/>
      <c r="GYW106" s="202"/>
      <c r="GYX106" s="202"/>
      <c r="GYY106" s="202"/>
      <c r="GYZ106" s="202"/>
      <c r="GZA106" s="203"/>
      <c r="GZB106" s="204"/>
      <c r="GZC106" s="204"/>
      <c r="GZD106" s="204"/>
      <c r="GZE106" s="205"/>
      <c r="GZF106" s="206"/>
      <c r="GZG106" s="207"/>
      <c r="GZH106" s="207"/>
      <c r="GZI106" s="208"/>
      <c r="GZJ106" s="209"/>
      <c r="GZK106" s="207"/>
      <c r="GZL106" s="210"/>
      <c r="GZM106" s="209"/>
      <c r="GZN106" s="204"/>
      <c r="GZO106" s="204"/>
      <c r="GZP106" s="204"/>
      <c r="GZQ106" s="199"/>
      <c r="GZR106" s="167"/>
      <c r="GZS106" s="199"/>
      <c r="GZT106" s="200"/>
      <c r="GZU106" s="201"/>
      <c r="GZV106" s="202"/>
      <c r="GZW106" s="202"/>
      <c r="GZX106" s="202"/>
      <c r="GZY106" s="202"/>
      <c r="GZZ106" s="203"/>
      <c r="HAA106" s="204"/>
      <c r="HAB106" s="204"/>
      <c r="HAC106" s="204"/>
      <c r="HAD106" s="205"/>
      <c r="HAE106" s="206"/>
      <c r="HAF106" s="207"/>
      <c r="HAG106" s="207"/>
      <c r="HAH106" s="208"/>
      <c r="HAI106" s="209"/>
      <c r="HAJ106" s="207"/>
      <c r="HAK106" s="210"/>
      <c r="HAL106" s="209"/>
      <c r="HAM106" s="204"/>
      <c r="HAN106" s="204"/>
      <c r="HAO106" s="204"/>
      <c r="HAP106" s="199"/>
      <c r="HAQ106" s="167"/>
      <c r="HAR106" s="199"/>
      <c r="HAS106" s="200"/>
      <c r="HAT106" s="201"/>
      <c r="HAU106" s="202"/>
      <c r="HAV106" s="202"/>
      <c r="HAW106" s="202"/>
      <c r="HAX106" s="202"/>
      <c r="HAY106" s="203"/>
      <c r="HAZ106" s="204"/>
      <c r="HBA106" s="204"/>
      <c r="HBB106" s="204"/>
      <c r="HBC106" s="205"/>
      <c r="HBD106" s="206"/>
      <c r="HBE106" s="207"/>
      <c r="HBF106" s="207"/>
      <c r="HBG106" s="208"/>
      <c r="HBH106" s="209"/>
      <c r="HBI106" s="207"/>
      <c r="HBJ106" s="210"/>
      <c r="HBK106" s="209"/>
      <c r="HBL106" s="204"/>
      <c r="HBM106" s="204"/>
      <c r="HBN106" s="204"/>
      <c r="HBO106" s="199"/>
      <c r="HBP106" s="167"/>
      <c r="HBQ106" s="199"/>
      <c r="HBR106" s="200"/>
      <c r="HBS106" s="201"/>
      <c r="HBT106" s="202"/>
      <c r="HBU106" s="202"/>
      <c r="HBV106" s="202"/>
      <c r="HBW106" s="202"/>
      <c r="HBX106" s="203"/>
      <c r="HBY106" s="204"/>
      <c r="HBZ106" s="204"/>
      <c r="HCA106" s="204"/>
      <c r="HCB106" s="205"/>
      <c r="HCC106" s="206"/>
      <c r="HCD106" s="207"/>
      <c r="HCE106" s="207"/>
      <c r="HCF106" s="208"/>
      <c r="HCG106" s="209"/>
      <c r="HCH106" s="207"/>
      <c r="HCI106" s="210"/>
      <c r="HCJ106" s="209"/>
      <c r="HCK106" s="204"/>
      <c r="HCL106" s="204"/>
      <c r="HCM106" s="204"/>
      <c r="HCN106" s="199"/>
      <c r="HCO106" s="167"/>
      <c r="HCP106" s="199"/>
      <c r="HCQ106" s="200"/>
      <c r="HCR106" s="201"/>
      <c r="HCS106" s="202"/>
      <c r="HCT106" s="202"/>
      <c r="HCU106" s="202"/>
      <c r="HCV106" s="202"/>
      <c r="HCW106" s="203"/>
      <c r="HCX106" s="204"/>
      <c r="HCY106" s="204"/>
      <c r="HCZ106" s="204"/>
      <c r="HDA106" s="205"/>
      <c r="HDB106" s="206"/>
      <c r="HDC106" s="207"/>
      <c r="HDD106" s="207"/>
      <c r="HDE106" s="208"/>
      <c r="HDF106" s="209"/>
      <c r="HDG106" s="207"/>
      <c r="HDH106" s="210"/>
      <c r="HDI106" s="209"/>
      <c r="HDJ106" s="204"/>
      <c r="HDK106" s="204"/>
      <c r="HDL106" s="204"/>
      <c r="HDM106" s="199"/>
      <c r="HDN106" s="167"/>
      <c r="HDO106" s="199"/>
      <c r="HDP106" s="200"/>
      <c r="HDQ106" s="201"/>
      <c r="HDR106" s="202"/>
      <c r="HDS106" s="202"/>
      <c r="HDT106" s="202"/>
      <c r="HDU106" s="202"/>
      <c r="HDV106" s="203"/>
      <c r="HDW106" s="204"/>
      <c r="HDX106" s="204"/>
      <c r="HDY106" s="204"/>
      <c r="HDZ106" s="205"/>
      <c r="HEA106" s="206"/>
      <c r="HEB106" s="207"/>
      <c r="HEC106" s="207"/>
      <c r="HED106" s="208"/>
      <c r="HEE106" s="209"/>
      <c r="HEF106" s="207"/>
      <c r="HEG106" s="210"/>
      <c r="HEH106" s="209"/>
      <c r="HEI106" s="204"/>
      <c r="HEJ106" s="204"/>
      <c r="HEK106" s="204"/>
      <c r="HEL106" s="199"/>
      <c r="HEM106" s="167"/>
      <c r="HEN106" s="199"/>
      <c r="HEO106" s="200"/>
      <c r="HEP106" s="201"/>
      <c r="HEQ106" s="202"/>
      <c r="HER106" s="202"/>
      <c r="HES106" s="202"/>
      <c r="HET106" s="202"/>
      <c r="HEU106" s="203"/>
      <c r="HEV106" s="204"/>
      <c r="HEW106" s="204"/>
      <c r="HEX106" s="204"/>
      <c r="HEY106" s="205"/>
      <c r="HEZ106" s="206"/>
      <c r="HFA106" s="207"/>
      <c r="HFB106" s="207"/>
      <c r="HFC106" s="208"/>
      <c r="HFD106" s="209"/>
      <c r="HFE106" s="207"/>
      <c r="HFF106" s="210"/>
      <c r="HFG106" s="209"/>
      <c r="HFH106" s="204"/>
      <c r="HFI106" s="204"/>
      <c r="HFJ106" s="204"/>
      <c r="HFK106" s="199"/>
      <c r="HFL106" s="167"/>
      <c r="HFM106" s="199"/>
      <c r="HFN106" s="200"/>
      <c r="HFO106" s="201"/>
      <c r="HFP106" s="202"/>
      <c r="HFQ106" s="202"/>
      <c r="HFR106" s="202"/>
      <c r="HFS106" s="202"/>
      <c r="HFT106" s="203"/>
      <c r="HFU106" s="204"/>
      <c r="HFV106" s="204"/>
      <c r="HFW106" s="204"/>
      <c r="HFX106" s="205"/>
      <c r="HFY106" s="206"/>
      <c r="HFZ106" s="207"/>
      <c r="HGA106" s="207"/>
      <c r="HGB106" s="208"/>
      <c r="HGC106" s="209"/>
      <c r="HGD106" s="207"/>
      <c r="HGE106" s="210"/>
      <c r="HGF106" s="209"/>
      <c r="HGG106" s="204"/>
      <c r="HGH106" s="204"/>
      <c r="HGI106" s="204"/>
      <c r="HGJ106" s="199"/>
      <c r="HGK106" s="167"/>
      <c r="HGL106" s="199"/>
      <c r="HGM106" s="200"/>
      <c r="HGN106" s="201"/>
      <c r="HGO106" s="202"/>
      <c r="HGP106" s="202"/>
      <c r="HGQ106" s="202"/>
      <c r="HGR106" s="202"/>
      <c r="HGS106" s="203"/>
      <c r="HGT106" s="204"/>
      <c r="HGU106" s="204"/>
      <c r="HGV106" s="204"/>
      <c r="HGW106" s="205"/>
      <c r="HGX106" s="206"/>
      <c r="HGY106" s="207"/>
      <c r="HGZ106" s="207"/>
      <c r="HHA106" s="208"/>
      <c r="HHB106" s="209"/>
      <c r="HHC106" s="207"/>
      <c r="HHD106" s="210"/>
      <c r="HHE106" s="209"/>
      <c r="HHF106" s="204"/>
      <c r="HHG106" s="204"/>
      <c r="HHH106" s="204"/>
      <c r="HHI106" s="199"/>
      <c r="HHJ106" s="167"/>
      <c r="HHK106" s="199"/>
      <c r="HHL106" s="200"/>
      <c r="HHM106" s="201"/>
      <c r="HHN106" s="202"/>
      <c r="HHO106" s="202"/>
      <c r="HHP106" s="202"/>
      <c r="HHQ106" s="202"/>
      <c r="HHR106" s="203"/>
      <c r="HHS106" s="204"/>
      <c r="HHT106" s="204"/>
      <c r="HHU106" s="204"/>
      <c r="HHV106" s="205"/>
      <c r="HHW106" s="206"/>
      <c r="HHX106" s="207"/>
      <c r="HHY106" s="207"/>
      <c r="HHZ106" s="208"/>
      <c r="HIA106" s="209"/>
      <c r="HIB106" s="207"/>
      <c r="HIC106" s="210"/>
      <c r="HID106" s="209"/>
      <c r="HIE106" s="204"/>
      <c r="HIF106" s="204"/>
      <c r="HIG106" s="204"/>
      <c r="HIH106" s="199"/>
      <c r="HII106" s="167"/>
      <c r="HIJ106" s="199"/>
      <c r="HIK106" s="200"/>
      <c r="HIL106" s="201"/>
      <c r="HIM106" s="202"/>
      <c r="HIN106" s="202"/>
      <c r="HIO106" s="202"/>
      <c r="HIP106" s="202"/>
      <c r="HIQ106" s="203"/>
      <c r="HIR106" s="204"/>
      <c r="HIS106" s="204"/>
      <c r="HIT106" s="204"/>
      <c r="HIU106" s="205"/>
      <c r="HIV106" s="206"/>
      <c r="HIW106" s="207"/>
      <c r="HIX106" s="207"/>
      <c r="HIY106" s="208"/>
      <c r="HIZ106" s="209"/>
      <c r="HJA106" s="207"/>
      <c r="HJB106" s="210"/>
      <c r="HJC106" s="209"/>
      <c r="HJD106" s="204"/>
      <c r="HJE106" s="204"/>
      <c r="HJF106" s="204"/>
      <c r="HJG106" s="199"/>
      <c r="HJH106" s="167"/>
      <c r="HJI106" s="199"/>
      <c r="HJJ106" s="200"/>
      <c r="HJK106" s="201"/>
      <c r="HJL106" s="202"/>
      <c r="HJM106" s="202"/>
      <c r="HJN106" s="202"/>
      <c r="HJO106" s="202"/>
      <c r="HJP106" s="203"/>
      <c r="HJQ106" s="204"/>
      <c r="HJR106" s="204"/>
      <c r="HJS106" s="204"/>
      <c r="HJT106" s="205"/>
      <c r="HJU106" s="206"/>
      <c r="HJV106" s="207"/>
      <c r="HJW106" s="207"/>
      <c r="HJX106" s="208"/>
      <c r="HJY106" s="209"/>
      <c r="HJZ106" s="207"/>
      <c r="HKA106" s="210"/>
      <c r="HKB106" s="209"/>
      <c r="HKC106" s="204"/>
      <c r="HKD106" s="204"/>
      <c r="HKE106" s="204"/>
      <c r="HKF106" s="199"/>
      <c r="HKG106" s="167"/>
      <c r="HKH106" s="199"/>
      <c r="HKI106" s="200"/>
      <c r="HKJ106" s="201"/>
      <c r="HKK106" s="202"/>
      <c r="HKL106" s="202"/>
      <c r="HKM106" s="202"/>
      <c r="HKN106" s="202"/>
      <c r="HKO106" s="203"/>
      <c r="HKP106" s="204"/>
      <c r="HKQ106" s="204"/>
      <c r="HKR106" s="204"/>
      <c r="HKS106" s="205"/>
      <c r="HKT106" s="206"/>
      <c r="HKU106" s="207"/>
      <c r="HKV106" s="207"/>
      <c r="HKW106" s="208"/>
      <c r="HKX106" s="209"/>
      <c r="HKY106" s="207"/>
      <c r="HKZ106" s="210"/>
      <c r="HLA106" s="209"/>
      <c r="HLB106" s="204"/>
      <c r="HLC106" s="204"/>
      <c r="HLD106" s="204"/>
      <c r="HLE106" s="199"/>
      <c r="HLF106" s="167"/>
      <c r="HLG106" s="199"/>
      <c r="HLH106" s="200"/>
      <c r="HLI106" s="201"/>
      <c r="HLJ106" s="202"/>
      <c r="HLK106" s="202"/>
      <c r="HLL106" s="202"/>
      <c r="HLM106" s="202"/>
      <c r="HLN106" s="203"/>
      <c r="HLO106" s="204"/>
      <c r="HLP106" s="204"/>
      <c r="HLQ106" s="204"/>
      <c r="HLR106" s="205"/>
      <c r="HLS106" s="206"/>
      <c r="HLT106" s="207"/>
      <c r="HLU106" s="207"/>
      <c r="HLV106" s="208"/>
      <c r="HLW106" s="209"/>
      <c r="HLX106" s="207"/>
      <c r="HLY106" s="210"/>
      <c r="HLZ106" s="209"/>
      <c r="HMA106" s="204"/>
      <c r="HMB106" s="204"/>
      <c r="HMC106" s="204"/>
      <c r="HMD106" s="199"/>
      <c r="HME106" s="167"/>
      <c r="HMF106" s="199"/>
      <c r="HMG106" s="200"/>
      <c r="HMH106" s="201"/>
      <c r="HMI106" s="202"/>
      <c r="HMJ106" s="202"/>
      <c r="HMK106" s="202"/>
      <c r="HML106" s="202"/>
      <c r="HMM106" s="203"/>
      <c r="HMN106" s="204"/>
      <c r="HMO106" s="204"/>
      <c r="HMP106" s="204"/>
      <c r="HMQ106" s="205"/>
      <c r="HMR106" s="206"/>
      <c r="HMS106" s="207"/>
      <c r="HMT106" s="207"/>
      <c r="HMU106" s="208"/>
      <c r="HMV106" s="209"/>
      <c r="HMW106" s="207"/>
      <c r="HMX106" s="210"/>
      <c r="HMY106" s="209"/>
      <c r="HMZ106" s="204"/>
      <c r="HNA106" s="204"/>
      <c r="HNB106" s="204"/>
      <c r="HNC106" s="199"/>
      <c r="HND106" s="167"/>
      <c r="HNE106" s="199"/>
      <c r="HNF106" s="200"/>
      <c r="HNG106" s="201"/>
      <c r="HNH106" s="202"/>
      <c r="HNI106" s="202"/>
      <c r="HNJ106" s="202"/>
      <c r="HNK106" s="202"/>
      <c r="HNL106" s="203"/>
      <c r="HNM106" s="204"/>
      <c r="HNN106" s="204"/>
      <c r="HNO106" s="204"/>
      <c r="HNP106" s="205"/>
      <c r="HNQ106" s="206"/>
      <c r="HNR106" s="207"/>
      <c r="HNS106" s="207"/>
      <c r="HNT106" s="208"/>
      <c r="HNU106" s="209"/>
      <c r="HNV106" s="207"/>
      <c r="HNW106" s="210"/>
      <c r="HNX106" s="209"/>
      <c r="HNY106" s="204"/>
      <c r="HNZ106" s="204"/>
      <c r="HOA106" s="204"/>
      <c r="HOB106" s="199"/>
      <c r="HOC106" s="167"/>
      <c r="HOD106" s="199"/>
      <c r="HOE106" s="200"/>
      <c r="HOF106" s="201"/>
      <c r="HOG106" s="202"/>
      <c r="HOH106" s="202"/>
      <c r="HOI106" s="202"/>
      <c r="HOJ106" s="202"/>
      <c r="HOK106" s="203"/>
      <c r="HOL106" s="204"/>
      <c r="HOM106" s="204"/>
      <c r="HON106" s="204"/>
      <c r="HOO106" s="205"/>
      <c r="HOP106" s="206"/>
      <c r="HOQ106" s="207"/>
      <c r="HOR106" s="207"/>
      <c r="HOS106" s="208"/>
      <c r="HOT106" s="209"/>
      <c r="HOU106" s="207"/>
      <c r="HOV106" s="210"/>
      <c r="HOW106" s="209"/>
      <c r="HOX106" s="204"/>
      <c r="HOY106" s="204"/>
      <c r="HOZ106" s="204"/>
      <c r="HPA106" s="199"/>
      <c r="HPB106" s="167"/>
      <c r="HPC106" s="199"/>
      <c r="HPD106" s="200"/>
      <c r="HPE106" s="201"/>
      <c r="HPF106" s="202"/>
      <c r="HPG106" s="202"/>
      <c r="HPH106" s="202"/>
      <c r="HPI106" s="202"/>
      <c r="HPJ106" s="203"/>
      <c r="HPK106" s="204"/>
      <c r="HPL106" s="204"/>
      <c r="HPM106" s="204"/>
      <c r="HPN106" s="205"/>
      <c r="HPO106" s="206"/>
      <c r="HPP106" s="207"/>
      <c r="HPQ106" s="207"/>
      <c r="HPR106" s="208"/>
      <c r="HPS106" s="209"/>
      <c r="HPT106" s="207"/>
      <c r="HPU106" s="210"/>
      <c r="HPV106" s="209"/>
      <c r="HPW106" s="204"/>
      <c r="HPX106" s="204"/>
      <c r="HPY106" s="204"/>
      <c r="HPZ106" s="199"/>
      <c r="HQA106" s="167"/>
      <c r="HQB106" s="199"/>
      <c r="HQC106" s="200"/>
      <c r="HQD106" s="201"/>
      <c r="HQE106" s="202"/>
      <c r="HQF106" s="202"/>
      <c r="HQG106" s="202"/>
      <c r="HQH106" s="202"/>
      <c r="HQI106" s="203"/>
      <c r="HQJ106" s="204"/>
      <c r="HQK106" s="204"/>
      <c r="HQL106" s="204"/>
      <c r="HQM106" s="205"/>
      <c r="HQN106" s="206"/>
      <c r="HQO106" s="207"/>
      <c r="HQP106" s="207"/>
      <c r="HQQ106" s="208"/>
      <c r="HQR106" s="209"/>
      <c r="HQS106" s="207"/>
      <c r="HQT106" s="210"/>
      <c r="HQU106" s="209"/>
      <c r="HQV106" s="204"/>
      <c r="HQW106" s="204"/>
      <c r="HQX106" s="204"/>
      <c r="HQY106" s="199"/>
      <c r="HQZ106" s="167"/>
      <c r="HRA106" s="199"/>
      <c r="HRB106" s="200"/>
      <c r="HRC106" s="201"/>
      <c r="HRD106" s="202"/>
      <c r="HRE106" s="202"/>
      <c r="HRF106" s="202"/>
      <c r="HRG106" s="202"/>
      <c r="HRH106" s="203"/>
      <c r="HRI106" s="204"/>
      <c r="HRJ106" s="204"/>
      <c r="HRK106" s="204"/>
      <c r="HRL106" s="205"/>
      <c r="HRM106" s="206"/>
      <c r="HRN106" s="207"/>
      <c r="HRO106" s="207"/>
      <c r="HRP106" s="208"/>
      <c r="HRQ106" s="209"/>
      <c r="HRR106" s="207"/>
      <c r="HRS106" s="210"/>
      <c r="HRT106" s="209"/>
      <c r="HRU106" s="204"/>
      <c r="HRV106" s="204"/>
      <c r="HRW106" s="204"/>
      <c r="HRX106" s="199"/>
      <c r="HRY106" s="167"/>
      <c r="HRZ106" s="199"/>
      <c r="HSA106" s="200"/>
      <c r="HSB106" s="201"/>
      <c r="HSC106" s="202"/>
      <c r="HSD106" s="202"/>
      <c r="HSE106" s="202"/>
      <c r="HSF106" s="202"/>
      <c r="HSG106" s="203"/>
      <c r="HSH106" s="204"/>
      <c r="HSI106" s="204"/>
      <c r="HSJ106" s="204"/>
      <c r="HSK106" s="205"/>
      <c r="HSL106" s="206"/>
      <c r="HSM106" s="207"/>
      <c r="HSN106" s="207"/>
      <c r="HSO106" s="208"/>
      <c r="HSP106" s="209"/>
      <c r="HSQ106" s="207"/>
      <c r="HSR106" s="210"/>
      <c r="HSS106" s="209"/>
      <c r="HST106" s="204"/>
      <c r="HSU106" s="204"/>
      <c r="HSV106" s="204"/>
      <c r="HSW106" s="199"/>
      <c r="HSX106" s="167"/>
      <c r="HSY106" s="199"/>
      <c r="HSZ106" s="200"/>
      <c r="HTA106" s="201"/>
      <c r="HTB106" s="202"/>
      <c r="HTC106" s="202"/>
      <c r="HTD106" s="202"/>
      <c r="HTE106" s="202"/>
      <c r="HTF106" s="203"/>
      <c r="HTG106" s="204"/>
      <c r="HTH106" s="204"/>
      <c r="HTI106" s="204"/>
      <c r="HTJ106" s="205"/>
      <c r="HTK106" s="206"/>
      <c r="HTL106" s="207"/>
      <c r="HTM106" s="207"/>
      <c r="HTN106" s="208"/>
      <c r="HTO106" s="209"/>
      <c r="HTP106" s="207"/>
      <c r="HTQ106" s="210"/>
      <c r="HTR106" s="209"/>
      <c r="HTS106" s="204"/>
      <c r="HTT106" s="204"/>
      <c r="HTU106" s="204"/>
      <c r="HTV106" s="199"/>
      <c r="HTW106" s="167"/>
      <c r="HTX106" s="199"/>
      <c r="HTY106" s="200"/>
      <c r="HTZ106" s="201"/>
      <c r="HUA106" s="202"/>
      <c r="HUB106" s="202"/>
      <c r="HUC106" s="202"/>
      <c r="HUD106" s="202"/>
      <c r="HUE106" s="203"/>
      <c r="HUF106" s="204"/>
      <c r="HUG106" s="204"/>
      <c r="HUH106" s="204"/>
      <c r="HUI106" s="205"/>
      <c r="HUJ106" s="206"/>
      <c r="HUK106" s="207"/>
      <c r="HUL106" s="207"/>
      <c r="HUM106" s="208"/>
      <c r="HUN106" s="209"/>
      <c r="HUO106" s="207"/>
      <c r="HUP106" s="210"/>
      <c r="HUQ106" s="209"/>
      <c r="HUR106" s="204"/>
      <c r="HUS106" s="204"/>
      <c r="HUT106" s="204"/>
      <c r="HUU106" s="199"/>
      <c r="HUV106" s="167"/>
      <c r="HUW106" s="199"/>
      <c r="HUX106" s="200"/>
      <c r="HUY106" s="201"/>
      <c r="HUZ106" s="202"/>
      <c r="HVA106" s="202"/>
      <c r="HVB106" s="202"/>
      <c r="HVC106" s="202"/>
      <c r="HVD106" s="203"/>
      <c r="HVE106" s="204"/>
      <c r="HVF106" s="204"/>
      <c r="HVG106" s="204"/>
      <c r="HVH106" s="205"/>
      <c r="HVI106" s="206"/>
      <c r="HVJ106" s="207"/>
      <c r="HVK106" s="207"/>
      <c r="HVL106" s="208"/>
      <c r="HVM106" s="209"/>
      <c r="HVN106" s="207"/>
      <c r="HVO106" s="210"/>
      <c r="HVP106" s="209"/>
      <c r="HVQ106" s="204"/>
      <c r="HVR106" s="204"/>
      <c r="HVS106" s="204"/>
      <c r="HVT106" s="199"/>
      <c r="HVU106" s="167"/>
      <c r="HVV106" s="199"/>
      <c r="HVW106" s="200"/>
      <c r="HVX106" s="201"/>
      <c r="HVY106" s="202"/>
      <c r="HVZ106" s="202"/>
      <c r="HWA106" s="202"/>
      <c r="HWB106" s="202"/>
      <c r="HWC106" s="203"/>
      <c r="HWD106" s="204"/>
      <c r="HWE106" s="204"/>
      <c r="HWF106" s="204"/>
      <c r="HWG106" s="205"/>
      <c r="HWH106" s="206"/>
      <c r="HWI106" s="207"/>
      <c r="HWJ106" s="207"/>
      <c r="HWK106" s="208"/>
      <c r="HWL106" s="209"/>
      <c r="HWM106" s="207"/>
      <c r="HWN106" s="210"/>
      <c r="HWO106" s="209"/>
      <c r="HWP106" s="204"/>
      <c r="HWQ106" s="204"/>
      <c r="HWR106" s="204"/>
      <c r="HWS106" s="199"/>
      <c r="HWT106" s="167"/>
      <c r="HWU106" s="199"/>
      <c r="HWV106" s="200"/>
      <c r="HWW106" s="201"/>
      <c r="HWX106" s="202"/>
      <c r="HWY106" s="202"/>
      <c r="HWZ106" s="202"/>
      <c r="HXA106" s="202"/>
      <c r="HXB106" s="203"/>
      <c r="HXC106" s="204"/>
      <c r="HXD106" s="204"/>
      <c r="HXE106" s="204"/>
      <c r="HXF106" s="205"/>
      <c r="HXG106" s="206"/>
      <c r="HXH106" s="207"/>
      <c r="HXI106" s="207"/>
      <c r="HXJ106" s="208"/>
      <c r="HXK106" s="209"/>
      <c r="HXL106" s="207"/>
      <c r="HXM106" s="210"/>
      <c r="HXN106" s="209"/>
      <c r="HXO106" s="204"/>
      <c r="HXP106" s="204"/>
      <c r="HXQ106" s="204"/>
      <c r="HXR106" s="199"/>
      <c r="HXS106" s="167"/>
      <c r="HXT106" s="199"/>
      <c r="HXU106" s="200"/>
      <c r="HXV106" s="201"/>
      <c r="HXW106" s="202"/>
      <c r="HXX106" s="202"/>
      <c r="HXY106" s="202"/>
      <c r="HXZ106" s="202"/>
      <c r="HYA106" s="203"/>
      <c r="HYB106" s="204"/>
      <c r="HYC106" s="204"/>
      <c r="HYD106" s="204"/>
      <c r="HYE106" s="205"/>
      <c r="HYF106" s="206"/>
      <c r="HYG106" s="207"/>
      <c r="HYH106" s="207"/>
      <c r="HYI106" s="208"/>
      <c r="HYJ106" s="209"/>
      <c r="HYK106" s="207"/>
      <c r="HYL106" s="210"/>
      <c r="HYM106" s="209"/>
      <c r="HYN106" s="204"/>
      <c r="HYO106" s="204"/>
      <c r="HYP106" s="204"/>
      <c r="HYQ106" s="199"/>
      <c r="HYR106" s="167"/>
      <c r="HYS106" s="199"/>
      <c r="HYT106" s="200"/>
      <c r="HYU106" s="201"/>
      <c r="HYV106" s="202"/>
      <c r="HYW106" s="202"/>
      <c r="HYX106" s="202"/>
      <c r="HYY106" s="202"/>
      <c r="HYZ106" s="203"/>
      <c r="HZA106" s="204"/>
      <c r="HZB106" s="204"/>
      <c r="HZC106" s="204"/>
      <c r="HZD106" s="205"/>
      <c r="HZE106" s="206"/>
      <c r="HZF106" s="207"/>
      <c r="HZG106" s="207"/>
      <c r="HZH106" s="208"/>
      <c r="HZI106" s="209"/>
      <c r="HZJ106" s="207"/>
      <c r="HZK106" s="210"/>
      <c r="HZL106" s="209"/>
      <c r="HZM106" s="204"/>
      <c r="HZN106" s="204"/>
      <c r="HZO106" s="204"/>
      <c r="HZP106" s="199"/>
      <c r="HZQ106" s="167"/>
      <c r="HZR106" s="199"/>
      <c r="HZS106" s="200"/>
      <c r="HZT106" s="201"/>
      <c r="HZU106" s="202"/>
      <c r="HZV106" s="202"/>
      <c r="HZW106" s="202"/>
      <c r="HZX106" s="202"/>
      <c r="HZY106" s="203"/>
      <c r="HZZ106" s="204"/>
      <c r="IAA106" s="204"/>
      <c r="IAB106" s="204"/>
      <c r="IAC106" s="205"/>
      <c r="IAD106" s="206"/>
      <c r="IAE106" s="207"/>
      <c r="IAF106" s="207"/>
      <c r="IAG106" s="208"/>
      <c r="IAH106" s="209"/>
      <c r="IAI106" s="207"/>
      <c r="IAJ106" s="210"/>
      <c r="IAK106" s="209"/>
      <c r="IAL106" s="204"/>
      <c r="IAM106" s="204"/>
      <c r="IAN106" s="204"/>
      <c r="IAO106" s="199"/>
      <c r="IAP106" s="167"/>
      <c r="IAQ106" s="199"/>
      <c r="IAR106" s="200"/>
      <c r="IAS106" s="201"/>
      <c r="IAT106" s="202"/>
      <c r="IAU106" s="202"/>
      <c r="IAV106" s="202"/>
      <c r="IAW106" s="202"/>
      <c r="IAX106" s="203"/>
      <c r="IAY106" s="204"/>
      <c r="IAZ106" s="204"/>
      <c r="IBA106" s="204"/>
      <c r="IBB106" s="205"/>
      <c r="IBC106" s="206"/>
      <c r="IBD106" s="207"/>
      <c r="IBE106" s="207"/>
      <c r="IBF106" s="208"/>
      <c r="IBG106" s="209"/>
      <c r="IBH106" s="207"/>
      <c r="IBI106" s="210"/>
      <c r="IBJ106" s="209"/>
      <c r="IBK106" s="204"/>
      <c r="IBL106" s="204"/>
      <c r="IBM106" s="204"/>
      <c r="IBN106" s="199"/>
      <c r="IBO106" s="167"/>
      <c r="IBP106" s="199"/>
      <c r="IBQ106" s="200"/>
      <c r="IBR106" s="201"/>
      <c r="IBS106" s="202"/>
      <c r="IBT106" s="202"/>
      <c r="IBU106" s="202"/>
      <c r="IBV106" s="202"/>
      <c r="IBW106" s="203"/>
      <c r="IBX106" s="204"/>
      <c r="IBY106" s="204"/>
      <c r="IBZ106" s="204"/>
      <c r="ICA106" s="205"/>
      <c r="ICB106" s="206"/>
      <c r="ICC106" s="207"/>
      <c r="ICD106" s="207"/>
      <c r="ICE106" s="208"/>
      <c r="ICF106" s="209"/>
      <c r="ICG106" s="207"/>
      <c r="ICH106" s="210"/>
      <c r="ICI106" s="209"/>
      <c r="ICJ106" s="204"/>
      <c r="ICK106" s="204"/>
      <c r="ICL106" s="204"/>
      <c r="ICM106" s="199"/>
      <c r="ICN106" s="167"/>
      <c r="ICO106" s="199"/>
      <c r="ICP106" s="200"/>
      <c r="ICQ106" s="201"/>
      <c r="ICR106" s="202"/>
      <c r="ICS106" s="202"/>
      <c r="ICT106" s="202"/>
      <c r="ICU106" s="202"/>
      <c r="ICV106" s="203"/>
      <c r="ICW106" s="204"/>
      <c r="ICX106" s="204"/>
      <c r="ICY106" s="204"/>
      <c r="ICZ106" s="205"/>
      <c r="IDA106" s="206"/>
      <c r="IDB106" s="207"/>
      <c r="IDC106" s="207"/>
      <c r="IDD106" s="208"/>
      <c r="IDE106" s="209"/>
      <c r="IDF106" s="207"/>
      <c r="IDG106" s="210"/>
      <c r="IDH106" s="209"/>
      <c r="IDI106" s="204"/>
      <c r="IDJ106" s="204"/>
      <c r="IDK106" s="204"/>
      <c r="IDL106" s="199"/>
      <c r="IDM106" s="167"/>
      <c r="IDN106" s="199"/>
      <c r="IDO106" s="200"/>
      <c r="IDP106" s="201"/>
      <c r="IDQ106" s="202"/>
      <c r="IDR106" s="202"/>
      <c r="IDS106" s="202"/>
      <c r="IDT106" s="202"/>
      <c r="IDU106" s="203"/>
      <c r="IDV106" s="204"/>
      <c r="IDW106" s="204"/>
      <c r="IDX106" s="204"/>
      <c r="IDY106" s="205"/>
      <c r="IDZ106" s="206"/>
      <c r="IEA106" s="207"/>
      <c r="IEB106" s="207"/>
      <c r="IEC106" s="208"/>
      <c r="IED106" s="209"/>
      <c r="IEE106" s="207"/>
      <c r="IEF106" s="210"/>
      <c r="IEG106" s="209"/>
      <c r="IEH106" s="204"/>
      <c r="IEI106" s="204"/>
      <c r="IEJ106" s="204"/>
      <c r="IEK106" s="199"/>
      <c r="IEL106" s="167"/>
      <c r="IEM106" s="199"/>
      <c r="IEN106" s="200"/>
      <c r="IEO106" s="201"/>
      <c r="IEP106" s="202"/>
      <c r="IEQ106" s="202"/>
      <c r="IER106" s="202"/>
      <c r="IES106" s="202"/>
      <c r="IET106" s="203"/>
      <c r="IEU106" s="204"/>
      <c r="IEV106" s="204"/>
      <c r="IEW106" s="204"/>
      <c r="IEX106" s="205"/>
      <c r="IEY106" s="206"/>
      <c r="IEZ106" s="207"/>
      <c r="IFA106" s="207"/>
      <c r="IFB106" s="208"/>
      <c r="IFC106" s="209"/>
      <c r="IFD106" s="207"/>
      <c r="IFE106" s="210"/>
      <c r="IFF106" s="209"/>
      <c r="IFG106" s="204"/>
      <c r="IFH106" s="204"/>
      <c r="IFI106" s="204"/>
      <c r="IFJ106" s="199"/>
      <c r="IFK106" s="167"/>
      <c r="IFL106" s="199"/>
      <c r="IFM106" s="200"/>
      <c r="IFN106" s="201"/>
      <c r="IFO106" s="202"/>
      <c r="IFP106" s="202"/>
      <c r="IFQ106" s="202"/>
      <c r="IFR106" s="202"/>
      <c r="IFS106" s="203"/>
      <c r="IFT106" s="204"/>
      <c r="IFU106" s="204"/>
      <c r="IFV106" s="204"/>
      <c r="IFW106" s="205"/>
      <c r="IFX106" s="206"/>
      <c r="IFY106" s="207"/>
      <c r="IFZ106" s="207"/>
      <c r="IGA106" s="208"/>
      <c r="IGB106" s="209"/>
      <c r="IGC106" s="207"/>
      <c r="IGD106" s="210"/>
      <c r="IGE106" s="209"/>
      <c r="IGF106" s="204"/>
      <c r="IGG106" s="204"/>
      <c r="IGH106" s="204"/>
      <c r="IGI106" s="199"/>
      <c r="IGJ106" s="167"/>
      <c r="IGK106" s="199"/>
      <c r="IGL106" s="200"/>
      <c r="IGM106" s="201"/>
      <c r="IGN106" s="202"/>
      <c r="IGO106" s="202"/>
      <c r="IGP106" s="202"/>
      <c r="IGQ106" s="202"/>
      <c r="IGR106" s="203"/>
      <c r="IGS106" s="204"/>
      <c r="IGT106" s="204"/>
      <c r="IGU106" s="204"/>
      <c r="IGV106" s="205"/>
      <c r="IGW106" s="206"/>
      <c r="IGX106" s="207"/>
      <c r="IGY106" s="207"/>
      <c r="IGZ106" s="208"/>
      <c r="IHA106" s="209"/>
      <c r="IHB106" s="207"/>
      <c r="IHC106" s="210"/>
      <c r="IHD106" s="209"/>
      <c r="IHE106" s="204"/>
      <c r="IHF106" s="204"/>
      <c r="IHG106" s="204"/>
      <c r="IHH106" s="199"/>
      <c r="IHI106" s="167"/>
      <c r="IHJ106" s="199"/>
      <c r="IHK106" s="200"/>
      <c r="IHL106" s="201"/>
      <c r="IHM106" s="202"/>
      <c r="IHN106" s="202"/>
      <c r="IHO106" s="202"/>
      <c r="IHP106" s="202"/>
      <c r="IHQ106" s="203"/>
      <c r="IHR106" s="204"/>
      <c r="IHS106" s="204"/>
      <c r="IHT106" s="204"/>
      <c r="IHU106" s="205"/>
      <c r="IHV106" s="206"/>
      <c r="IHW106" s="207"/>
      <c r="IHX106" s="207"/>
      <c r="IHY106" s="208"/>
      <c r="IHZ106" s="209"/>
      <c r="IIA106" s="207"/>
      <c r="IIB106" s="210"/>
      <c r="IIC106" s="209"/>
      <c r="IID106" s="204"/>
      <c r="IIE106" s="204"/>
      <c r="IIF106" s="204"/>
      <c r="IIG106" s="199"/>
      <c r="IIH106" s="167"/>
      <c r="III106" s="199"/>
      <c r="IIJ106" s="200"/>
      <c r="IIK106" s="201"/>
      <c r="IIL106" s="202"/>
      <c r="IIM106" s="202"/>
      <c r="IIN106" s="202"/>
      <c r="IIO106" s="202"/>
      <c r="IIP106" s="203"/>
      <c r="IIQ106" s="204"/>
      <c r="IIR106" s="204"/>
      <c r="IIS106" s="204"/>
      <c r="IIT106" s="205"/>
      <c r="IIU106" s="206"/>
      <c r="IIV106" s="207"/>
      <c r="IIW106" s="207"/>
      <c r="IIX106" s="208"/>
      <c r="IIY106" s="209"/>
      <c r="IIZ106" s="207"/>
      <c r="IJA106" s="210"/>
      <c r="IJB106" s="209"/>
      <c r="IJC106" s="204"/>
      <c r="IJD106" s="204"/>
      <c r="IJE106" s="204"/>
      <c r="IJF106" s="199"/>
      <c r="IJG106" s="167"/>
      <c r="IJH106" s="199"/>
      <c r="IJI106" s="200"/>
      <c r="IJJ106" s="201"/>
      <c r="IJK106" s="202"/>
      <c r="IJL106" s="202"/>
      <c r="IJM106" s="202"/>
      <c r="IJN106" s="202"/>
      <c r="IJO106" s="203"/>
      <c r="IJP106" s="204"/>
      <c r="IJQ106" s="204"/>
      <c r="IJR106" s="204"/>
      <c r="IJS106" s="205"/>
      <c r="IJT106" s="206"/>
      <c r="IJU106" s="207"/>
      <c r="IJV106" s="207"/>
      <c r="IJW106" s="208"/>
      <c r="IJX106" s="209"/>
      <c r="IJY106" s="207"/>
      <c r="IJZ106" s="210"/>
      <c r="IKA106" s="209"/>
      <c r="IKB106" s="204"/>
      <c r="IKC106" s="204"/>
      <c r="IKD106" s="204"/>
      <c r="IKE106" s="199"/>
      <c r="IKF106" s="167"/>
      <c r="IKG106" s="199"/>
      <c r="IKH106" s="200"/>
      <c r="IKI106" s="201"/>
      <c r="IKJ106" s="202"/>
      <c r="IKK106" s="202"/>
      <c r="IKL106" s="202"/>
      <c r="IKM106" s="202"/>
      <c r="IKN106" s="203"/>
      <c r="IKO106" s="204"/>
      <c r="IKP106" s="204"/>
      <c r="IKQ106" s="204"/>
      <c r="IKR106" s="205"/>
      <c r="IKS106" s="206"/>
      <c r="IKT106" s="207"/>
      <c r="IKU106" s="207"/>
      <c r="IKV106" s="208"/>
      <c r="IKW106" s="209"/>
      <c r="IKX106" s="207"/>
      <c r="IKY106" s="210"/>
      <c r="IKZ106" s="209"/>
      <c r="ILA106" s="204"/>
      <c r="ILB106" s="204"/>
      <c r="ILC106" s="204"/>
      <c r="ILD106" s="199"/>
      <c r="ILE106" s="167"/>
      <c r="ILF106" s="199"/>
      <c r="ILG106" s="200"/>
      <c r="ILH106" s="201"/>
      <c r="ILI106" s="202"/>
      <c r="ILJ106" s="202"/>
      <c r="ILK106" s="202"/>
      <c r="ILL106" s="202"/>
      <c r="ILM106" s="203"/>
      <c r="ILN106" s="204"/>
      <c r="ILO106" s="204"/>
      <c r="ILP106" s="204"/>
      <c r="ILQ106" s="205"/>
      <c r="ILR106" s="206"/>
      <c r="ILS106" s="207"/>
      <c r="ILT106" s="207"/>
      <c r="ILU106" s="208"/>
      <c r="ILV106" s="209"/>
      <c r="ILW106" s="207"/>
      <c r="ILX106" s="210"/>
      <c r="ILY106" s="209"/>
      <c r="ILZ106" s="204"/>
      <c r="IMA106" s="204"/>
      <c r="IMB106" s="204"/>
      <c r="IMC106" s="199"/>
      <c r="IMD106" s="167"/>
      <c r="IME106" s="199"/>
      <c r="IMF106" s="200"/>
      <c r="IMG106" s="201"/>
      <c r="IMH106" s="202"/>
      <c r="IMI106" s="202"/>
      <c r="IMJ106" s="202"/>
      <c r="IMK106" s="202"/>
      <c r="IML106" s="203"/>
      <c r="IMM106" s="204"/>
      <c r="IMN106" s="204"/>
      <c r="IMO106" s="204"/>
      <c r="IMP106" s="205"/>
      <c r="IMQ106" s="206"/>
      <c r="IMR106" s="207"/>
      <c r="IMS106" s="207"/>
      <c r="IMT106" s="208"/>
      <c r="IMU106" s="209"/>
      <c r="IMV106" s="207"/>
      <c r="IMW106" s="210"/>
      <c r="IMX106" s="209"/>
      <c r="IMY106" s="204"/>
      <c r="IMZ106" s="204"/>
      <c r="INA106" s="204"/>
      <c r="INB106" s="199"/>
      <c r="INC106" s="167"/>
      <c r="IND106" s="199"/>
      <c r="INE106" s="200"/>
      <c r="INF106" s="201"/>
      <c r="ING106" s="202"/>
      <c r="INH106" s="202"/>
      <c r="INI106" s="202"/>
      <c r="INJ106" s="202"/>
      <c r="INK106" s="203"/>
      <c r="INL106" s="204"/>
      <c r="INM106" s="204"/>
      <c r="INN106" s="204"/>
      <c r="INO106" s="205"/>
      <c r="INP106" s="206"/>
      <c r="INQ106" s="207"/>
      <c r="INR106" s="207"/>
      <c r="INS106" s="208"/>
      <c r="INT106" s="209"/>
      <c r="INU106" s="207"/>
      <c r="INV106" s="210"/>
      <c r="INW106" s="209"/>
      <c r="INX106" s="204"/>
      <c r="INY106" s="204"/>
      <c r="INZ106" s="204"/>
      <c r="IOA106" s="199"/>
      <c r="IOB106" s="167"/>
      <c r="IOC106" s="199"/>
      <c r="IOD106" s="200"/>
      <c r="IOE106" s="201"/>
      <c r="IOF106" s="202"/>
      <c r="IOG106" s="202"/>
      <c r="IOH106" s="202"/>
      <c r="IOI106" s="202"/>
      <c r="IOJ106" s="203"/>
      <c r="IOK106" s="204"/>
      <c r="IOL106" s="204"/>
      <c r="IOM106" s="204"/>
      <c r="ION106" s="205"/>
      <c r="IOO106" s="206"/>
      <c r="IOP106" s="207"/>
      <c r="IOQ106" s="207"/>
      <c r="IOR106" s="208"/>
      <c r="IOS106" s="209"/>
      <c r="IOT106" s="207"/>
      <c r="IOU106" s="210"/>
      <c r="IOV106" s="209"/>
      <c r="IOW106" s="204"/>
      <c r="IOX106" s="204"/>
      <c r="IOY106" s="204"/>
      <c r="IOZ106" s="199"/>
      <c r="IPA106" s="167"/>
      <c r="IPB106" s="199"/>
      <c r="IPC106" s="200"/>
      <c r="IPD106" s="201"/>
      <c r="IPE106" s="202"/>
      <c r="IPF106" s="202"/>
      <c r="IPG106" s="202"/>
      <c r="IPH106" s="202"/>
      <c r="IPI106" s="203"/>
      <c r="IPJ106" s="204"/>
      <c r="IPK106" s="204"/>
      <c r="IPL106" s="204"/>
      <c r="IPM106" s="205"/>
      <c r="IPN106" s="206"/>
      <c r="IPO106" s="207"/>
      <c r="IPP106" s="207"/>
      <c r="IPQ106" s="208"/>
      <c r="IPR106" s="209"/>
      <c r="IPS106" s="207"/>
      <c r="IPT106" s="210"/>
      <c r="IPU106" s="209"/>
      <c r="IPV106" s="204"/>
      <c r="IPW106" s="204"/>
      <c r="IPX106" s="204"/>
      <c r="IPY106" s="199"/>
      <c r="IPZ106" s="167"/>
      <c r="IQA106" s="199"/>
      <c r="IQB106" s="200"/>
      <c r="IQC106" s="201"/>
      <c r="IQD106" s="202"/>
      <c r="IQE106" s="202"/>
      <c r="IQF106" s="202"/>
      <c r="IQG106" s="202"/>
      <c r="IQH106" s="203"/>
      <c r="IQI106" s="204"/>
      <c r="IQJ106" s="204"/>
      <c r="IQK106" s="204"/>
      <c r="IQL106" s="205"/>
      <c r="IQM106" s="206"/>
      <c r="IQN106" s="207"/>
      <c r="IQO106" s="207"/>
      <c r="IQP106" s="208"/>
      <c r="IQQ106" s="209"/>
      <c r="IQR106" s="207"/>
      <c r="IQS106" s="210"/>
      <c r="IQT106" s="209"/>
      <c r="IQU106" s="204"/>
      <c r="IQV106" s="204"/>
      <c r="IQW106" s="204"/>
      <c r="IQX106" s="199"/>
      <c r="IQY106" s="167"/>
      <c r="IQZ106" s="199"/>
      <c r="IRA106" s="200"/>
      <c r="IRB106" s="201"/>
      <c r="IRC106" s="202"/>
      <c r="IRD106" s="202"/>
      <c r="IRE106" s="202"/>
      <c r="IRF106" s="202"/>
      <c r="IRG106" s="203"/>
      <c r="IRH106" s="204"/>
      <c r="IRI106" s="204"/>
      <c r="IRJ106" s="204"/>
      <c r="IRK106" s="205"/>
      <c r="IRL106" s="206"/>
      <c r="IRM106" s="207"/>
      <c r="IRN106" s="207"/>
      <c r="IRO106" s="208"/>
      <c r="IRP106" s="209"/>
      <c r="IRQ106" s="207"/>
      <c r="IRR106" s="210"/>
      <c r="IRS106" s="209"/>
      <c r="IRT106" s="204"/>
      <c r="IRU106" s="204"/>
      <c r="IRV106" s="204"/>
      <c r="IRW106" s="199"/>
      <c r="IRX106" s="167"/>
      <c r="IRY106" s="199"/>
      <c r="IRZ106" s="200"/>
      <c r="ISA106" s="201"/>
      <c r="ISB106" s="202"/>
      <c r="ISC106" s="202"/>
      <c r="ISD106" s="202"/>
      <c r="ISE106" s="202"/>
      <c r="ISF106" s="203"/>
      <c r="ISG106" s="204"/>
      <c r="ISH106" s="204"/>
      <c r="ISI106" s="204"/>
      <c r="ISJ106" s="205"/>
      <c r="ISK106" s="206"/>
      <c r="ISL106" s="207"/>
      <c r="ISM106" s="207"/>
      <c r="ISN106" s="208"/>
      <c r="ISO106" s="209"/>
      <c r="ISP106" s="207"/>
      <c r="ISQ106" s="210"/>
      <c r="ISR106" s="209"/>
      <c r="ISS106" s="204"/>
      <c r="IST106" s="204"/>
      <c r="ISU106" s="204"/>
      <c r="ISV106" s="199"/>
      <c r="ISW106" s="167"/>
      <c r="ISX106" s="199"/>
      <c r="ISY106" s="200"/>
      <c r="ISZ106" s="201"/>
      <c r="ITA106" s="202"/>
      <c r="ITB106" s="202"/>
      <c r="ITC106" s="202"/>
      <c r="ITD106" s="202"/>
      <c r="ITE106" s="203"/>
      <c r="ITF106" s="204"/>
      <c r="ITG106" s="204"/>
      <c r="ITH106" s="204"/>
      <c r="ITI106" s="205"/>
      <c r="ITJ106" s="206"/>
      <c r="ITK106" s="207"/>
      <c r="ITL106" s="207"/>
      <c r="ITM106" s="208"/>
      <c r="ITN106" s="209"/>
      <c r="ITO106" s="207"/>
      <c r="ITP106" s="210"/>
      <c r="ITQ106" s="209"/>
      <c r="ITR106" s="204"/>
      <c r="ITS106" s="204"/>
      <c r="ITT106" s="204"/>
      <c r="ITU106" s="199"/>
      <c r="ITV106" s="167"/>
      <c r="ITW106" s="199"/>
      <c r="ITX106" s="200"/>
      <c r="ITY106" s="201"/>
      <c r="ITZ106" s="202"/>
      <c r="IUA106" s="202"/>
      <c r="IUB106" s="202"/>
      <c r="IUC106" s="202"/>
      <c r="IUD106" s="203"/>
      <c r="IUE106" s="204"/>
      <c r="IUF106" s="204"/>
      <c r="IUG106" s="204"/>
      <c r="IUH106" s="205"/>
      <c r="IUI106" s="206"/>
      <c r="IUJ106" s="207"/>
      <c r="IUK106" s="207"/>
      <c r="IUL106" s="208"/>
      <c r="IUM106" s="209"/>
      <c r="IUN106" s="207"/>
      <c r="IUO106" s="210"/>
      <c r="IUP106" s="209"/>
      <c r="IUQ106" s="204"/>
      <c r="IUR106" s="204"/>
      <c r="IUS106" s="204"/>
      <c r="IUT106" s="199"/>
      <c r="IUU106" s="167"/>
      <c r="IUV106" s="199"/>
      <c r="IUW106" s="200"/>
      <c r="IUX106" s="201"/>
      <c r="IUY106" s="202"/>
      <c r="IUZ106" s="202"/>
      <c r="IVA106" s="202"/>
      <c r="IVB106" s="202"/>
      <c r="IVC106" s="203"/>
      <c r="IVD106" s="204"/>
      <c r="IVE106" s="204"/>
      <c r="IVF106" s="204"/>
      <c r="IVG106" s="205"/>
      <c r="IVH106" s="206"/>
      <c r="IVI106" s="207"/>
      <c r="IVJ106" s="207"/>
      <c r="IVK106" s="208"/>
      <c r="IVL106" s="209"/>
      <c r="IVM106" s="207"/>
      <c r="IVN106" s="210"/>
      <c r="IVO106" s="209"/>
      <c r="IVP106" s="204"/>
      <c r="IVQ106" s="204"/>
      <c r="IVR106" s="204"/>
      <c r="IVS106" s="199"/>
      <c r="IVT106" s="167"/>
      <c r="IVU106" s="199"/>
      <c r="IVV106" s="200"/>
      <c r="IVW106" s="201"/>
      <c r="IVX106" s="202"/>
      <c r="IVY106" s="202"/>
      <c r="IVZ106" s="202"/>
      <c r="IWA106" s="202"/>
      <c r="IWB106" s="203"/>
      <c r="IWC106" s="204"/>
      <c r="IWD106" s="204"/>
      <c r="IWE106" s="204"/>
      <c r="IWF106" s="205"/>
      <c r="IWG106" s="206"/>
      <c r="IWH106" s="207"/>
      <c r="IWI106" s="207"/>
      <c r="IWJ106" s="208"/>
      <c r="IWK106" s="209"/>
      <c r="IWL106" s="207"/>
      <c r="IWM106" s="210"/>
      <c r="IWN106" s="209"/>
      <c r="IWO106" s="204"/>
      <c r="IWP106" s="204"/>
      <c r="IWQ106" s="204"/>
      <c r="IWR106" s="199"/>
      <c r="IWS106" s="167"/>
      <c r="IWT106" s="199"/>
      <c r="IWU106" s="200"/>
      <c r="IWV106" s="201"/>
      <c r="IWW106" s="202"/>
      <c r="IWX106" s="202"/>
      <c r="IWY106" s="202"/>
      <c r="IWZ106" s="202"/>
      <c r="IXA106" s="203"/>
      <c r="IXB106" s="204"/>
      <c r="IXC106" s="204"/>
      <c r="IXD106" s="204"/>
      <c r="IXE106" s="205"/>
      <c r="IXF106" s="206"/>
      <c r="IXG106" s="207"/>
      <c r="IXH106" s="207"/>
      <c r="IXI106" s="208"/>
      <c r="IXJ106" s="209"/>
      <c r="IXK106" s="207"/>
      <c r="IXL106" s="210"/>
      <c r="IXM106" s="209"/>
      <c r="IXN106" s="204"/>
      <c r="IXO106" s="204"/>
      <c r="IXP106" s="204"/>
      <c r="IXQ106" s="199"/>
      <c r="IXR106" s="167"/>
      <c r="IXS106" s="199"/>
      <c r="IXT106" s="200"/>
      <c r="IXU106" s="201"/>
      <c r="IXV106" s="202"/>
      <c r="IXW106" s="202"/>
      <c r="IXX106" s="202"/>
      <c r="IXY106" s="202"/>
      <c r="IXZ106" s="203"/>
      <c r="IYA106" s="204"/>
      <c r="IYB106" s="204"/>
      <c r="IYC106" s="204"/>
      <c r="IYD106" s="205"/>
      <c r="IYE106" s="206"/>
      <c r="IYF106" s="207"/>
      <c r="IYG106" s="207"/>
      <c r="IYH106" s="208"/>
      <c r="IYI106" s="209"/>
      <c r="IYJ106" s="207"/>
      <c r="IYK106" s="210"/>
      <c r="IYL106" s="209"/>
      <c r="IYM106" s="204"/>
      <c r="IYN106" s="204"/>
      <c r="IYO106" s="204"/>
      <c r="IYP106" s="199"/>
      <c r="IYQ106" s="167"/>
      <c r="IYR106" s="199"/>
      <c r="IYS106" s="200"/>
      <c r="IYT106" s="201"/>
      <c r="IYU106" s="202"/>
      <c r="IYV106" s="202"/>
      <c r="IYW106" s="202"/>
      <c r="IYX106" s="202"/>
      <c r="IYY106" s="203"/>
      <c r="IYZ106" s="204"/>
      <c r="IZA106" s="204"/>
      <c r="IZB106" s="204"/>
      <c r="IZC106" s="205"/>
      <c r="IZD106" s="206"/>
      <c r="IZE106" s="207"/>
      <c r="IZF106" s="207"/>
      <c r="IZG106" s="208"/>
      <c r="IZH106" s="209"/>
      <c r="IZI106" s="207"/>
      <c r="IZJ106" s="210"/>
      <c r="IZK106" s="209"/>
      <c r="IZL106" s="204"/>
      <c r="IZM106" s="204"/>
      <c r="IZN106" s="204"/>
      <c r="IZO106" s="199"/>
      <c r="IZP106" s="167"/>
      <c r="IZQ106" s="199"/>
      <c r="IZR106" s="200"/>
      <c r="IZS106" s="201"/>
      <c r="IZT106" s="202"/>
      <c r="IZU106" s="202"/>
      <c r="IZV106" s="202"/>
      <c r="IZW106" s="202"/>
      <c r="IZX106" s="203"/>
      <c r="IZY106" s="204"/>
      <c r="IZZ106" s="204"/>
      <c r="JAA106" s="204"/>
      <c r="JAB106" s="205"/>
      <c r="JAC106" s="206"/>
      <c r="JAD106" s="207"/>
      <c r="JAE106" s="207"/>
      <c r="JAF106" s="208"/>
      <c r="JAG106" s="209"/>
      <c r="JAH106" s="207"/>
      <c r="JAI106" s="210"/>
      <c r="JAJ106" s="209"/>
      <c r="JAK106" s="204"/>
      <c r="JAL106" s="204"/>
      <c r="JAM106" s="204"/>
      <c r="JAN106" s="199"/>
      <c r="JAO106" s="167"/>
      <c r="JAP106" s="199"/>
      <c r="JAQ106" s="200"/>
      <c r="JAR106" s="201"/>
      <c r="JAS106" s="202"/>
      <c r="JAT106" s="202"/>
      <c r="JAU106" s="202"/>
      <c r="JAV106" s="202"/>
      <c r="JAW106" s="203"/>
      <c r="JAX106" s="204"/>
      <c r="JAY106" s="204"/>
      <c r="JAZ106" s="204"/>
      <c r="JBA106" s="205"/>
      <c r="JBB106" s="206"/>
      <c r="JBC106" s="207"/>
      <c r="JBD106" s="207"/>
      <c r="JBE106" s="208"/>
      <c r="JBF106" s="209"/>
      <c r="JBG106" s="207"/>
      <c r="JBH106" s="210"/>
      <c r="JBI106" s="209"/>
      <c r="JBJ106" s="204"/>
      <c r="JBK106" s="204"/>
      <c r="JBL106" s="204"/>
      <c r="JBM106" s="199"/>
      <c r="JBN106" s="167"/>
      <c r="JBO106" s="199"/>
      <c r="JBP106" s="200"/>
      <c r="JBQ106" s="201"/>
      <c r="JBR106" s="202"/>
      <c r="JBS106" s="202"/>
      <c r="JBT106" s="202"/>
      <c r="JBU106" s="202"/>
      <c r="JBV106" s="203"/>
      <c r="JBW106" s="204"/>
      <c r="JBX106" s="204"/>
      <c r="JBY106" s="204"/>
      <c r="JBZ106" s="205"/>
      <c r="JCA106" s="206"/>
      <c r="JCB106" s="207"/>
      <c r="JCC106" s="207"/>
      <c r="JCD106" s="208"/>
      <c r="JCE106" s="209"/>
      <c r="JCF106" s="207"/>
      <c r="JCG106" s="210"/>
      <c r="JCH106" s="209"/>
      <c r="JCI106" s="204"/>
      <c r="JCJ106" s="204"/>
      <c r="JCK106" s="204"/>
      <c r="JCL106" s="199"/>
      <c r="JCM106" s="167"/>
      <c r="JCN106" s="199"/>
      <c r="JCO106" s="200"/>
      <c r="JCP106" s="201"/>
      <c r="JCQ106" s="202"/>
      <c r="JCR106" s="202"/>
      <c r="JCS106" s="202"/>
      <c r="JCT106" s="202"/>
      <c r="JCU106" s="203"/>
      <c r="JCV106" s="204"/>
      <c r="JCW106" s="204"/>
      <c r="JCX106" s="204"/>
      <c r="JCY106" s="205"/>
      <c r="JCZ106" s="206"/>
      <c r="JDA106" s="207"/>
      <c r="JDB106" s="207"/>
      <c r="JDC106" s="208"/>
      <c r="JDD106" s="209"/>
      <c r="JDE106" s="207"/>
      <c r="JDF106" s="210"/>
      <c r="JDG106" s="209"/>
      <c r="JDH106" s="204"/>
      <c r="JDI106" s="204"/>
      <c r="JDJ106" s="204"/>
      <c r="JDK106" s="199"/>
      <c r="JDL106" s="167"/>
      <c r="JDM106" s="199"/>
      <c r="JDN106" s="200"/>
      <c r="JDO106" s="201"/>
      <c r="JDP106" s="202"/>
      <c r="JDQ106" s="202"/>
      <c r="JDR106" s="202"/>
      <c r="JDS106" s="202"/>
      <c r="JDT106" s="203"/>
      <c r="JDU106" s="204"/>
      <c r="JDV106" s="204"/>
      <c r="JDW106" s="204"/>
      <c r="JDX106" s="205"/>
      <c r="JDY106" s="206"/>
      <c r="JDZ106" s="207"/>
      <c r="JEA106" s="207"/>
      <c r="JEB106" s="208"/>
      <c r="JEC106" s="209"/>
      <c r="JED106" s="207"/>
      <c r="JEE106" s="210"/>
      <c r="JEF106" s="209"/>
      <c r="JEG106" s="204"/>
      <c r="JEH106" s="204"/>
      <c r="JEI106" s="204"/>
      <c r="JEJ106" s="199"/>
      <c r="JEK106" s="167"/>
      <c r="JEL106" s="199"/>
      <c r="JEM106" s="200"/>
      <c r="JEN106" s="201"/>
      <c r="JEO106" s="202"/>
      <c r="JEP106" s="202"/>
      <c r="JEQ106" s="202"/>
      <c r="JER106" s="202"/>
      <c r="JES106" s="203"/>
      <c r="JET106" s="204"/>
      <c r="JEU106" s="204"/>
      <c r="JEV106" s="204"/>
      <c r="JEW106" s="205"/>
      <c r="JEX106" s="206"/>
      <c r="JEY106" s="207"/>
      <c r="JEZ106" s="207"/>
      <c r="JFA106" s="208"/>
      <c r="JFB106" s="209"/>
      <c r="JFC106" s="207"/>
      <c r="JFD106" s="210"/>
      <c r="JFE106" s="209"/>
      <c r="JFF106" s="204"/>
      <c r="JFG106" s="204"/>
      <c r="JFH106" s="204"/>
      <c r="JFI106" s="199"/>
      <c r="JFJ106" s="167"/>
      <c r="JFK106" s="199"/>
      <c r="JFL106" s="200"/>
      <c r="JFM106" s="201"/>
      <c r="JFN106" s="202"/>
      <c r="JFO106" s="202"/>
      <c r="JFP106" s="202"/>
      <c r="JFQ106" s="202"/>
      <c r="JFR106" s="203"/>
      <c r="JFS106" s="204"/>
      <c r="JFT106" s="204"/>
      <c r="JFU106" s="204"/>
      <c r="JFV106" s="205"/>
      <c r="JFW106" s="206"/>
      <c r="JFX106" s="207"/>
      <c r="JFY106" s="207"/>
      <c r="JFZ106" s="208"/>
      <c r="JGA106" s="209"/>
      <c r="JGB106" s="207"/>
      <c r="JGC106" s="210"/>
      <c r="JGD106" s="209"/>
      <c r="JGE106" s="204"/>
      <c r="JGF106" s="204"/>
      <c r="JGG106" s="204"/>
      <c r="JGH106" s="199"/>
      <c r="JGI106" s="167"/>
      <c r="JGJ106" s="199"/>
      <c r="JGK106" s="200"/>
      <c r="JGL106" s="201"/>
      <c r="JGM106" s="202"/>
      <c r="JGN106" s="202"/>
      <c r="JGO106" s="202"/>
      <c r="JGP106" s="202"/>
      <c r="JGQ106" s="203"/>
      <c r="JGR106" s="204"/>
      <c r="JGS106" s="204"/>
      <c r="JGT106" s="204"/>
      <c r="JGU106" s="205"/>
      <c r="JGV106" s="206"/>
      <c r="JGW106" s="207"/>
      <c r="JGX106" s="207"/>
      <c r="JGY106" s="208"/>
      <c r="JGZ106" s="209"/>
      <c r="JHA106" s="207"/>
      <c r="JHB106" s="210"/>
      <c r="JHC106" s="209"/>
      <c r="JHD106" s="204"/>
      <c r="JHE106" s="204"/>
      <c r="JHF106" s="204"/>
      <c r="JHG106" s="199"/>
      <c r="JHH106" s="167"/>
      <c r="JHI106" s="199"/>
      <c r="JHJ106" s="200"/>
      <c r="JHK106" s="201"/>
      <c r="JHL106" s="202"/>
      <c r="JHM106" s="202"/>
      <c r="JHN106" s="202"/>
      <c r="JHO106" s="202"/>
      <c r="JHP106" s="203"/>
      <c r="JHQ106" s="204"/>
      <c r="JHR106" s="204"/>
      <c r="JHS106" s="204"/>
      <c r="JHT106" s="205"/>
      <c r="JHU106" s="206"/>
      <c r="JHV106" s="207"/>
      <c r="JHW106" s="207"/>
      <c r="JHX106" s="208"/>
      <c r="JHY106" s="209"/>
      <c r="JHZ106" s="207"/>
      <c r="JIA106" s="210"/>
      <c r="JIB106" s="209"/>
      <c r="JIC106" s="204"/>
      <c r="JID106" s="204"/>
      <c r="JIE106" s="204"/>
      <c r="JIF106" s="199"/>
      <c r="JIG106" s="167"/>
      <c r="JIH106" s="199"/>
      <c r="JII106" s="200"/>
      <c r="JIJ106" s="201"/>
      <c r="JIK106" s="202"/>
      <c r="JIL106" s="202"/>
      <c r="JIM106" s="202"/>
      <c r="JIN106" s="202"/>
      <c r="JIO106" s="203"/>
      <c r="JIP106" s="204"/>
      <c r="JIQ106" s="204"/>
      <c r="JIR106" s="204"/>
      <c r="JIS106" s="205"/>
      <c r="JIT106" s="206"/>
      <c r="JIU106" s="207"/>
      <c r="JIV106" s="207"/>
      <c r="JIW106" s="208"/>
      <c r="JIX106" s="209"/>
      <c r="JIY106" s="207"/>
      <c r="JIZ106" s="210"/>
      <c r="JJA106" s="209"/>
      <c r="JJB106" s="204"/>
      <c r="JJC106" s="204"/>
      <c r="JJD106" s="204"/>
      <c r="JJE106" s="199"/>
      <c r="JJF106" s="167"/>
      <c r="JJG106" s="199"/>
      <c r="JJH106" s="200"/>
      <c r="JJI106" s="201"/>
      <c r="JJJ106" s="202"/>
      <c r="JJK106" s="202"/>
      <c r="JJL106" s="202"/>
      <c r="JJM106" s="202"/>
      <c r="JJN106" s="203"/>
      <c r="JJO106" s="204"/>
      <c r="JJP106" s="204"/>
      <c r="JJQ106" s="204"/>
      <c r="JJR106" s="205"/>
      <c r="JJS106" s="206"/>
      <c r="JJT106" s="207"/>
      <c r="JJU106" s="207"/>
      <c r="JJV106" s="208"/>
      <c r="JJW106" s="209"/>
      <c r="JJX106" s="207"/>
      <c r="JJY106" s="210"/>
      <c r="JJZ106" s="209"/>
      <c r="JKA106" s="204"/>
      <c r="JKB106" s="204"/>
      <c r="JKC106" s="204"/>
      <c r="JKD106" s="199"/>
      <c r="JKE106" s="167"/>
      <c r="JKF106" s="199"/>
      <c r="JKG106" s="200"/>
      <c r="JKH106" s="201"/>
      <c r="JKI106" s="202"/>
      <c r="JKJ106" s="202"/>
      <c r="JKK106" s="202"/>
      <c r="JKL106" s="202"/>
      <c r="JKM106" s="203"/>
      <c r="JKN106" s="204"/>
      <c r="JKO106" s="204"/>
      <c r="JKP106" s="204"/>
      <c r="JKQ106" s="205"/>
      <c r="JKR106" s="206"/>
      <c r="JKS106" s="207"/>
      <c r="JKT106" s="207"/>
      <c r="JKU106" s="208"/>
      <c r="JKV106" s="209"/>
      <c r="JKW106" s="207"/>
      <c r="JKX106" s="210"/>
      <c r="JKY106" s="209"/>
      <c r="JKZ106" s="204"/>
      <c r="JLA106" s="204"/>
      <c r="JLB106" s="204"/>
      <c r="JLC106" s="199"/>
      <c r="JLD106" s="167"/>
      <c r="JLE106" s="199"/>
      <c r="JLF106" s="200"/>
      <c r="JLG106" s="201"/>
      <c r="JLH106" s="202"/>
      <c r="JLI106" s="202"/>
      <c r="JLJ106" s="202"/>
      <c r="JLK106" s="202"/>
      <c r="JLL106" s="203"/>
      <c r="JLM106" s="204"/>
      <c r="JLN106" s="204"/>
      <c r="JLO106" s="204"/>
      <c r="JLP106" s="205"/>
      <c r="JLQ106" s="206"/>
      <c r="JLR106" s="207"/>
      <c r="JLS106" s="207"/>
      <c r="JLT106" s="208"/>
      <c r="JLU106" s="209"/>
      <c r="JLV106" s="207"/>
      <c r="JLW106" s="210"/>
      <c r="JLX106" s="209"/>
      <c r="JLY106" s="204"/>
      <c r="JLZ106" s="204"/>
      <c r="JMA106" s="204"/>
      <c r="JMB106" s="199"/>
      <c r="JMC106" s="167"/>
      <c r="JMD106" s="199"/>
      <c r="JME106" s="200"/>
      <c r="JMF106" s="201"/>
      <c r="JMG106" s="202"/>
      <c r="JMH106" s="202"/>
      <c r="JMI106" s="202"/>
      <c r="JMJ106" s="202"/>
      <c r="JMK106" s="203"/>
      <c r="JML106" s="204"/>
      <c r="JMM106" s="204"/>
      <c r="JMN106" s="204"/>
      <c r="JMO106" s="205"/>
      <c r="JMP106" s="206"/>
      <c r="JMQ106" s="207"/>
      <c r="JMR106" s="207"/>
      <c r="JMS106" s="208"/>
      <c r="JMT106" s="209"/>
      <c r="JMU106" s="207"/>
      <c r="JMV106" s="210"/>
      <c r="JMW106" s="209"/>
      <c r="JMX106" s="204"/>
      <c r="JMY106" s="204"/>
      <c r="JMZ106" s="204"/>
      <c r="JNA106" s="199"/>
      <c r="JNB106" s="167"/>
      <c r="JNC106" s="199"/>
      <c r="JND106" s="200"/>
      <c r="JNE106" s="201"/>
      <c r="JNF106" s="202"/>
      <c r="JNG106" s="202"/>
      <c r="JNH106" s="202"/>
      <c r="JNI106" s="202"/>
      <c r="JNJ106" s="203"/>
      <c r="JNK106" s="204"/>
      <c r="JNL106" s="204"/>
      <c r="JNM106" s="204"/>
      <c r="JNN106" s="205"/>
      <c r="JNO106" s="206"/>
      <c r="JNP106" s="207"/>
      <c r="JNQ106" s="207"/>
      <c r="JNR106" s="208"/>
      <c r="JNS106" s="209"/>
      <c r="JNT106" s="207"/>
      <c r="JNU106" s="210"/>
      <c r="JNV106" s="209"/>
      <c r="JNW106" s="204"/>
      <c r="JNX106" s="204"/>
      <c r="JNY106" s="204"/>
      <c r="JNZ106" s="199"/>
      <c r="JOA106" s="167"/>
      <c r="JOB106" s="199"/>
      <c r="JOC106" s="200"/>
      <c r="JOD106" s="201"/>
      <c r="JOE106" s="202"/>
      <c r="JOF106" s="202"/>
      <c r="JOG106" s="202"/>
      <c r="JOH106" s="202"/>
      <c r="JOI106" s="203"/>
      <c r="JOJ106" s="204"/>
      <c r="JOK106" s="204"/>
      <c r="JOL106" s="204"/>
      <c r="JOM106" s="205"/>
      <c r="JON106" s="206"/>
      <c r="JOO106" s="207"/>
      <c r="JOP106" s="207"/>
      <c r="JOQ106" s="208"/>
      <c r="JOR106" s="209"/>
      <c r="JOS106" s="207"/>
      <c r="JOT106" s="210"/>
      <c r="JOU106" s="209"/>
      <c r="JOV106" s="204"/>
      <c r="JOW106" s="204"/>
      <c r="JOX106" s="204"/>
      <c r="JOY106" s="199"/>
      <c r="JOZ106" s="167"/>
      <c r="JPA106" s="199"/>
      <c r="JPB106" s="200"/>
      <c r="JPC106" s="201"/>
      <c r="JPD106" s="202"/>
      <c r="JPE106" s="202"/>
      <c r="JPF106" s="202"/>
      <c r="JPG106" s="202"/>
      <c r="JPH106" s="203"/>
      <c r="JPI106" s="204"/>
      <c r="JPJ106" s="204"/>
      <c r="JPK106" s="204"/>
      <c r="JPL106" s="205"/>
      <c r="JPM106" s="206"/>
      <c r="JPN106" s="207"/>
      <c r="JPO106" s="207"/>
      <c r="JPP106" s="208"/>
      <c r="JPQ106" s="209"/>
      <c r="JPR106" s="207"/>
      <c r="JPS106" s="210"/>
      <c r="JPT106" s="209"/>
      <c r="JPU106" s="204"/>
      <c r="JPV106" s="204"/>
      <c r="JPW106" s="204"/>
      <c r="JPX106" s="199"/>
      <c r="JPY106" s="167"/>
      <c r="JPZ106" s="199"/>
      <c r="JQA106" s="200"/>
      <c r="JQB106" s="201"/>
      <c r="JQC106" s="202"/>
      <c r="JQD106" s="202"/>
      <c r="JQE106" s="202"/>
      <c r="JQF106" s="202"/>
      <c r="JQG106" s="203"/>
      <c r="JQH106" s="204"/>
      <c r="JQI106" s="204"/>
      <c r="JQJ106" s="204"/>
      <c r="JQK106" s="205"/>
      <c r="JQL106" s="206"/>
      <c r="JQM106" s="207"/>
      <c r="JQN106" s="207"/>
      <c r="JQO106" s="208"/>
      <c r="JQP106" s="209"/>
      <c r="JQQ106" s="207"/>
      <c r="JQR106" s="210"/>
      <c r="JQS106" s="209"/>
      <c r="JQT106" s="204"/>
      <c r="JQU106" s="204"/>
      <c r="JQV106" s="204"/>
      <c r="JQW106" s="199"/>
      <c r="JQX106" s="167"/>
      <c r="JQY106" s="199"/>
      <c r="JQZ106" s="200"/>
      <c r="JRA106" s="201"/>
      <c r="JRB106" s="202"/>
      <c r="JRC106" s="202"/>
      <c r="JRD106" s="202"/>
      <c r="JRE106" s="202"/>
      <c r="JRF106" s="203"/>
      <c r="JRG106" s="204"/>
      <c r="JRH106" s="204"/>
      <c r="JRI106" s="204"/>
      <c r="JRJ106" s="205"/>
      <c r="JRK106" s="206"/>
      <c r="JRL106" s="207"/>
      <c r="JRM106" s="207"/>
      <c r="JRN106" s="208"/>
      <c r="JRO106" s="209"/>
      <c r="JRP106" s="207"/>
      <c r="JRQ106" s="210"/>
      <c r="JRR106" s="209"/>
      <c r="JRS106" s="204"/>
      <c r="JRT106" s="204"/>
      <c r="JRU106" s="204"/>
      <c r="JRV106" s="199"/>
      <c r="JRW106" s="167"/>
      <c r="JRX106" s="199"/>
      <c r="JRY106" s="200"/>
      <c r="JRZ106" s="201"/>
      <c r="JSA106" s="202"/>
      <c r="JSB106" s="202"/>
      <c r="JSC106" s="202"/>
      <c r="JSD106" s="202"/>
      <c r="JSE106" s="203"/>
      <c r="JSF106" s="204"/>
      <c r="JSG106" s="204"/>
      <c r="JSH106" s="204"/>
      <c r="JSI106" s="205"/>
      <c r="JSJ106" s="206"/>
      <c r="JSK106" s="207"/>
      <c r="JSL106" s="207"/>
      <c r="JSM106" s="208"/>
      <c r="JSN106" s="209"/>
      <c r="JSO106" s="207"/>
      <c r="JSP106" s="210"/>
      <c r="JSQ106" s="209"/>
      <c r="JSR106" s="204"/>
      <c r="JSS106" s="204"/>
      <c r="JST106" s="204"/>
      <c r="JSU106" s="199"/>
      <c r="JSV106" s="167"/>
      <c r="JSW106" s="199"/>
      <c r="JSX106" s="200"/>
      <c r="JSY106" s="201"/>
      <c r="JSZ106" s="202"/>
      <c r="JTA106" s="202"/>
      <c r="JTB106" s="202"/>
      <c r="JTC106" s="202"/>
      <c r="JTD106" s="203"/>
      <c r="JTE106" s="204"/>
      <c r="JTF106" s="204"/>
      <c r="JTG106" s="204"/>
      <c r="JTH106" s="205"/>
      <c r="JTI106" s="206"/>
      <c r="JTJ106" s="207"/>
      <c r="JTK106" s="207"/>
      <c r="JTL106" s="208"/>
      <c r="JTM106" s="209"/>
      <c r="JTN106" s="207"/>
      <c r="JTO106" s="210"/>
      <c r="JTP106" s="209"/>
      <c r="JTQ106" s="204"/>
      <c r="JTR106" s="204"/>
      <c r="JTS106" s="204"/>
      <c r="JTT106" s="199"/>
      <c r="JTU106" s="167"/>
      <c r="JTV106" s="199"/>
      <c r="JTW106" s="200"/>
      <c r="JTX106" s="201"/>
      <c r="JTY106" s="202"/>
      <c r="JTZ106" s="202"/>
      <c r="JUA106" s="202"/>
      <c r="JUB106" s="202"/>
      <c r="JUC106" s="203"/>
      <c r="JUD106" s="204"/>
      <c r="JUE106" s="204"/>
      <c r="JUF106" s="204"/>
      <c r="JUG106" s="205"/>
      <c r="JUH106" s="206"/>
      <c r="JUI106" s="207"/>
      <c r="JUJ106" s="207"/>
      <c r="JUK106" s="208"/>
      <c r="JUL106" s="209"/>
      <c r="JUM106" s="207"/>
      <c r="JUN106" s="210"/>
      <c r="JUO106" s="209"/>
      <c r="JUP106" s="204"/>
      <c r="JUQ106" s="204"/>
      <c r="JUR106" s="204"/>
      <c r="JUS106" s="199"/>
      <c r="JUT106" s="167"/>
      <c r="JUU106" s="199"/>
      <c r="JUV106" s="200"/>
      <c r="JUW106" s="201"/>
      <c r="JUX106" s="202"/>
      <c r="JUY106" s="202"/>
      <c r="JUZ106" s="202"/>
      <c r="JVA106" s="202"/>
      <c r="JVB106" s="203"/>
      <c r="JVC106" s="204"/>
      <c r="JVD106" s="204"/>
      <c r="JVE106" s="204"/>
      <c r="JVF106" s="205"/>
      <c r="JVG106" s="206"/>
      <c r="JVH106" s="207"/>
      <c r="JVI106" s="207"/>
      <c r="JVJ106" s="208"/>
      <c r="JVK106" s="209"/>
      <c r="JVL106" s="207"/>
      <c r="JVM106" s="210"/>
      <c r="JVN106" s="209"/>
      <c r="JVO106" s="204"/>
      <c r="JVP106" s="204"/>
      <c r="JVQ106" s="204"/>
      <c r="JVR106" s="199"/>
      <c r="JVS106" s="167"/>
      <c r="JVT106" s="199"/>
      <c r="JVU106" s="200"/>
      <c r="JVV106" s="201"/>
      <c r="JVW106" s="202"/>
      <c r="JVX106" s="202"/>
      <c r="JVY106" s="202"/>
      <c r="JVZ106" s="202"/>
      <c r="JWA106" s="203"/>
      <c r="JWB106" s="204"/>
      <c r="JWC106" s="204"/>
      <c r="JWD106" s="204"/>
      <c r="JWE106" s="205"/>
      <c r="JWF106" s="206"/>
      <c r="JWG106" s="207"/>
      <c r="JWH106" s="207"/>
      <c r="JWI106" s="208"/>
      <c r="JWJ106" s="209"/>
      <c r="JWK106" s="207"/>
      <c r="JWL106" s="210"/>
      <c r="JWM106" s="209"/>
      <c r="JWN106" s="204"/>
      <c r="JWO106" s="204"/>
      <c r="JWP106" s="204"/>
      <c r="JWQ106" s="199"/>
      <c r="JWR106" s="167"/>
      <c r="JWS106" s="199"/>
      <c r="JWT106" s="200"/>
      <c r="JWU106" s="201"/>
      <c r="JWV106" s="202"/>
      <c r="JWW106" s="202"/>
      <c r="JWX106" s="202"/>
      <c r="JWY106" s="202"/>
      <c r="JWZ106" s="203"/>
      <c r="JXA106" s="204"/>
      <c r="JXB106" s="204"/>
      <c r="JXC106" s="204"/>
      <c r="JXD106" s="205"/>
      <c r="JXE106" s="206"/>
      <c r="JXF106" s="207"/>
      <c r="JXG106" s="207"/>
      <c r="JXH106" s="208"/>
      <c r="JXI106" s="209"/>
      <c r="JXJ106" s="207"/>
      <c r="JXK106" s="210"/>
      <c r="JXL106" s="209"/>
      <c r="JXM106" s="204"/>
      <c r="JXN106" s="204"/>
      <c r="JXO106" s="204"/>
      <c r="JXP106" s="199"/>
      <c r="JXQ106" s="167"/>
      <c r="JXR106" s="199"/>
      <c r="JXS106" s="200"/>
      <c r="JXT106" s="201"/>
      <c r="JXU106" s="202"/>
      <c r="JXV106" s="202"/>
      <c r="JXW106" s="202"/>
      <c r="JXX106" s="202"/>
      <c r="JXY106" s="203"/>
      <c r="JXZ106" s="204"/>
      <c r="JYA106" s="204"/>
      <c r="JYB106" s="204"/>
      <c r="JYC106" s="205"/>
      <c r="JYD106" s="206"/>
      <c r="JYE106" s="207"/>
      <c r="JYF106" s="207"/>
      <c r="JYG106" s="208"/>
      <c r="JYH106" s="209"/>
      <c r="JYI106" s="207"/>
      <c r="JYJ106" s="210"/>
      <c r="JYK106" s="209"/>
      <c r="JYL106" s="204"/>
      <c r="JYM106" s="204"/>
      <c r="JYN106" s="204"/>
      <c r="JYO106" s="199"/>
      <c r="JYP106" s="167"/>
      <c r="JYQ106" s="199"/>
      <c r="JYR106" s="200"/>
      <c r="JYS106" s="201"/>
      <c r="JYT106" s="202"/>
      <c r="JYU106" s="202"/>
      <c r="JYV106" s="202"/>
      <c r="JYW106" s="202"/>
      <c r="JYX106" s="203"/>
      <c r="JYY106" s="204"/>
      <c r="JYZ106" s="204"/>
      <c r="JZA106" s="204"/>
      <c r="JZB106" s="205"/>
      <c r="JZC106" s="206"/>
      <c r="JZD106" s="207"/>
      <c r="JZE106" s="207"/>
      <c r="JZF106" s="208"/>
      <c r="JZG106" s="209"/>
      <c r="JZH106" s="207"/>
      <c r="JZI106" s="210"/>
      <c r="JZJ106" s="209"/>
      <c r="JZK106" s="204"/>
      <c r="JZL106" s="204"/>
      <c r="JZM106" s="204"/>
      <c r="JZN106" s="199"/>
      <c r="JZO106" s="167"/>
      <c r="JZP106" s="199"/>
      <c r="JZQ106" s="200"/>
      <c r="JZR106" s="201"/>
      <c r="JZS106" s="202"/>
      <c r="JZT106" s="202"/>
      <c r="JZU106" s="202"/>
      <c r="JZV106" s="202"/>
      <c r="JZW106" s="203"/>
      <c r="JZX106" s="204"/>
      <c r="JZY106" s="204"/>
      <c r="JZZ106" s="204"/>
      <c r="KAA106" s="205"/>
      <c r="KAB106" s="206"/>
      <c r="KAC106" s="207"/>
      <c r="KAD106" s="207"/>
      <c r="KAE106" s="208"/>
      <c r="KAF106" s="209"/>
      <c r="KAG106" s="207"/>
      <c r="KAH106" s="210"/>
      <c r="KAI106" s="209"/>
      <c r="KAJ106" s="204"/>
      <c r="KAK106" s="204"/>
      <c r="KAL106" s="204"/>
      <c r="KAM106" s="199"/>
      <c r="KAN106" s="167"/>
      <c r="KAO106" s="199"/>
      <c r="KAP106" s="200"/>
      <c r="KAQ106" s="201"/>
      <c r="KAR106" s="202"/>
      <c r="KAS106" s="202"/>
      <c r="KAT106" s="202"/>
      <c r="KAU106" s="202"/>
      <c r="KAV106" s="203"/>
      <c r="KAW106" s="204"/>
      <c r="KAX106" s="204"/>
      <c r="KAY106" s="204"/>
      <c r="KAZ106" s="205"/>
      <c r="KBA106" s="206"/>
      <c r="KBB106" s="207"/>
      <c r="KBC106" s="207"/>
      <c r="KBD106" s="208"/>
      <c r="KBE106" s="209"/>
      <c r="KBF106" s="207"/>
      <c r="KBG106" s="210"/>
      <c r="KBH106" s="209"/>
      <c r="KBI106" s="204"/>
      <c r="KBJ106" s="204"/>
      <c r="KBK106" s="204"/>
      <c r="KBL106" s="199"/>
      <c r="KBM106" s="167"/>
      <c r="KBN106" s="199"/>
      <c r="KBO106" s="200"/>
      <c r="KBP106" s="201"/>
      <c r="KBQ106" s="202"/>
      <c r="KBR106" s="202"/>
      <c r="KBS106" s="202"/>
      <c r="KBT106" s="202"/>
      <c r="KBU106" s="203"/>
      <c r="KBV106" s="204"/>
      <c r="KBW106" s="204"/>
      <c r="KBX106" s="204"/>
      <c r="KBY106" s="205"/>
      <c r="KBZ106" s="206"/>
      <c r="KCA106" s="207"/>
      <c r="KCB106" s="207"/>
      <c r="KCC106" s="208"/>
      <c r="KCD106" s="209"/>
      <c r="KCE106" s="207"/>
      <c r="KCF106" s="210"/>
      <c r="KCG106" s="209"/>
      <c r="KCH106" s="204"/>
      <c r="KCI106" s="204"/>
      <c r="KCJ106" s="204"/>
      <c r="KCK106" s="199"/>
      <c r="KCL106" s="167"/>
      <c r="KCM106" s="199"/>
      <c r="KCN106" s="200"/>
      <c r="KCO106" s="201"/>
      <c r="KCP106" s="202"/>
      <c r="KCQ106" s="202"/>
      <c r="KCR106" s="202"/>
      <c r="KCS106" s="202"/>
      <c r="KCT106" s="203"/>
      <c r="KCU106" s="204"/>
      <c r="KCV106" s="204"/>
      <c r="KCW106" s="204"/>
      <c r="KCX106" s="205"/>
      <c r="KCY106" s="206"/>
      <c r="KCZ106" s="207"/>
      <c r="KDA106" s="207"/>
      <c r="KDB106" s="208"/>
      <c r="KDC106" s="209"/>
      <c r="KDD106" s="207"/>
      <c r="KDE106" s="210"/>
      <c r="KDF106" s="209"/>
      <c r="KDG106" s="204"/>
      <c r="KDH106" s="204"/>
      <c r="KDI106" s="204"/>
      <c r="KDJ106" s="199"/>
      <c r="KDK106" s="167"/>
      <c r="KDL106" s="199"/>
      <c r="KDM106" s="200"/>
      <c r="KDN106" s="201"/>
      <c r="KDO106" s="202"/>
      <c r="KDP106" s="202"/>
      <c r="KDQ106" s="202"/>
      <c r="KDR106" s="202"/>
      <c r="KDS106" s="203"/>
      <c r="KDT106" s="204"/>
      <c r="KDU106" s="204"/>
      <c r="KDV106" s="204"/>
      <c r="KDW106" s="205"/>
      <c r="KDX106" s="206"/>
      <c r="KDY106" s="207"/>
      <c r="KDZ106" s="207"/>
      <c r="KEA106" s="208"/>
      <c r="KEB106" s="209"/>
      <c r="KEC106" s="207"/>
      <c r="KED106" s="210"/>
      <c r="KEE106" s="209"/>
      <c r="KEF106" s="204"/>
      <c r="KEG106" s="204"/>
      <c r="KEH106" s="204"/>
      <c r="KEI106" s="199"/>
      <c r="KEJ106" s="167"/>
      <c r="KEK106" s="199"/>
      <c r="KEL106" s="200"/>
      <c r="KEM106" s="201"/>
      <c r="KEN106" s="202"/>
      <c r="KEO106" s="202"/>
      <c r="KEP106" s="202"/>
      <c r="KEQ106" s="202"/>
      <c r="KER106" s="203"/>
      <c r="KES106" s="204"/>
      <c r="KET106" s="204"/>
      <c r="KEU106" s="204"/>
      <c r="KEV106" s="205"/>
      <c r="KEW106" s="206"/>
      <c r="KEX106" s="207"/>
      <c r="KEY106" s="207"/>
      <c r="KEZ106" s="208"/>
      <c r="KFA106" s="209"/>
      <c r="KFB106" s="207"/>
      <c r="KFC106" s="210"/>
      <c r="KFD106" s="209"/>
      <c r="KFE106" s="204"/>
      <c r="KFF106" s="204"/>
      <c r="KFG106" s="204"/>
      <c r="KFH106" s="199"/>
      <c r="KFI106" s="167"/>
      <c r="KFJ106" s="199"/>
      <c r="KFK106" s="200"/>
      <c r="KFL106" s="201"/>
      <c r="KFM106" s="202"/>
      <c r="KFN106" s="202"/>
      <c r="KFO106" s="202"/>
      <c r="KFP106" s="202"/>
      <c r="KFQ106" s="203"/>
      <c r="KFR106" s="204"/>
      <c r="KFS106" s="204"/>
      <c r="KFT106" s="204"/>
      <c r="KFU106" s="205"/>
      <c r="KFV106" s="206"/>
      <c r="KFW106" s="207"/>
      <c r="KFX106" s="207"/>
      <c r="KFY106" s="208"/>
      <c r="KFZ106" s="209"/>
      <c r="KGA106" s="207"/>
      <c r="KGB106" s="210"/>
      <c r="KGC106" s="209"/>
      <c r="KGD106" s="204"/>
      <c r="KGE106" s="204"/>
      <c r="KGF106" s="204"/>
      <c r="KGG106" s="199"/>
      <c r="KGH106" s="167"/>
      <c r="KGI106" s="199"/>
      <c r="KGJ106" s="200"/>
      <c r="KGK106" s="201"/>
      <c r="KGL106" s="202"/>
      <c r="KGM106" s="202"/>
      <c r="KGN106" s="202"/>
      <c r="KGO106" s="202"/>
      <c r="KGP106" s="203"/>
      <c r="KGQ106" s="204"/>
      <c r="KGR106" s="204"/>
      <c r="KGS106" s="204"/>
      <c r="KGT106" s="205"/>
      <c r="KGU106" s="206"/>
      <c r="KGV106" s="207"/>
      <c r="KGW106" s="207"/>
      <c r="KGX106" s="208"/>
      <c r="KGY106" s="209"/>
      <c r="KGZ106" s="207"/>
      <c r="KHA106" s="210"/>
      <c r="KHB106" s="209"/>
      <c r="KHC106" s="204"/>
      <c r="KHD106" s="204"/>
      <c r="KHE106" s="204"/>
      <c r="KHF106" s="199"/>
      <c r="KHG106" s="167"/>
      <c r="KHH106" s="199"/>
      <c r="KHI106" s="200"/>
      <c r="KHJ106" s="201"/>
      <c r="KHK106" s="202"/>
      <c r="KHL106" s="202"/>
      <c r="KHM106" s="202"/>
      <c r="KHN106" s="202"/>
      <c r="KHO106" s="203"/>
      <c r="KHP106" s="204"/>
      <c r="KHQ106" s="204"/>
      <c r="KHR106" s="204"/>
      <c r="KHS106" s="205"/>
      <c r="KHT106" s="206"/>
      <c r="KHU106" s="207"/>
      <c r="KHV106" s="207"/>
      <c r="KHW106" s="208"/>
      <c r="KHX106" s="209"/>
      <c r="KHY106" s="207"/>
      <c r="KHZ106" s="210"/>
      <c r="KIA106" s="209"/>
      <c r="KIB106" s="204"/>
      <c r="KIC106" s="204"/>
      <c r="KID106" s="204"/>
      <c r="KIE106" s="199"/>
      <c r="KIF106" s="167"/>
      <c r="KIG106" s="199"/>
      <c r="KIH106" s="200"/>
      <c r="KII106" s="201"/>
      <c r="KIJ106" s="202"/>
      <c r="KIK106" s="202"/>
      <c r="KIL106" s="202"/>
      <c r="KIM106" s="202"/>
      <c r="KIN106" s="203"/>
      <c r="KIO106" s="204"/>
      <c r="KIP106" s="204"/>
      <c r="KIQ106" s="204"/>
      <c r="KIR106" s="205"/>
      <c r="KIS106" s="206"/>
      <c r="KIT106" s="207"/>
      <c r="KIU106" s="207"/>
      <c r="KIV106" s="208"/>
      <c r="KIW106" s="209"/>
      <c r="KIX106" s="207"/>
      <c r="KIY106" s="210"/>
      <c r="KIZ106" s="209"/>
      <c r="KJA106" s="204"/>
      <c r="KJB106" s="204"/>
      <c r="KJC106" s="204"/>
      <c r="KJD106" s="199"/>
      <c r="KJE106" s="167"/>
      <c r="KJF106" s="199"/>
      <c r="KJG106" s="200"/>
      <c r="KJH106" s="201"/>
      <c r="KJI106" s="202"/>
      <c r="KJJ106" s="202"/>
      <c r="KJK106" s="202"/>
      <c r="KJL106" s="202"/>
      <c r="KJM106" s="203"/>
      <c r="KJN106" s="204"/>
      <c r="KJO106" s="204"/>
      <c r="KJP106" s="204"/>
      <c r="KJQ106" s="205"/>
      <c r="KJR106" s="206"/>
      <c r="KJS106" s="207"/>
      <c r="KJT106" s="207"/>
      <c r="KJU106" s="208"/>
      <c r="KJV106" s="209"/>
      <c r="KJW106" s="207"/>
      <c r="KJX106" s="210"/>
      <c r="KJY106" s="209"/>
      <c r="KJZ106" s="204"/>
      <c r="KKA106" s="204"/>
      <c r="KKB106" s="204"/>
      <c r="KKC106" s="199"/>
      <c r="KKD106" s="167"/>
      <c r="KKE106" s="199"/>
      <c r="KKF106" s="200"/>
      <c r="KKG106" s="201"/>
      <c r="KKH106" s="202"/>
      <c r="KKI106" s="202"/>
      <c r="KKJ106" s="202"/>
      <c r="KKK106" s="202"/>
      <c r="KKL106" s="203"/>
      <c r="KKM106" s="204"/>
      <c r="KKN106" s="204"/>
      <c r="KKO106" s="204"/>
      <c r="KKP106" s="205"/>
      <c r="KKQ106" s="206"/>
      <c r="KKR106" s="207"/>
      <c r="KKS106" s="207"/>
      <c r="KKT106" s="208"/>
      <c r="KKU106" s="209"/>
      <c r="KKV106" s="207"/>
      <c r="KKW106" s="210"/>
      <c r="KKX106" s="209"/>
      <c r="KKY106" s="204"/>
      <c r="KKZ106" s="204"/>
      <c r="KLA106" s="204"/>
      <c r="KLB106" s="199"/>
      <c r="KLC106" s="167"/>
      <c r="KLD106" s="199"/>
      <c r="KLE106" s="200"/>
      <c r="KLF106" s="201"/>
      <c r="KLG106" s="202"/>
      <c r="KLH106" s="202"/>
      <c r="KLI106" s="202"/>
      <c r="KLJ106" s="202"/>
      <c r="KLK106" s="203"/>
      <c r="KLL106" s="204"/>
      <c r="KLM106" s="204"/>
      <c r="KLN106" s="204"/>
      <c r="KLO106" s="205"/>
      <c r="KLP106" s="206"/>
      <c r="KLQ106" s="207"/>
      <c r="KLR106" s="207"/>
      <c r="KLS106" s="208"/>
      <c r="KLT106" s="209"/>
      <c r="KLU106" s="207"/>
      <c r="KLV106" s="210"/>
      <c r="KLW106" s="209"/>
      <c r="KLX106" s="204"/>
      <c r="KLY106" s="204"/>
      <c r="KLZ106" s="204"/>
      <c r="KMA106" s="199"/>
      <c r="KMB106" s="167"/>
      <c r="KMC106" s="199"/>
      <c r="KMD106" s="200"/>
      <c r="KME106" s="201"/>
      <c r="KMF106" s="202"/>
      <c r="KMG106" s="202"/>
      <c r="KMH106" s="202"/>
      <c r="KMI106" s="202"/>
      <c r="KMJ106" s="203"/>
      <c r="KMK106" s="204"/>
      <c r="KML106" s="204"/>
      <c r="KMM106" s="204"/>
      <c r="KMN106" s="205"/>
      <c r="KMO106" s="206"/>
      <c r="KMP106" s="207"/>
      <c r="KMQ106" s="207"/>
      <c r="KMR106" s="208"/>
      <c r="KMS106" s="209"/>
      <c r="KMT106" s="207"/>
      <c r="KMU106" s="210"/>
      <c r="KMV106" s="209"/>
      <c r="KMW106" s="204"/>
      <c r="KMX106" s="204"/>
      <c r="KMY106" s="204"/>
      <c r="KMZ106" s="199"/>
      <c r="KNA106" s="167"/>
      <c r="KNB106" s="199"/>
      <c r="KNC106" s="200"/>
      <c r="KND106" s="201"/>
      <c r="KNE106" s="202"/>
      <c r="KNF106" s="202"/>
      <c r="KNG106" s="202"/>
      <c r="KNH106" s="202"/>
      <c r="KNI106" s="203"/>
      <c r="KNJ106" s="204"/>
      <c r="KNK106" s="204"/>
      <c r="KNL106" s="204"/>
      <c r="KNM106" s="205"/>
      <c r="KNN106" s="206"/>
      <c r="KNO106" s="207"/>
      <c r="KNP106" s="207"/>
      <c r="KNQ106" s="208"/>
      <c r="KNR106" s="209"/>
      <c r="KNS106" s="207"/>
      <c r="KNT106" s="210"/>
      <c r="KNU106" s="209"/>
      <c r="KNV106" s="204"/>
      <c r="KNW106" s="204"/>
      <c r="KNX106" s="204"/>
      <c r="KNY106" s="199"/>
      <c r="KNZ106" s="167"/>
      <c r="KOA106" s="199"/>
      <c r="KOB106" s="200"/>
      <c r="KOC106" s="201"/>
      <c r="KOD106" s="202"/>
      <c r="KOE106" s="202"/>
      <c r="KOF106" s="202"/>
      <c r="KOG106" s="202"/>
      <c r="KOH106" s="203"/>
      <c r="KOI106" s="204"/>
      <c r="KOJ106" s="204"/>
      <c r="KOK106" s="204"/>
      <c r="KOL106" s="205"/>
      <c r="KOM106" s="206"/>
      <c r="KON106" s="207"/>
      <c r="KOO106" s="207"/>
      <c r="KOP106" s="208"/>
      <c r="KOQ106" s="209"/>
      <c r="KOR106" s="207"/>
      <c r="KOS106" s="210"/>
      <c r="KOT106" s="209"/>
      <c r="KOU106" s="204"/>
      <c r="KOV106" s="204"/>
      <c r="KOW106" s="204"/>
      <c r="KOX106" s="199"/>
      <c r="KOY106" s="167"/>
      <c r="KOZ106" s="199"/>
      <c r="KPA106" s="200"/>
      <c r="KPB106" s="201"/>
      <c r="KPC106" s="202"/>
      <c r="KPD106" s="202"/>
      <c r="KPE106" s="202"/>
      <c r="KPF106" s="202"/>
      <c r="KPG106" s="203"/>
      <c r="KPH106" s="204"/>
      <c r="KPI106" s="204"/>
      <c r="KPJ106" s="204"/>
      <c r="KPK106" s="205"/>
      <c r="KPL106" s="206"/>
      <c r="KPM106" s="207"/>
      <c r="KPN106" s="207"/>
      <c r="KPO106" s="208"/>
      <c r="KPP106" s="209"/>
      <c r="KPQ106" s="207"/>
      <c r="KPR106" s="210"/>
      <c r="KPS106" s="209"/>
      <c r="KPT106" s="204"/>
      <c r="KPU106" s="204"/>
      <c r="KPV106" s="204"/>
      <c r="KPW106" s="199"/>
      <c r="KPX106" s="167"/>
      <c r="KPY106" s="199"/>
      <c r="KPZ106" s="200"/>
      <c r="KQA106" s="201"/>
      <c r="KQB106" s="202"/>
      <c r="KQC106" s="202"/>
      <c r="KQD106" s="202"/>
      <c r="KQE106" s="202"/>
      <c r="KQF106" s="203"/>
      <c r="KQG106" s="204"/>
      <c r="KQH106" s="204"/>
      <c r="KQI106" s="204"/>
      <c r="KQJ106" s="205"/>
      <c r="KQK106" s="206"/>
      <c r="KQL106" s="207"/>
      <c r="KQM106" s="207"/>
      <c r="KQN106" s="208"/>
      <c r="KQO106" s="209"/>
      <c r="KQP106" s="207"/>
      <c r="KQQ106" s="210"/>
      <c r="KQR106" s="209"/>
      <c r="KQS106" s="204"/>
      <c r="KQT106" s="204"/>
      <c r="KQU106" s="204"/>
      <c r="KQV106" s="199"/>
      <c r="KQW106" s="167"/>
      <c r="KQX106" s="199"/>
      <c r="KQY106" s="200"/>
      <c r="KQZ106" s="201"/>
      <c r="KRA106" s="202"/>
      <c r="KRB106" s="202"/>
      <c r="KRC106" s="202"/>
      <c r="KRD106" s="202"/>
      <c r="KRE106" s="203"/>
      <c r="KRF106" s="204"/>
      <c r="KRG106" s="204"/>
      <c r="KRH106" s="204"/>
      <c r="KRI106" s="205"/>
      <c r="KRJ106" s="206"/>
      <c r="KRK106" s="207"/>
      <c r="KRL106" s="207"/>
      <c r="KRM106" s="208"/>
      <c r="KRN106" s="209"/>
      <c r="KRO106" s="207"/>
      <c r="KRP106" s="210"/>
      <c r="KRQ106" s="209"/>
      <c r="KRR106" s="204"/>
      <c r="KRS106" s="204"/>
      <c r="KRT106" s="204"/>
      <c r="KRU106" s="199"/>
      <c r="KRV106" s="167"/>
      <c r="KRW106" s="199"/>
      <c r="KRX106" s="200"/>
      <c r="KRY106" s="201"/>
      <c r="KRZ106" s="202"/>
      <c r="KSA106" s="202"/>
      <c r="KSB106" s="202"/>
      <c r="KSC106" s="202"/>
      <c r="KSD106" s="203"/>
      <c r="KSE106" s="204"/>
      <c r="KSF106" s="204"/>
      <c r="KSG106" s="204"/>
      <c r="KSH106" s="205"/>
      <c r="KSI106" s="206"/>
      <c r="KSJ106" s="207"/>
      <c r="KSK106" s="207"/>
      <c r="KSL106" s="208"/>
      <c r="KSM106" s="209"/>
      <c r="KSN106" s="207"/>
      <c r="KSO106" s="210"/>
      <c r="KSP106" s="209"/>
      <c r="KSQ106" s="204"/>
      <c r="KSR106" s="204"/>
      <c r="KSS106" s="204"/>
      <c r="KST106" s="199"/>
      <c r="KSU106" s="167"/>
      <c r="KSV106" s="199"/>
      <c r="KSW106" s="200"/>
      <c r="KSX106" s="201"/>
      <c r="KSY106" s="202"/>
      <c r="KSZ106" s="202"/>
      <c r="KTA106" s="202"/>
      <c r="KTB106" s="202"/>
      <c r="KTC106" s="203"/>
      <c r="KTD106" s="204"/>
      <c r="KTE106" s="204"/>
      <c r="KTF106" s="204"/>
      <c r="KTG106" s="205"/>
      <c r="KTH106" s="206"/>
      <c r="KTI106" s="207"/>
      <c r="KTJ106" s="207"/>
      <c r="KTK106" s="208"/>
      <c r="KTL106" s="209"/>
      <c r="KTM106" s="207"/>
      <c r="KTN106" s="210"/>
      <c r="KTO106" s="209"/>
      <c r="KTP106" s="204"/>
      <c r="KTQ106" s="204"/>
      <c r="KTR106" s="204"/>
      <c r="KTS106" s="199"/>
      <c r="KTT106" s="167"/>
      <c r="KTU106" s="199"/>
      <c r="KTV106" s="200"/>
      <c r="KTW106" s="201"/>
      <c r="KTX106" s="202"/>
      <c r="KTY106" s="202"/>
      <c r="KTZ106" s="202"/>
      <c r="KUA106" s="202"/>
      <c r="KUB106" s="203"/>
      <c r="KUC106" s="204"/>
      <c r="KUD106" s="204"/>
      <c r="KUE106" s="204"/>
      <c r="KUF106" s="205"/>
      <c r="KUG106" s="206"/>
      <c r="KUH106" s="207"/>
      <c r="KUI106" s="207"/>
      <c r="KUJ106" s="208"/>
      <c r="KUK106" s="209"/>
      <c r="KUL106" s="207"/>
      <c r="KUM106" s="210"/>
      <c r="KUN106" s="209"/>
      <c r="KUO106" s="204"/>
      <c r="KUP106" s="204"/>
      <c r="KUQ106" s="204"/>
      <c r="KUR106" s="199"/>
      <c r="KUS106" s="167"/>
      <c r="KUT106" s="199"/>
      <c r="KUU106" s="200"/>
      <c r="KUV106" s="201"/>
      <c r="KUW106" s="202"/>
      <c r="KUX106" s="202"/>
      <c r="KUY106" s="202"/>
      <c r="KUZ106" s="202"/>
      <c r="KVA106" s="203"/>
      <c r="KVB106" s="204"/>
      <c r="KVC106" s="204"/>
      <c r="KVD106" s="204"/>
      <c r="KVE106" s="205"/>
      <c r="KVF106" s="206"/>
      <c r="KVG106" s="207"/>
      <c r="KVH106" s="207"/>
      <c r="KVI106" s="208"/>
      <c r="KVJ106" s="209"/>
      <c r="KVK106" s="207"/>
      <c r="KVL106" s="210"/>
      <c r="KVM106" s="209"/>
      <c r="KVN106" s="204"/>
      <c r="KVO106" s="204"/>
      <c r="KVP106" s="204"/>
      <c r="KVQ106" s="199"/>
      <c r="KVR106" s="167"/>
      <c r="KVS106" s="199"/>
      <c r="KVT106" s="200"/>
      <c r="KVU106" s="201"/>
      <c r="KVV106" s="202"/>
      <c r="KVW106" s="202"/>
      <c r="KVX106" s="202"/>
      <c r="KVY106" s="202"/>
      <c r="KVZ106" s="203"/>
      <c r="KWA106" s="204"/>
      <c r="KWB106" s="204"/>
      <c r="KWC106" s="204"/>
      <c r="KWD106" s="205"/>
      <c r="KWE106" s="206"/>
      <c r="KWF106" s="207"/>
      <c r="KWG106" s="207"/>
      <c r="KWH106" s="208"/>
      <c r="KWI106" s="209"/>
      <c r="KWJ106" s="207"/>
      <c r="KWK106" s="210"/>
      <c r="KWL106" s="209"/>
      <c r="KWM106" s="204"/>
      <c r="KWN106" s="204"/>
      <c r="KWO106" s="204"/>
      <c r="KWP106" s="199"/>
      <c r="KWQ106" s="167"/>
      <c r="KWR106" s="199"/>
      <c r="KWS106" s="200"/>
      <c r="KWT106" s="201"/>
      <c r="KWU106" s="202"/>
      <c r="KWV106" s="202"/>
      <c r="KWW106" s="202"/>
      <c r="KWX106" s="202"/>
      <c r="KWY106" s="203"/>
      <c r="KWZ106" s="204"/>
      <c r="KXA106" s="204"/>
      <c r="KXB106" s="204"/>
      <c r="KXC106" s="205"/>
      <c r="KXD106" s="206"/>
      <c r="KXE106" s="207"/>
      <c r="KXF106" s="207"/>
      <c r="KXG106" s="208"/>
      <c r="KXH106" s="209"/>
      <c r="KXI106" s="207"/>
      <c r="KXJ106" s="210"/>
      <c r="KXK106" s="209"/>
      <c r="KXL106" s="204"/>
      <c r="KXM106" s="204"/>
      <c r="KXN106" s="204"/>
      <c r="KXO106" s="199"/>
      <c r="KXP106" s="167"/>
      <c r="KXQ106" s="199"/>
      <c r="KXR106" s="200"/>
      <c r="KXS106" s="201"/>
      <c r="KXT106" s="202"/>
      <c r="KXU106" s="202"/>
      <c r="KXV106" s="202"/>
      <c r="KXW106" s="202"/>
      <c r="KXX106" s="203"/>
      <c r="KXY106" s="204"/>
      <c r="KXZ106" s="204"/>
      <c r="KYA106" s="204"/>
      <c r="KYB106" s="205"/>
      <c r="KYC106" s="206"/>
      <c r="KYD106" s="207"/>
      <c r="KYE106" s="207"/>
      <c r="KYF106" s="208"/>
      <c r="KYG106" s="209"/>
      <c r="KYH106" s="207"/>
      <c r="KYI106" s="210"/>
      <c r="KYJ106" s="209"/>
      <c r="KYK106" s="204"/>
      <c r="KYL106" s="204"/>
      <c r="KYM106" s="204"/>
      <c r="KYN106" s="199"/>
      <c r="KYO106" s="167"/>
      <c r="KYP106" s="199"/>
      <c r="KYQ106" s="200"/>
      <c r="KYR106" s="201"/>
      <c r="KYS106" s="202"/>
      <c r="KYT106" s="202"/>
      <c r="KYU106" s="202"/>
      <c r="KYV106" s="202"/>
      <c r="KYW106" s="203"/>
      <c r="KYX106" s="204"/>
      <c r="KYY106" s="204"/>
      <c r="KYZ106" s="204"/>
      <c r="KZA106" s="205"/>
      <c r="KZB106" s="206"/>
      <c r="KZC106" s="207"/>
      <c r="KZD106" s="207"/>
      <c r="KZE106" s="208"/>
      <c r="KZF106" s="209"/>
      <c r="KZG106" s="207"/>
      <c r="KZH106" s="210"/>
      <c r="KZI106" s="209"/>
      <c r="KZJ106" s="204"/>
      <c r="KZK106" s="204"/>
      <c r="KZL106" s="204"/>
      <c r="KZM106" s="199"/>
      <c r="KZN106" s="167"/>
      <c r="KZO106" s="199"/>
      <c r="KZP106" s="200"/>
      <c r="KZQ106" s="201"/>
      <c r="KZR106" s="202"/>
      <c r="KZS106" s="202"/>
      <c r="KZT106" s="202"/>
      <c r="KZU106" s="202"/>
      <c r="KZV106" s="203"/>
      <c r="KZW106" s="204"/>
      <c r="KZX106" s="204"/>
      <c r="KZY106" s="204"/>
      <c r="KZZ106" s="205"/>
      <c r="LAA106" s="206"/>
      <c r="LAB106" s="207"/>
      <c r="LAC106" s="207"/>
      <c r="LAD106" s="208"/>
      <c r="LAE106" s="209"/>
      <c r="LAF106" s="207"/>
      <c r="LAG106" s="210"/>
      <c r="LAH106" s="209"/>
      <c r="LAI106" s="204"/>
      <c r="LAJ106" s="204"/>
      <c r="LAK106" s="204"/>
      <c r="LAL106" s="199"/>
      <c r="LAM106" s="167"/>
      <c r="LAN106" s="199"/>
      <c r="LAO106" s="200"/>
      <c r="LAP106" s="201"/>
      <c r="LAQ106" s="202"/>
      <c r="LAR106" s="202"/>
      <c r="LAS106" s="202"/>
      <c r="LAT106" s="202"/>
      <c r="LAU106" s="203"/>
      <c r="LAV106" s="204"/>
      <c r="LAW106" s="204"/>
      <c r="LAX106" s="204"/>
      <c r="LAY106" s="205"/>
      <c r="LAZ106" s="206"/>
      <c r="LBA106" s="207"/>
      <c r="LBB106" s="207"/>
      <c r="LBC106" s="208"/>
      <c r="LBD106" s="209"/>
      <c r="LBE106" s="207"/>
      <c r="LBF106" s="210"/>
      <c r="LBG106" s="209"/>
      <c r="LBH106" s="204"/>
      <c r="LBI106" s="204"/>
      <c r="LBJ106" s="204"/>
      <c r="LBK106" s="199"/>
      <c r="LBL106" s="167"/>
      <c r="LBM106" s="199"/>
      <c r="LBN106" s="200"/>
      <c r="LBO106" s="201"/>
      <c r="LBP106" s="202"/>
      <c r="LBQ106" s="202"/>
      <c r="LBR106" s="202"/>
      <c r="LBS106" s="202"/>
      <c r="LBT106" s="203"/>
      <c r="LBU106" s="204"/>
      <c r="LBV106" s="204"/>
      <c r="LBW106" s="204"/>
      <c r="LBX106" s="205"/>
      <c r="LBY106" s="206"/>
      <c r="LBZ106" s="207"/>
      <c r="LCA106" s="207"/>
      <c r="LCB106" s="208"/>
      <c r="LCC106" s="209"/>
      <c r="LCD106" s="207"/>
      <c r="LCE106" s="210"/>
      <c r="LCF106" s="209"/>
      <c r="LCG106" s="204"/>
      <c r="LCH106" s="204"/>
      <c r="LCI106" s="204"/>
      <c r="LCJ106" s="199"/>
      <c r="LCK106" s="167"/>
      <c r="LCL106" s="199"/>
      <c r="LCM106" s="200"/>
      <c r="LCN106" s="201"/>
      <c r="LCO106" s="202"/>
      <c r="LCP106" s="202"/>
      <c r="LCQ106" s="202"/>
      <c r="LCR106" s="202"/>
      <c r="LCS106" s="203"/>
      <c r="LCT106" s="204"/>
      <c r="LCU106" s="204"/>
      <c r="LCV106" s="204"/>
      <c r="LCW106" s="205"/>
      <c r="LCX106" s="206"/>
      <c r="LCY106" s="207"/>
      <c r="LCZ106" s="207"/>
      <c r="LDA106" s="208"/>
      <c r="LDB106" s="209"/>
      <c r="LDC106" s="207"/>
      <c r="LDD106" s="210"/>
      <c r="LDE106" s="209"/>
      <c r="LDF106" s="204"/>
      <c r="LDG106" s="204"/>
      <c r="LDH106" s="204"/>
      <c r="LDI106" s="199"/>
      <c r="LDJ106" s="167"/>
      <c r="LDK106" s="199"/>
      <c r="LDL106" s="200"/>
      <c r="LDM106" s="201"/>
      <c r="LDN106" s="202"/>
      <c r="LDO106" s="202"/>
      <c r="LDP106" s="202"/>
      <c r="LDQ106" s="202"/>
      <c r="LDR106" s="203"/>
      <c r="LDS106" s="204"/>
      <c r="LDT106" s="204"/>
      <c r="LDU106" s="204"/>
      <c r="LDV106" s="205"/>
      <c r="LDW106" s="206"/>
      <c r="LDX106" s="207"/>
      <c r="LDY106" s="207"/>
      <c r="LDZ106" s="208"/>
      <c r="LEA106" s="209"/>
      <c r="LEB106" s="207"/>
      <c r="LEC106" s="210"/>
      <c r="LED106" s="209"/>
      <c r="LEE106" s="204"/>
      <c r="LEF106" s="204"/>
      <c r="LEG106" s="204"/>
      <c r="LEH106" s="199"/>
      <c r="LEI106" s="167"/>
      <c r="LEJ106" s="199"/>
      <c r="LEK106" s="200"/>
      <c r="LEL106" s="201"/>
      <c r="LEM106" s="202"/>
      <c r="LEN106" s="202"/>
      <c r="LEO106" s="202"/>
      <c r="LEP106" s="202"/>
      <c r="LEQ106" s="203"/>
      <c r="LER106" s="204"/>
      <c r="LES106" s="204"/>
      <c r="LET106" s="204"/>
      <c r="LEU106" s="205"/>
      <c r="LEV106" s="206"/>
      <c r="LEW106" s="207"/>
      <c r="LEX106" s="207"/>
      <c r="LEY106" s="208"/>
      <c r="LEZ106" s="209"/>
      <c r="LFA106" s="207"/>
      <c r="LFB106" s="210"/>
      <c r="LFC106" s="209"/>
      <c r="LFD106" s="204"/>
      <c r="LFE106" s="204"/>
      <c r="LFF106" s="204"/>
      <c r="LFG106" s="199"/>
      <c r="LFH106" s="167"/>
      <c r="LFI106" s="199"/>
      <c r="LFJ106" s="200"/>
      <c r="LFK106" s="201"/>
      <c r="LFL106" s="202"/>
      <c r="LFM106" s="202"/>
      <c r="LFN106" s="202"/>
      <c r="LFO106" s="202"/>
      <c r="LFP106" s="203"/>
      <c r="LFQ106" s="204"/>
      <c r="LFR106" s="204"/>
      <c r="LFS106" s="204"/>
      <c r="LFT106" s="205"/>
      <c r="LFU106" s="206"/>
      <c r="LFV106" s="207"/>
      <c r="LFW106" s="207"/>
      <c r="LFX106" s="208"/>
      <c r="LFY106" s="209"/>
      <c r="LFZ106" s="207"/>
      <c r="LGA106" s="210"/>
      <c r="LGB106" s="209"/>
      <c r="LGC106" s="204"/>
      <c r="LGD106" s="204"/>
      <c r="LGE106" s="204"/>
      <c r="LGF106" s="199"/>
      <c r="LGG106" s="167"/>
      <c r="LGH106" s="199"/>
      <c r="LGI106" s="200"/>
      <c r="LGJ106" s="201"/>
      <c r="LGK106" s="202"/>
      <c r="LGL106" s="202"/>
      <c r="LGM106" s="202"/>
      <c r="LGN106" s="202"/>
      <c r="LGO106" s="203"/>
      <c r="LGP106" s="204"/>
      <c r="LGQ106" s="204"/>
      <c r="LGR106" s="204"/>
      <c r="LGS106" s="205"/>
      <c r="LGT106" s="206"/>
      <c r="LGU106" s="207"/>
      <c r="LGV106" s="207"/>
      <c r="LGW106" s="208"/>
      <c r="LGX106" s="209"/>
      <c r="LGY106" s="207"/>
      <c r="LGZ106" s="210"/>
      <c r="LHA106" s="209"/>
      <c r="LHB106" s="204"/>
      <c r="LHC106" s="204"/>
      <c r="LHD106" s="204"/>
      <c r="LHE106" s="199"/>
      <c r="LHF106" s="167"/>
      <c r="LHG106" s="199"/>
      <c r="LHH106" s="200"/>
      <c r="LHI106" s="201"/>
      <c r="LHJ106" s="202"/>
      <c r="LHK106" s="202"/>
      <c r="LHL106" s="202"/>
      <c r="LHM106" s="202"/>
      <c r="LHN106" s="203"/>
      <c r="LHO106" s="204"/>
      <c r="LHP106" s="204"/>
      <c r="LHQ106" s="204"/>
      <c r="LHR106" s="205"/>
      <c r="LHS106" s="206"/>
      <c r="LHT106" s="207"/>
      <c r="LHU106" s="207"/>
      <c r="LHV106" s="208"/>
      <c r="LHW106" s="209"/>
      <c r="LHX106" s="207"/>
      <c r="LHY106" s="210"/>
      <c r="LHZ106" s="209"/>
      <c r="LIA106" s="204"/>
      <c r="LIB106" s="204"/>
      <c r="LIC106" s="204"/>
      <c r="LID106" s="199"/>
      <c r="LIE106" s="167"/>
      <c r="LIF106" s="199"/>
      <c r="LIG106" s="200"/>
      <c r="LIH106" s="201"/>
      <c r="LII106" s="202"/>
      <c r="LIJ106" s="202"/>
      <c r="LIK106" s="202"/>
      <c r="LIL106" s="202"/>
      <c r="LIM106" s="203"/>
      <c r="LIN106" s="204"/>
      <c r="LIO106" s="204"/>
      <c r="LIP106" s="204"/>
      <c r="LIQ106" s="205"/>
      <c r="LIR106" s="206"/>
      <c r="LIS106" s="207"/>
      <c r="LIT106" s="207"/>
      <c r="LIU106" s="208"/>
      <c r="LIV106" s="209"/>
      <c r="LIW106" s="207"/>
      <c r="LIX106" s="210"/>
      <c r="LIY106" s="209"/>
      <c r="LIZ106" s="204"/>
      <c r="LJA106" s="204"/>
      <c r="LJB106" s="204"/>
      <c r="LJC106" s="199"/>
      <c r="LJD106" s="167"/>
      <c r="LJE106" s="199"/>
      <c r="LJF106" s="200"/>
      <c r="LJG106" s="201"/>
      <c r="LJH106" s="202"/>
      <c r="LJI106" s="202"/>
      <c r="LJJ106" s="202"/>
      <c r="LJK106" s="202"/>
      <c r="LJL106" s="203"/>
      <c r="LJM106" s="204"/>
      <c r="LJN106" s="204"/>
      <c r="LJO106" s="204"/>
      <c r="LJP106" s="205"/>
      <c r="LJQ106" s="206"/>
      <c r="LJR106" s="207"/>
      <c r="LJS106" s="207"/>
      <c r="LJT106" s="208"/>
      <c r="LJU106" s="209"/>
      <c r="LJV106" s="207"/>
      <c r="LJW106" s="210"/>
      <c r="LJX106" s="209"/>
      <c r="LJY106" s="204"/>
      <c r="LJZ106" s="204"/>
      <c r="LKA106" s="204"/>
      <c r="LKB106" s="199"/>
      <c r="LKC106" s="167"/>
      <c r="LKD106" s="199"/>
      <c r="LKE106" s="200"/>
      <c r="LKF106" s="201"/>
      <c r="LKG106" s="202"/>
      <c r="LKH106" s="202"/>
      <c r="LKI106" s="202"/>
      <c r="LKJ106" s="202"/>
      <c r="LKK106" s="203"/>
      <c r="LKL106" s="204"/>
      <c r="LKM106" s="204"/>
      <c r="LKN106" s="204"/>
      <c r="LKO106" s="205"/>
      <c r="LKP106" s="206"/>
      <c r="LKQ106" s="207"/>
      <c r="LKR106" s="207"/>
      <c r="LKS106" s="208"/>
      <c r="LKT106" s="209"/>
      <c r="LKU106" s="207"/>
      <c r="LKV106" s="210"/>
      <c r="LKW106" s="209"/>
      <c r="LKX106" s="204"/>
      <c r="LKY106" s="204"/>
      <c r="LKZ106" s="204"/>
      <c r="LLA106" s="199"/>
      <c r="LLB106" s="167"/>
      <c r="LLC106" s="199"/>
      <c r="LLD106" s="200"/>
      <c r="LLE106" s="201"/>
      <c r="LLF106" s="202"/>
      <c r="LLG106" s="202"/>
      <c r="LLH106" s="202"/>
      <c r="LLI106" s="202"/>
      <c r="LLJ106" s="203"/>
      <c r="LLK106" s="204"/>
      <c r="LLL106" s="204"/>
      <c r="LLM106" s="204"/>
      <c r="LLN106" s="205"/>
      <c r="LLO106" s="206"/>
      <c r="LLP106" s="207"/>
      <c r="LLQ106" s="207"/>
      <c r="LLR106" s="208"/>
      <c r="LLS106" s="209"/>
      <c r="LLT106" s="207"/>
      <c r="LLU106" s="210"/>
      <c r="LLV106" s="209"/>
      <c r="LLW106" s="204"/>
      <c r="LLX106" s="204"/>
      <c r="LLY106" s="204"/>
      <c r="LLZ106" s="199"/>
      <c r="LMA106" s="167"/>
      <c r="LMB106" s="199"/>
      <c r="LMC106" s="200"/>
      <c r="LMD106" s="201"/>
      <c r="LME106" s="202"/>
      <c r="LMF106" s="202"/>
      <c r="LMG106" s="202"/>
      <c r="LMH106" s="202"/>
      <c r="LMI106" s="203"/>
      <c r="LMJ106" s="204"/>
      <c r="LMK106" s="204"/>
      <c r="LML106" s="204"/>
      <c r="LMM106" s="205"/>
      <c r="LMN106" s="206"/>
      <c r="LMO106" s="207"/>
      <c r="LMP106" s="207"/>
      <c r="LMQ106" s="208"/>
      <c r="LMR106" s="209"/>
      <c r="LMS106" s="207"/>
      <c r="LMT106" s="210"/>
      <c r="LMU106" s="209"/>
      <c r="LMV106" s="204"/>
      <c r="LMW106" s="204"/>
      <c r="LMX106" s="204"/>
      <c r="LMY106" s="199"/>
      <c r="LMZ106" s="167"/>
      <c r="LNA106" s="199"/>
      <c r="LNB106" s="200"/>
      <c r="LNC106" s="201"/>
      <c r="LND106" s="202"/>
      <c r="LNE106" s="202"/>
      <c r="LNF106" s="202"/>
      <c r="LNG106" s="202"/>
      <c r="LNH106" s="203"/>
      <c r="LNI106" s="204"/>
      <c r="LNJ106" s="204"/>
      <c r="LNK106" s="204"/>
      <c r="LNL106" s="205"/>
      <c r="LNM106" s="206"/>
      <c r="LNN106" s="207"/>
      <c r="LNO106" s="207"/>
      <c r="LNP106" s="208"/>
      <c r="LNQ106" s="209"/>
      <c r="LNR106" s="207"/>
      <c r="LNS106" s="210"/>
      <c r="LNT106" s="209"/>
      <c r="LNU106" s="204"/>
      <c r="LNV106" s="204"/>
      <c r="LNW106" s="204"/>
      <c r="LNX106" s="199"/>
      <c r="LNY106" s="167"/>
      <c r="LNZ106" s="199"/>
      <c r="LOA106" s="200"/>
      <c r="LOB106" s="201"/>
      <c r="LOC106" s="202"/>
      <c r="LOD106" s="202"/>
      <c r="LOE106" s="202"/>
      <c r="LOF106" s="202"/>
      <c r="LOG106" s="203"/>
      <c r="LOH106" s="204"/>
      <c r="LOI106" s="204"/>
      <c r="LOJ106" s="204"/>
      <c r="LOK106" s="205"/>
      <c r="LOL106" s="206"/>
      <c r="LOM106" s="207"/>
      <c r="LON106" s="207"/>
      <c r="LOO106" s="208"/>
      <c r="LOP106" s="209"/>
      <c r="LOQ106" s="207"/>
      <c r="LOR106" s="210"/>
      <c r="LOS106" s="209"/>
      <c r="LOT106" s="204"/>
      <c r="LOU106" s="204"/>
      <c r="LOV106" s="204"/>
      <c r="LOW106" s="199"/>
      <c r="LOX106" s="167"/>
      <c r="LOY106" s="199"/>
      <c r="LOZ106" s="200"/>
      <c r="LPA106" s="201"/>
      <c r="LPB106" s="202"/>
      <c r="LPC106" s="202"/>
      <c r="LPD106" s="202"/>
      <c r="LPE106" s="202"/>
      <c r="LPF106" s="203"/>
      <c r="LPG106" s="204"/>
      <c r="LPH106" s="204"/>
      <c r="LPI106" s="204"/>
      <c r="LPJ106" s="205"/>
      <c r="LPK106" s="206"/>
      <c r="LPL106" s="207"/>
      <c r="LPM106" s="207"/>
      <c r="LPN106" s="208"/>
      <c r="LPO106" s="209"/>
      <c r="LPP106" s="207"/>
      <c r="LPQ106" s="210"/>
      <c r="LPR106" s="209"/>
      <c r="LPS106" s="204"/>
      <c r="LPT106" s="204"/>
      <c r="LPU106" s="204"/>
      <c r="LPV106" s="199"/>
      <c r="LPW106" s="167"/>
      <c r="LPX106" s="199"/>
      <c r="LPY106" s="200"/>
      <c r="LPZ106" s="201"/>
      <c r="LQA106" s="202"/>
      <c r="LQB106" s="202"/>
      <c r="LQC106" s="202"/>
      <c r="LQD106" s="202"/>
      <c r="LQE106" s="203"/>
      <c r="LQF106" s="204"/>
      <c r="LQG106" s="204"/>
      <c r="LQH106" s="204"/>
      <c r="LQI106" s="205"/>
      <c r="LQJ106" s="206"/>
      <c r="LQK106" s="207"/>
      <c r="LQL106" s="207"/>
      <c r="LQM106" s="208"/>
      <c r="LQN106" s="209"/>
      <c r="LQO106" s="207"/>
      <c r="LQP106" s="210"/>
      <c r="LQQ106" s="209"/>
      <c r="LQR106" s="204"/>
      <c r="LQS106" s="204"/>
      <c r="LQT106" s="204"/>
      <c r="LQU106" s="199"/>
      <c r="LQV106" s="167"/>
      <c r="LQW106" s="199"/>
      <c r="LQX106" s="200"/>
      <c r="LQY106" s="201"/>
      <c r="LQZ106" s="202"/>
      <c r="LRA106" s="202"/>
      <c r="LRB106" s="202"/>
      <c r="LRC106" s="202"/>
      <c r="LRD106" s="203"/>
      <c r="LRE106" s="204"/>
      <c r="LRF106" s="204"/>
      <c r="LRG106" s="204"/>
      <c r="LRH106" s="205"/>
      <c r="LRI106" s="206"/>
      <c r="LRJ106" s="207"/>
      <c r="LRK106" s="207"/>
      <c r="LRL106" s="208"/>
      <c r="LRM106" s="209"/>
      <c r="LRN106" s="207"/>
      <c r="LRO106" s="210"/>
      <c r="LRP106" s="209"/>
      <c r="LRQ106" s="204"/>
      <c r="LRR106" s="204"/>
      <c r="LRS106" s="204"/>
      <c r="LRT106" s="199"/>
      <c r="LRU106" s="167"/>
      <c r="LRV106" s="199"/>
      <c r="LRW106" s="200"/>
      <c r="LRX106" s="201"/>
      <c r="LRY106" s="202"/>
      <c r="LRZ106" s="202"/>
      <c r="LSA106" s="202"/>
      <c r="LSB106" s="202"/>
      <c r="LSC106" s="203"/>
      <c r="LSD106" s="204"/>
      <c r="LSE106" s="204"/>
      <c r="LSF106" s="204"/>
      <c r="LSG106" s="205"/>
      <c r="LSH106" s="206"/>
      <c r="LSI106" s="207"/>
      <c r="LSJ106" s="207"/>
      <c r="LSK106" s="208"/>
      <c r="LSL106" s="209"/>
      <c r="LSM106" s="207"/>
      <c r="LSN106" s="210"/>
      <c r="LSO106" s="209"/>
      <c r="LSP106" s="204"/>
      <c r="LSQ106" s="204"/>
      <c r="LSR106" s="204"/>
      <c r="LSS106" s="199"/>
      <c r="LST106" s="167"/>
      <c r="LSU106" s="199"/>
      <c r="LSV106" s="200"/>
      <c r="LSW106" s="201"/>
      <c r="LSX106" s="202"/>
      <c r="LSY106" s="202"/>
      <c r="LSZ106" s="202"/>
      <c r="LTA106" s="202"/>
      <c r="LTB106" s="203"/>
      <c r="LTC106" s="204"/>
      <c r="LTD106" s="204"/>
      <c r="LTE106" s="204"/>
      <c r="LTF106" s="205"/>
      <c r="LTG106" s="206"/>
      <c r="LTH106" s="207"/>
      <c r="LTI106" s="207"/>
      <c r="LTJ106" s="208"/>
      <c r="LTK106" s="209"/>
      <c r="LTL106" s="207"/>
      <c r="LTM106" s="210"/>
      <c r="LTN106" s="209"/>
      <c r="LTO106" s="204"/>
      <c r="LTP106" s="204"/>
      <c r="LTQ106" s="204"/>
      <c r="LTR106" s="199"/>
      <c r="LTS106" s="167"/>
      <c r="LTT106" s="199"/>
      <c r="LTU106" s="200"/>
      <c r="LTV106" s="201"/>
      <c r="LTW106" s="202"/>
      <c r="LTX106" s="202"/>
      <c r="LTY106" s="202"/>
      <c r="LTZ106" s="202"/>
      <c r="LUA106" s="203"/>
      <c r="LUB106" s="204"/>
      <c r="LUC106" s="204"/>
      <c r="LUD106" s="204"/>
      <c r="LUE106" s="205"/>
      <c r="LUF106" s="206"/>
      <c r="LUG106" s="207"/>
      <c r="LUH106" s="207"/>
      <c r="LUI106" s="208"/>
      <c r="LUJ106" s="209"/>
      <c r="LUK106" s="207"/>
      <c r="LUL106" s="210"/>
      <c r="LUM106" s="209"/>
      <c r="LUN106" s="204"/>
      <c r="LUO106" s="204"/>
      <c r="LUP106" s="204"/>
      <c r="LUQ106" s="199"/>
      <c r="LUR106" s="167"/>
      <c r="LUS106" s="199"/>
      <c r="LUT106" s="200"/>
      <c r="LUU106" s="201"/>
      <c r="LUV106" s="202"/>
      <c r="LUW106" s="202"/>
      <c r="LUX106" s="202"/>
      <c r="LUY106" s="202"/>
      <c r="LUZ106" s="203"/>
      <c r="LVA106" s="204"/>
      <c r="LVB106" s="204"/>
      <c r="LVC106" s="204"/>
      <c r="LVD106" s="205"/>
      <c r="LVE106" s="206"/>
      <c r="LVF106" s="207"/>
      <c r="LVG106" s="207"/>
      <c r="LVH106" s="208"/>
      <c r="LVI106" s="209"/>
      <c r="LVJ106" s="207"/>
      <c r="LVK106" s="210"/>
      <c r="LVL106" s="209"/>
      <c r="LVM106" s="204"/>
      <c r="LVN106" s="204"/>
      <c r="LVO106" s="204"/>
      <c r="LVP106" s="199"/>
      <c r="LVQ106" s="167"/>
      <c r="LVR106" s="199"/>
      <c r="LVS106" s="200"/>
      <c r="LVT106" s="201"/>
      <c r="LVU106" s="202"/>
      <c r="LVV106" s="202"/>
      <c r="LVW106" s="202"/>
      <c r="LVX106" s="202"/>
      <c r="LVY106" s="203"/>
      <c r="LVZ106" s="204"/>
      <c r="LWA106" s="204"/>
      <c r="LWB106" s="204"/>
      <c r="LWC106" s="205"/>
      <c r="LWD106" s="206"/>
      <c r="LWE106" s="207"/>
      <c r="LWF106" s="207"/>
      <c r="LWG106" s="208"/>
      <c r="LWH106" s="209"/>
      <c r="LWI106" s="207"/>
      <c r="LWJ106" s="210"/>
      <c r="LWK106" s="209"/>
      <c r="LWL106" s="204"/>
      <c r="LWM106" s="204"/>
      <c r="LWN106" s="204"/>
      <c r="LWO106" s="199"/>
      <c r="LWP106" s="167"/>
      <c r="LWQ106" s="199"/>
      <c r="LWR106" s="200"/>
      <c r="LWS106" s="201"/>
      <c r="LWT106" s="202"/>
      <c r="LWU106" s="202"/>
      <c r="LWV106" s="202"/>
      <c r="LWW106" s="202"/>
      <c r="LWX106" s="203"/>
      <c r="LWY106" s="204"/>
      <c r="LWZ106" s="204"/>
      <c r="LXA106" s="204"/>
      <c r="LXB106" s="205"/>
      <c r="LXC106" s="206"/>
      <c r="LXD106" s="207"/>
      <c r="LXE106" s="207"/>
      <c r="LXF106" s="208"/>
      <c r="LXG106" s="209"/>
      <c r="LXH106" s="207"/>
      <c r="LXI106" s="210"/>
      <c r="LXJ106" s="209"/>
      <c r="LXK106" s="204"/>
      <c r="LXL106" s="204"/>
      <c r="LXM106" s="204"/>
      <c r="LXN106" s="199"/>
      <c r="LXO106" s="167"/>
      <c r="LXP106" s="199"/>
      <c r="LXQ106" s="200"/>
      <c r="LXR106" s="201"/>
      <c r="LXS106" s="202"/>
      <c r="LXT106" s="202"/>
      <c r="LXU106" s="202"/>
      <c r="LXV106" s="202"/>
      <c r="LXW106" s="203"/>
      <c r="LXX106" s="204"/>
      <c r="LXY106" s="204"/>
      <c r="LXZ106" s="204"/>
      <c r="LYA106" s="205"/>
      <c r="LYB106" s="206"/>
      <c r="LYC106" s="207"/>
      <c r="LYD106" s="207"/>
      <c r="LYE106" s="208"/>
      <c r="LYF106" s="209"/>
      <c r="LYG106" s="207"/>
      <c r="LYH106" s="210"/>
      <c r="LYI106" s="209"/>
      <c r="LYJ106" s="204"/>
      <c r="LYK106" s="204"/>
      <c r="LYL106" s="204"/>
      <c r="LYM106" s="199"/>
      <c r="LYN106" s="167"/>
      <c r="LYO106" s="199"/>
      <c r="LYP106" s="200"/>
      <c r="LYQ106" s="201"/>
      <c r="LYR106" s="202"/>
      <c r="LYS106" s="202"/>
      <c r="LYT106" s="202"/>
      <c r="LYU106" s="202"/>
      <c r="LYV106" s="203"/>
      <c r="LYW106" s="204"/>
      <c r="LYX106" s="204"/>
      <c r="LYY106" s="204"/>
      <c r="LYZ106" s="205"/>
      <c r="LZA106" s="206"/>
      <c r="LZB106" s="207"/>
      <c r="LZC106" s="207"/>
      <c r="LZD106" s="208"/>
      <c r="LZE106" s="209"/>
      <c r="LZF106" s="207"/>
      <c r="LZG106" s="210"/>
      <c r="LZH106" s="209"/>
      <c r="LZI106" s="204"/>
      <c r="LZJ106" s="204"/>
      <c r="LZK106" s="204"/>
      <c r="LZL106" s="199"/>
      <c r="LZM106" s="167"/>
      <c r="LZN106" s="199"/>
      <c r="LZO106" s="200"/>
      <c r="LZP106" s="201"/>
      <c r="LZQ106" s="202"/>
      <c r="LZR106" s="202"/>
      <c r="LZS106" s="202"/>
      <c r="LZT106" s="202"/>
      <c r="LZU106" s="203"/>
      <c r="LZV106" s="204"/>
      <c r="LZW106" s="204"/>
      <c r="LZX106" s="204"/>
      <c r="LZY106" s="205"/>
      <c r="LZZ106" s="206"/>
      <c r="MAA106" s="207"/>
      <c r="MAB106" s="207"/>
      <c r="MAC106" s="208"/>
      <c r="MAD106" s="209"/>
      <c r="MAE106" s="207"/>
      <c r="MAF106" s="210"/>
      <c r="MAG106" s="209"/>
      <c r="MAH106" s="204"/>
      <c r="MAI106" s="204"/>
      <c r="MAJ106" s="204"/>
      <c r="MAK106" s="199"/>
      <c r="MAL106" s="167"/>
      <c r="MAM106" s="199"/>
      <c r="MAN106" s="200"/>
      <c r="MAO106" s="201"/>
      <c r="MAP106" s="202"/>
      <c r="MAQ106" s="202"/>
      <c r="MAR106" s="202"/>
      <c r="MAS106" s="202"/>
      <c r="MAT106" s="203"/>
      <c r="MAU106" s="204"/>
      <c r="MAV106" s="204"/>
      <c r="MAW106" s="204"/>
      <c r="MAX106" s="205"/>
      <c r="MAY106" s="206"/>
      <c r="MAZ106" s="207"/>
      <c r="MBA106" s="207"/>
      <c r="MBB106" s="208"/>
      <c r="MBC106" s="209"/>
      <c r="MBD106" s="207"/>
      <c r="MBE106" s="210"/>
      <c r="MBF106" s="209"/>
      <c r="MBG106" s="204"/>
      <c r="MBH106" s="204"/>
      <c r="MBI106" s="204"/>
      <c r="MBJ106" s="199"/>
      <c r="MBK106" s="167"/>
      <c r="MBL106" s="199"/>
      <c r="MBM106" s="200"/>
      <c r="MBN106" s="201"/>
      <c r="MBO106" s="202"/>
      <c r="MBP106" s="202"/>
      <c r="MBQ106" s="202"/>
      <c r="MBR106" s="202"/>
      <c r="MBS106" s="203"/>
      <c r="MBT106" s="204"/>
      <c r="MBU106" s="204"/>
      <c r="MBV106" s="204"/>
      <c r="MBW106" s="205"/>
      <c r="MBX106" s="206"/>
      <c r="MBY106" s="207"/>
      <c r="MBZ106" s="207"/>
      <c r="MCA106" s="208"/>
      <c r="MCB106" s="209"/>
      <c r="MCC106" s="207"/>
      <c r="MCD106" s="210"/>
      <c r="MCE106" s="209"/>
      <c r="MCF106" s="204"/>
      <c r="MCG106" s="204"/>
      <c r="MCH106" s="204"/>
      <c r="MCI106" s="199"/>
      <c r="MCJ106" s="167"/>
      <c r="MCK106" s="199"/>
      <c r="MCL106" s="200"/>
      <c r="MCM106" s="201"/>
      <c r="MCN106" s="202"/>
      <c r="MCO106" s="202"/>
      <c r="MCP106" s="202"/>
      <c r="MCQ106" s="202"/>
      <c r="MCR106" s="203"/>
      <c r="MCS106" s="204"/>
      <c r="MCT106" s="204"/>
      <c r="MCU106" s="204"/>
      <c r="MCV106" s="205"/>
      <c r="MCW106" s="206"/>
      <c r="MCX106" s="207"/>
      <c r="MCY106" s="207"/>
      <c r="MCZ106" s="208"/>
      <c r="MDA106" s="209"/>
      <c r="MDB106" s="207"/>
      <c r="MDC106" s="210"/>
      <c r="MDD106" s="209"/>
      <c r="MDE106" s="204"/>
      <c r="MDF106" s="204"/>
      <c r="MDG106" s="204"/>
      <c r="MDH106" s="199"/>
      <c r="MDI106" s="167"/>
      <c r="MDJ106" s="199"/>
      <c r="MDK106" s="200"/>
      <c r="MDL106" s="201"/>
      <c r="MDM106" s="202"/>
      <c r="MDN106" s="202"/>
      <c r="MDO106" s="202"/>
      <c r="MDP106" s="202"/>
      <c r="MDQ106" s="203"/>
      <c r="MDR106" s="204"/>
      <c r="MDS106" s="204"/>
      <c r="MDT106" s="204"/>
      <c r="MDU106" s="205"/>
      <c r="MDV106" s="206"/>
      <c r="MDW106" s="207"/>
      <c r="MDX106" s="207"/>
      <c r="MDY106" s="208"/>
      <c r="MDZ106" s="209"/>
      <c r="MEA106" s="207"/>
      <c r="MEB106" s="210"/>
      <c r="MEC106" s="209"/>
      <c r="MED106" s="204"/>
      <c r="MEE106" s="204"/>
      <c r="MEF106" s="204"/>
      <c r="MEG106" s="199"/>
      <c r="MEH106" s="167"/>
      <c r="MEI106" s="199"/>
      <c r="MEJ106" s="200"/>
      <c r="MEK106" s="201"/>
      <c r="MEL106" s="202"/>
      <c r="MEM106" s="202"/>
      <c r="MEN106" s="202"/>
      <c r="MEO106" s="202"/>
      <c r="MEP106" s="203"/>
      <c r="MEQ106" s="204"/>
      <c r="MER106" s="204"/>
      <c r="MES106" s="204"/>
      <c r="MET106" s="205"/>
      <c r="MEU106" s="206"/>
      <c r="MEV106" s="207"/>
      <c r="MEW106" s="207"/>
      <c r="MEX106" s="208"/>
      <c r="MEY106" s="209"/>
      <c r="MEZ106" s="207"/>
      <c r="MFA106" s="210"/>
      <c r="MFB106" s="209"/>
      <c r="MFC106" s="204"/>
      <c r="MFD106" s="204"/>
      <c r="MFE106" s="204"/>
      <c r="MFF106" s="199"/>
      <c r="MFG106" s="167"/>
      <c r="MFH106" s="199"/>
      <c r="MFI106" s="200"/>
      <c r="MFJ106" s="201"/>
      <c r="MFK106" s="202"/>
      <c r="MFL106" s="202"/>
      <c r="MFM106" s="202"/>
      <c r="MFN106" s="202"/>
      <c r="MFO106" s="203"/>
      <c r="MFP106" s="204"/>
      <c r="MFQ106" s="204"/>
      <c r="MFR106" s="204"/>
      <c r="MFS106" s="205"/>
      <c r="MFT106" s="206"/>
      <c r="MFU106" s="207"/>
      <c r="MFV106" s="207"/>
      <c r="MFW106" s="208"/>
      <c r="MFX106" s="209"/>
      <c r="MFY106" s="207"/>
      <c r="MFZ106" s="210"/>
      <c r="MGA106" s="209"/>
      <c r="MGB106" s="204"/>
      <c r="MGC106" s="204"/>
      <c r="MGD106" s="204"/>
      <c r="MGE106" s="199"/>
      <c r="MGF106" s="167"/>
      <c r="MGG106" s="199"/>
      <c r="MGH106" s="200"/>
      <c r="MGI106" s="201"/>
      <c r="MGJ106" s="202"/>
      <c r="MGK106" s="202"/>
      <c r="MGL106" s="202"/>
      <c r="MGM106" s="202"/>
      <c r="MGN106" s="203"/>
      <c r="MGO106" s="204"/>
      <c r="MGP106" s="204"/>
      <c r="MGQ106" s="204"/>
      <c r="MGR106" s="205"/>
      <c r="MGS106" s="206"/>
      <c r="MGT106" s="207"/>
      <c r="MGU106" s="207"/>
      <c r="MGV106" s="208"/>
      <c r="MGW106" s="209"/>
      <c r="MGX106" s="207"/>
      <c r="MGY106" s="210"/>
      <c r="MGZ106" s="209"/>
      <c r="MHA106" s="204"/>
      <c r="MHB106" s="204"/>
      <c r="MHC106" s="204"/>
      <c r="MHD106" s="199"/>
      <c r="MHE106" s="167"/>
      <c r="MHF106" s="199"/>
      <c r="MHG106" s="200"/>
      <c r="MHH106" s="201"/>
      <c r="MHI106" s="202"/>
      <c r="MHJ106" s="202"/>
      <c r="MHK106" s="202"/>
      <c r="MHL106" s="202"/>
      <c r="MHM106" s="203"/>
      <c r="MHN106" s="204"/>
      <c r="MHO106" s="204"/>
      <c r="MHP106" s="204"/>
      <c r="MHQ106" s="205"/>
      <c r="MHR106" s="206"/>
      <c r="MHS106" s="207"/>
      <c r="MHT106" s="207"/>
      <c r="MHU106" s="208"/>
      <c r="MHV106" s="209"/>
      <c r="MHW106" s="207"/>
      <c r="MHX106" s="210"/>
      <c r="MHY106" s="209"/>
      <c r="MHZ106" s="204"/>
      <c r="MIA106" s="204"/>
      <c r="MIB106" s="204"/>
      <c r="MIC106" s="199"/>
      <c r="MID106" s="167"/>
      <c r="MIE106" s="199"/>
      <c r="MIF106" s="200"/>
      <c r="MIG106" s="201"/>
      <c r="MIH106" s="202"/>
      <c r="MII106" s="202"/>
      <c r="MIJ106" s="202"/>
      <c r="MIK106" s="202"/>
      <c r="MIL106" s="203"/>
      <c r="MIM106" s="204"/>
      <c r="MIN106" s="204"/>
      <c r="MIO106" s="204"/>
      <c r="MIP106" s="205"/>
      <c r="MIQ106" s="206"/>
      <c r="MIR106" s="207"/>
      <c r="MIS106" s="207"/>
      <c r="MIT106" s="208"/>
      <c r="MIU106" s="209"/>
      <c r="MIV106" s="207"/>
      <c r="MIW106" s="210"/>
      <c r="MIX106" s="209"/>
      <c r="MIY106" s="204"/>
      <c r="MIZ106" s="204"/>
      <c r="MJA106" s="204"/>
      <c r="MJB106" s="199"/>
      <c r="MJC106" s="167"/>
      <c r="MJD106" s="199"/>
      <c r="MJE106" s="200"/>
      <c r="MJF106" s="201"/>
      <c r="MJG106" s="202"/>
      <c r="MJH106" s="202"/>
      <c r="MJI106" s="202"/>
      <c r="MJJ106" s="202"/>
      <c r="MJK106" s="203"/>
      <c r="MJL106" s="204"/>
      <c r="MJM106" s="204"/>
      <c r="MJN106" s="204"/>
      <c r="MJO106" s="205"/>
      <c r="MJP106" s="206"/>
      <c r="MJQ106" s="207"/>
      <c r="MJR106" s="207"/>
      <c r="MJS106" s="208"/>
      <c r="MJT106" s="209"/>
      <c r="MJU106" s="207"/>
      <c r="MJV106" s="210"/>
      <c r="MJW106" s="209"/>
      <c r="MJX106" s="204"/>
      <c r="MJY106" s="204"/>
      <c r="MJZ106" s="204"/>
      <c r="MKA106" s="199"/>
      <c r="MKB106" s="167"/>
      <c r="MKC106" s="199"/>
      <c r="MKD106" s="200"/>
      <c r="MKE106" s="201"/>
      <c r="MKF106" s="202"/>
      <c r="MKG106" s="202"/>
      <c r="MKH106" s="202"/>
      <c r="MKI106" s="202"/>
      <c r="MKJ106" s="203"/>
      <c r="MKK106" s="204"/>
      <c r="MKL106" s="204"/>
      <c r="MKM106" s="204"/>
      <c r="MKN106" s="205"/>
      <c r="MKO106" s="206"/>
      <c r="MKP106" s="207"/>
      <c r="MKQ106" s="207"/>
      <c r="MKR106" s="208"/>
      <c r="MKS106" s="209"/>
      <c r="MKT106" s="207"/>
      <c r="MKU106" s="210"/>
      <c r="MKV106" s="209"/>
      <c r="MKW106" s="204"/>
      <c r="MKX106" s="204"/>
      <c r="MKY106" s="204"/>
      <c r="MKZ106" s="199"/>
      <c r="MLA106" s="167"/>
      <c r="MLB106" s="199"/>
      <c r="MLC106" s="200"/>
      <c r="MLD106" s="201"/>
      <c r="MLE106" s="202"/>
      <c r="MLF106" s="202"/>
      <c r="MLG106" s="202"/>
      <c r="MLH106" s="202"/>
      <c r="MLI106" s="203"/>
      <c r="MLJ106" s="204"/>
      <c r="MLK106" s="204"/>
      <c r="MLL106" s="204"/>
      <c r="MLM106" s="205"/>
      <c r="MLN106" s="206"/>
      <c r="MLO106" s="207"/>
      <c r="MLP106" s="207"/>
      <c r="MLQ106" s="208"/>
      <c r="MLR106" s="209"/>
      <c r="MLS106" s="207"/>
      <c r="MLT106" s="210"/>
      <c r="MLU106" s="209"/>
      <c r="MLV106" s="204"/>
      <c r="MLW106" s="204"/>
      <c r="MLX106" s="204"/>
      <c r="MLY106" s="199"/>
      <c r="MLZ106" s="167"/>
      <c r="MMA106" s="199"/>
      <c r="MMB106" s="200"/>
      <c r="MMC106" s="201"/>
      <c r="MMD106" s="202"/>
      <c r="MME106" s="202"/>
      <c r="MMF106" s="202"/>
      <c r="MMG106" s="202"/>
      <c r="MMH106" s="203"/>
      <c r="MMI106" s="204"/>
      <c r="MMJ106" s="204"/>
      <c r="MMK106" s="204"/>
      <c r="MML106" s="205"/>
      <c r="MMM106" s="206"/>
      <c r="MMN106" s="207"/>
      <c r="MMO106" s="207"/>
      <c r="MMP106" s="208"/>
      <c r="MMQ106" s="209"/>
      <c r="MMR106" s="207"/>
      <c r="MMS106" s="210"/>
      <c r="MMT106" s="209"/>
      <c r="MMU106" s="204"/>
      <c r="MMV106" s="204"/>
      <c r="MMW106" s="204"/>
      <c r="MMX106" s="199"/>
      <c r="MMY106" s="167"/>
      <c r="MMZ106" s="199"/>
      <c r="MNA106" s="200"/>
      <c r="MNB106" s="201"/>
      <c r="MNC106" s="202"/>
      <c r="MND106" s="202"/>
      <c r="MNE106" s="202"/>
      <c r="MNF106" s="202"/>
      <c r="MNG106" s="203"/>
      <c r="MNH106" s="204"/>
      <c r="MNI106" s="204"/>
      <c r="MNJ106" s="204"/>
      <c r="MNK106" s="205"/>
      <c r="MNL106" s="206"/>
      <c r="MNM106" s="207"/>
      <c r="MNN106" s="207"/>
      <c r="MNO106" s="208"/>
      <c r="MNP106" s="209"/>
      <c r="MNQ106" s="207"/>
      <c r="MNR106" s="210"/>
      <c r="MNS106" s="209"/>
      <c r="MNT106" s="204"/>
      <c r="MNU106" s="204"/>
      <c r="MNV106" s="204"/>
      <c r="MNW106" s="199"/>
      <c r="MNX106" s="167"/>
      <c r="MNY106" s="199"/>
      <c r="MNZ106" s="200"/>
      <c r="MOA106" s="201"/>
      <c r="MOB106" s="202"/>
      <c r="MOC106" s="202"/>
      <c r="MOD106" s="202"/>
      <c r="MOE106" s="202"/>
      <c r="MOF106" s="203"/>
      <c r="MOG106" s="204"/>
      <c r="MOH106" s="204"/>
      <c r="MOI106" s="204"/>
      <c r="MOJ106" s="205"/>
      <c r="MOK106" s="206"/>
      <c r="MOL106" s="207"/>
      <c r="MOM106" s="207"/>
      <c r="MON106" s="208"/>
      <c r="MOO106" s="209"/>
      <c r="MOP106" s="207"/>
      <c r="MOQ106" s="210"/>
      <c r="MOR106" s="209"/>
      <c r="MOS106" s="204"/>
      <c r="MOT106" s="204"/>
      <c r="MOU106" s="204"/>
      <c r="MOV106" s="199"/>
      <c r="MOW106" s="167"/>
      <c r="MOX106" s="199"/>
      <c r="MOY106" s="200"/>
      <c r="MOZ106" s="201"/>
      <c r="MPA106" s="202"/>
      <c r="MPB106" s="202"/>
      <c r="MPC106" s="202"/>
      <c r="MPD106" s="202"/>
      <c r="MPE106" s="203"/>
      <c r="MPF106" s="204"/>
      <c r="MPG106" s="204"/>
      <c r="MPH106" s="204"/>
      <c r="MPI106" s="205"/>
      <c r="MPJ106" s="206"/>
      <c r="MPK106" s="207"/>
      <c r="MPL106" s="207"/>
      <c r="MPM106" s="208"/>
      <c r="MPN106" s="209"/>
      <c r="MPO106" s="207"/>
      <c r="MPP106" s="210"/>
      <c r="MPQ106" s="209"/>
      <c r="MPR106" s="204"/>
      <c r="MPS106" s="204"/>
      <c r="MPT106" s="204"/>
      <c r="MPU106" s="199"/>
      <c r="MPV106" s="167"/>
      <c r="MPW106" s="199"/>
      <c r="MPX106" s="200"/>
      <c r="MPY106" s="201"/>
      <c r="MPZ106" s="202"/>
      <c r="MQA106" s="202"/>
      <c r="MQB106" s="202"/>
      <c r="MQC106" s="202"/>
      <c r="MQD106" s="203"/>
      <c r="MQE106" s="204"/>
      <c r="MQF106" s="204"/>
      <c r="MQG106" s="204"/>
      <c r="MQH106" s="205"/>
      <c r="MQI106" s="206"/>
      <c r="MQJ106" s="207"/>
      <c r="MQK106" s="207"/>
      <c r="MQL106" s="208"/>
      <c r="MQM106" s="209"/>
      <c r="MQN106" s="207"/>
      <c r="MQO106" s="210"/>
      <c r="MQP106" s="209"/>
      <c r="MQQ106" s="204"/>
      <c r="MQR106" s="204"/>
      <c r="MQS106" s="204"/>
      <c r="MQT106" s="199"/>
      <c r="MQU106" s="167"/>
      <c r="MQV106" s="199"/>
      <c r="MQW106" s="200"/>
      <c r="MQX106" s="201"/>
      <c r="MQY106" s="202"/>
      <c r="MQZ106" s="202"/>
      <c r="MRA106" s="202"/>
      <c r="MRB106" s="202"/>
      <c r="MRC106" s="203"/>
      <c r="MRD106" s="204"/>
      <c r="MRE106" s="204"/>
      <c r="MRF106" s="204"/>
      <c r="MRG106" s="205"/>
      <c r="MRH106" s="206"/>
      <c r="MRI106" s="207"/>
      <c r="MRJ106" s="207"/>
      <c r="MRK106" s="208"/>
      <c r="MRL106" s="209"/>
      <c r="MRM106" s="207"/>
      <c r="MRN106" s="210"/>
      <c r="MRO106" s="209"/>
      <c r="MRP106" s="204"/>
      <c r="MRQ106" s="204"/>
      <c r="MRR106" s="204"/>
      <c r="MRS106" s="199"/>
      <c r="MRT106" s="167"/>
      <c r="MRU106" s="199"/>
      <c r="MRV106" s="200"/>
      <c r="MRW106" s="201"/>
      <c r="MRX106" s="202"/>
      <c r="MRY106" s="202"/>
      <c r="MRZ106" s="202"/>
      <c r="MSA106" s="202"/>
      <c r="MSB106" s="203"/>
      <c r="MSC106" s="204"/>
      <c r="MSD106" s="204"/>
      <c r="MSE106" s="204"/>
      <c r="MSF106" s="205"/>
      <c r="MSG106" s="206"/>
      <c r="MSH106" s="207"/>
      <c r="MSI106" s="207"/>
      <c r="MSJ106" s="208"/>
      <c r="MSK106" s="209"/>
      <c r="MSL106" s="207"/>
      <c r="MSM106" s="210"/>
      <c r="MSN106" s="209"/>
      <c r="MSO106" s="204"/>
      <c r="MSP106" s="204"/>
      <c r="MSQ106" s="204"/>
      <c r="MSR106" s="199"/>
      <c r="MSS106" s="167"/>
      <c r="MST106" s="199"/>
      <c r="MSU106" s="200"/>
      <c r="MSV106" s="201"/>
      <c r="MSW106" s="202"/>
      <c r="MSX106" s="202"/>
      <c r="MSY106" s="202"/>
      <c r="MSZ106" s="202"/>
      <c r="MTA106" s="203"/>
      <c r="MTB106" s="204"/>
      <c r="MTC106" s="204"/>
      <c r="MTD106" s="204"/>
      <c r="MTE106" s="205"/>
      <c r="MTF106" s="206"/>
      <c r="MTG106" s="207"/>
      <c r="MTH106" s="207"/>
      <c r="MTI106" s="208"/>
      <c r="MTJ106" s="209"/>
      <c r="MTK106" s="207"/>
      <c r="MTL106" s="210"/>
      <c r="MTM106" s="209"/>
      <c r="MTN106" s="204"/>
      <c r="MTO106" s="204"/>
      <c r="MTP106" s="204"/>
      <c r="MTQ106" s="199"/>
      <c r="MTR106" s="167"/>
      <c r="MTS106" s="199"/>
      <c r="MTT106" s="200"/>
      <c r="MTU106" s="201"/>
      <c r="MTV106" s="202"/>
      <c r="MTW106" s="202"/>
      <c r="MTX106" s="202"/>
      <c r="MTY106" s="202"/>
      <c r="MTZ106" s="203"/>
      <c r="MUA106" s="204"/>
      <c r="MUB106" s="204"/>
      <c r="MUC106" s="204"/>
      <c r="MUD106" s="205"/>
      <c r="MUE106" s="206"/>
      <c r="MUF106" s="207"/>
      <c r="MUG106" s="207"/>
      <c r="MUH106" s="208"/>
      <c r="MUI106" s="209"/>
      <c r="MUJ106" s="207"/>
      <c r="MUK106" s="210"/>
      <c r="MUL106" s="209"/>
      <c r="MUM106" s="204"/>
      <c r="MUN106" s="204"/>
      <c r="MUO106" s="204"/>
      <c r="MUP106" s="199"/>
      <c r="MUQ106" s="167"/>
      <c r="MUR106" s="199"/>
      <c r="MUS106" s="200"/>
      <c r="MUT106" s="201"/>
      <c r="MUU106" s="202"/>
      <c r="MUV106" s="202"/>
      <c r="MUW106" s="202"/>
      <c r="MUX106" s="202"/>
      <c r="MUY106" s="203"/>
      <c r="MUZ106" s="204"/>
      <c r="MVA106" s="204"/>
      <c r="MVB106" s="204"/>
      <c r="MVC106" s="205"/>
      <c r="MVD106" s="206"/>
      <c r="MVE106" s="207"/>
      <c r="MVF106" s="207"/>
      <c r="MVG106" s="208"/>
      <c r="MVH106" s="209"/>
      <c r="MVI106" s="207"/>
      <c r="MVJ106" s="210"/>
      <c r="MVK106" s="209"/>
      <c r="MVL106" s="204"/>
      <c r="MVM106" s="204"/>
      <c r="MVN106" s="204"/>
      <c r="MVO106" s="199"/>
      <c r="MVP106" s="167"/>
      <c r="MVQ106" s="199"/>
      <c r="MVR106" s="200"/>
      <c r="MVS106" s="201"/>
      <c r="MVT106" s="202"/>
      <c r="MVU106" s="202"/>
      <c r="MVV106" s="202"/>
      <c r="MVW106" s="202"/>
      <c r="MVX106" s="203"/>
      <c r="MVY106" s="204"/>
      <c r="MVZ106" s="204"/>
      <c r="MWA106" s="204"/>
      <c r="MWB106" s="205"/>
      <c r="MWC106" s="206"/>
      <c r="MWD106" s="207"/>
      <c r="MWE106" s="207"/>
      <c r="MWF106" s="208"/>
      <c r="MWG106" s="209"/>
      <c r="MWH106" s="207"/>
      <c r="MWI106" s="210"/>
      <c r="MWJ106" s="209"/>
      <c r="MWK106" s="204"/>
      <c r="MWL106" s="204"/>
      <c r="MWM106" s="204"/>
      <c r="MWN106" s="199"/>
      <c r="MWO106" s="167"/>
      <c r="MWP106" s="199"/>
      <c r="MWQ106" s="200"/>
      <c r="MWR106" s="201"/>
      <c r="MWS106" s="202"/>
      <c r="MWT106" s="202"/>
      <c r="MWU106" s="202"/>
      <c r="MWV106" s="202"/>
      <c r="MWW106" s="203"/>
      <c r="MWX106" s="204"/>
      <c r="MWY106" s="204"/>
      <c r="MWZ106" s="204"/>
      <c r="MXA106" s="205"/>
      <c r="MXB106" s="206"/>
      <c r="MXC106" s="207"/>
      <c r="MXD106" s="207"/>
      <c r="MXE106" s="208"/>
      <c r="MXF106" s="209"/>
      <c r="MXG106" s="207"/>
      <c r="MXH106" s="210"/>
      <c r="MXI106" s="209"/>
      <c r="MXJ106" s="204"/>
      <c r="MXK106" s="204"/>
      <c r="MXL106" s="204"/>
      <c r="MXM106" s="199"/>
      <c r="MXN106" s="167"/>
      <c r="MXO106" s="199"/>
      <c r="MXP106" s="200"/>
      <c r="MXQ106" s="201"/>
      <c r="MXR106" s="202"/>
      <c r="MXS106" s="202"/>
      <c r="MXT106" s="202"/>
      <c r="MXU106" s="202"/>
      <c r="MXV106" s="203"/>
      <c r="MXW106" s="204"/>
      <c r="MXX106" s="204"/>
      <c r="MXY106" s="204"/>
      <c r="MXZ106" s="205"/>
      <c r="MYA106" s="206"/>
      <c r="MYB106" s="207"/>
      <c r="MYC106" s="207"/>
      <c r="MYD106" s="208"/>
      <c r="MYE106" s="209"/>
      <c r="MYF106" s="207"/>
      <c r="MYG106" s="210"/>
      <c r="MYH106" s="209"/>
      <c r="MYI106" s="204"/>
      <c r="MYJ106" s="204"/>
      <c r="MYK106" s="204"/>
      <c r="MYL106" s="199"/>
      <c r="MYM106" s="167"/>
      <c r="MYN106" s="199"/>
      <c r="MYO106" s="200"/>
      <c r="MYP106" s="201"/>
      <c r="MYQ106" s="202"/>
      <c r="MYR106" s="202"/>
      <c r="MYS106" s="202"/>
      <c r="MYT106" s="202"/>
      <c r="MYU106" s="203"/>
      <c r="MYV106" s="204"/>
      <c r="MYW106" s="204"/>
      <c r="MYX106" s="204"/>
      <c r="MYY106" s="205"/>
      <c r="MYZ106" s="206"/>
      <c r="MZA106" s="207"/>
      <c r="MZB106" s="207"/>
      <c r="MZC106" s="208"/>
      <c r="MZD106" s="209"/>
      <c r="MZE106" s="207"/>
      <c r="MZF106" s="210"/>
      <c r="MZG106" s="209"/>
      <c r="MZH106" s="204"/>
      <c r="MZI106" s="204"/>
      <c r="MZJ106" s="204"/>
      <c r="MZK106" s="199"/>
      <c r="MZL106" s="167"/>
      <c r="MZM106" s="199"/>
      <c r="MZN106" s="200"/>
      <c r="MZO106" s="201"/>
      <c r="MZP106" s="202"/>
      <c r="MZQ106" s="202"/>
      <c r="MZR106" s="202"/>
      <c r="MZS106" s="202"/>
      <c r="MZT106" s="203"/>
      <c r="MZU106" s="204"/>
      <c r="MZV106" s="204"/>
      <c r="MZW106" s="204"/>
      <c r="MZX106" s="205"/>
      <c r="MZY106" s="206"/>
      <c r="MZZ106" s="207"/>
      <c r="NAA106" s="207"/>
      <c r="NAB106" s="208"/>
      <c r="NAC106" s="209"/>
      <c r="NAD106" s="207"/>
      <c r="NAE106" s="210"/>
      <c r="NAF106" s="209"/>
      <c r="NAG106" s="204"/>
      <c r="NAH106" s="204"/>
      <c r="NAI106" s="204"/>
      <c r="NAJ106" s="199"/>
      <c r="NAK106" s="167"/>
      <c r="NAL106" s="199"/>
      <c r="NAM106" s="200"/>
      <c r="NAN106" s="201"/>
      <c r="NAO106" s="202"/>
      <c r="NAP106" s="202"/>
      <c r="NAQ106" s="202"/>
      <c r="NAR106" s="202"/>
      <c r="NAS106" s="203"/>
      <c r="NAT106" s="204"/>
      <c r="NAU106" s="204"/>
      <c r="NAV106" s="204"/>
      <c r="NAW106" s="205"/>
      <c r="NAX106" s="206"/>
      <c r="NAY106" s="207"/>
      <c r="NAZ106" s="207"/>
      <c r="NBA106" s="208"/>
      <c r="NBB106" s="209"/>
      <c r="NBC106" s="207"/>
      <c r="NBD106" s="210"/>
      <c r="NBE106" s="209"/>
      <c r="NBF106" s="204"/>
      <c r="NBG106" s="204"/>
      <c r="NBH106" s="204"/>
      <c r="NBI106" s="199"/>
      <c r="NBJ106" s="167"/>
      <c r="NBK106" s="199"/>
      <c r="NBL106" s="200"/>
      <c r="NBM106" s="201"/>
      <c r="NBN106" s="202"/>
      <c r="NBO106" s="202"/>
      <c r="NBP106" s="202"/>
      <c r="NBQ106" s="202"/>
      <c r="NBR106" s="203"/>
      <c r="NBS106" s="204"/>
      <c r="NBT106" s="204"/>
      <c r="NBU106" s="204"/>
      <c r="NBV106" s="205"/>
      <c r="NBW106" s="206"/>
      <c r="NBX106" s="207"/>
      <c r="NBY106" s="207"/>
      <c r="NBZ106" s="208"/>
      <c r="NCA106" s="209"/>
      <c r="NCB106" s="207"/>
      <c r="NCC106" s="210"/>
      <c r="NCD106" s="209"/>
      <c r="NCE106" s="204"/>
      <c r="NCF106" s="204"/>
      <c r="NCG106" s="204"/>
      <c r="NCH106" s="199"/>
      <c r="NCI106" s="167"/>
      <c r="NCJ106" s="199"/>
      <c r="NCK106" s="200"/>
      <c r="NCL106" s="201"/>
      <c r="NCM106" s="202"/>
      <c r="NCN106" s="202"/>
      <c r="NCO106" s="202"/>
      <c r="NCP106" s="202"/>
      <c r="NCQ106" s="203"/>
      <c r="NCR106" s="204"/>
      <c r="NCS106" s="204"/>
      <c r="NCT106" s="204"/>
      <c r="NCU106" s="205"/>
      <c r="NCV106" s="206"/>
      <c r="NCW106" s="207"/>
      <c r="NCX106" s="207"/>
      <c r="NCY106" s="208"/>
      <c r="NCZ106" s="209"/>
      <c r="NDA106" s="207"/>
      <c r="NDB106" s="210"/>
      <c r="NDC106" s="209"/>
      <c r="NDD106" s="204"/>
      <c r="NDE106" s="204"/>
      <c r="NDF106" s="204"/>
      <c r="NDG106" s="199"/>
      <c r="NDH106" s="167"/>
      <c r="NDI106" s="199"/>
      <c r="NDJ106" s="200"/>
      <c r="NDK106" s="201"/>
      <c r="NDL106" s="202"/>
      <c r="NDM106" s="202"/>
      <c r="NDN106" s="202"/>
      <c r="NDO106" s="202"/>
      <c r="NDP106" s="203"/>
      <c r="NDQ106" s="204"/>
      <c r="NDR106" s="204"/>
      <c r="NDS106" s="204"/>
      <c r="NDT106" s="205"/>
      <c r="NDU106" s="206"/>
      <c r="NDV106" s="207"/>
      <c r="NDW106" s="207"/>
      <c r="NDX106" s="208"/>
      <c r="NDY106" s="209"/>
      <c r="NDZ106" s="207"/>
      <c r="NEA106" s="210"/>
      <c r="NEB106" s="209"/>
      <c r="NEC106" s="204"/>
      <c r="NED106" s="204"/>
      <c r="NEE106" s="204"/>
      <c r="NEF106" s="199"/>
      <c r="NEG106" s="167"/>
      <c r="NEH106" s="199"/>
      <c r="NEI106" s="200"/>
      <c r="NEJ106" s="201"/>
      <c r="NEK106" s="202"/>
      <c r="NEL106" s="202"/>
      <c r="NEM106" s="202"/>
      <c r="NEN106" s="202"/>
      <c r="NEO106" s="203"/>
      <c r="NEP106" s="204"/>
      <c r="NEQ106" s="204"/>
      <c r="NER106" s="204"/>
      <c r="NES106" s="205"/>
      <c r="NET106" s="206"/>
      <c r="NEU106" s="207"/>
      <c r="NEV106" s="207"/>
      <c r="NEW106" s="208"/>
      <c r="NEX106" s="209"/>
      <c r="NEY106" s="207"/>
      <c r="NEZ106" s="210"/>
      <c r="NFA106" s="209"/>
      <c r="NFB106" s="204"/>
      <c r="NFC106" s="204"/>
      <c r="NFD106" s="204"/>
      <c r="NFE106" s="199"/>
      <c r="NFF106" s="167"/>
      <c r="NFG106" s="199"/>
      <c r="NFH106" s="200"/>
      <c r="NFI106" s="201"/>
      <c r="NFJ106" s="202"/>
      <c r="NFK106" s="202"/>
      <c r="NFL106" s="202"/>
      <c r="NFM106" s="202"/>
      <c r="NFN106" s="203"/>
      <c r="NFO106" s="204"/>
      <c r="NFP106" s="204"/>
      <c r="NFQ106" s="204"/>
      <c r="NFR106" s="205"/>
      <c r="NFS106" s="206"/>
      <c r="NFT106" s="207"/>
      <c r="NFU106" s="207"/>
      <c r="NFV106" s="208"/>
      <c r="NFW106" s="209"/>
      <c r="NFX106" s="207"/>
      <c r="NFY106" s="210"/>
      <c r="NFZ106" s="209"/>
      <c r="NGA106" s="204"/>
      <c r="NGB106" s="204"/>
      <c r="NGC106" s="204"/>
      <c r="NGD106" s="199"/>
      <c r="NGE106" s="167"/>
      <c r="NGF106" s="199"/>
      <c r="NGG106" s="200"/>
      <c r="NGH106" s="201"/>
      <c r="NGI106" s="202"/>
      <c r="NGJ106" s="202"/>
      <c r="NGK106" s="202"/>
      <c r="NGL106" s="202"/>
      <c r="NGM106" s="203"/>
      <c r="NGN106" s="204"/>
      <c r="NGO106" s="204"/>
      <c r="NGP106" s="204"/>
      <c r="NGQ106" s="205"/>
      <c r="NGR106" s="206"/>
      <c r="NGS106" s="207"/>
      <c r="NGT106" s="207"/>
      <c r="NGU106" s="208"/>
      <c r="NGV106" s="209"/>
      <c r="NGW106" s="207"/>
      <c r="NGX106" s="210"/>
      <c r="NGY106" s="209"/>
      <c r="NGZ106" s="204"/>
      <c r="NHA106" s="204"/>
      <c r="NHB106" s="204"/>
      <c r="NHC106" s="199"/>
      <c r="NHD106" s="167"/>
      <c r="NHE106" s="199"/>
      <c r="NHF106" s="200"/>
      <c r="NHG106" s="201"/>
      <c r="NHH106" s="202"/>
      <c r="NHI106" s="202"/>
      <c r="NHJ106" s="202"/>
      <c r="NHK106" s="202"/>
      <c r="NHL106" s="203"/>
      <c r="NHM106" s="204"/>
      <c r="NHN106" s="204"/>
      <c r="NHO106" s="204"/>
      <c r="NHP106" s="205"/>
      <c r="NHQ106" s="206"/>
      <c r="NHR106" s="207"/>
      <c r="NHS106" s="207"/>
      <c r="NHT106" s="208"/>
      <c r="NHU106" s="209"/>
      <c r="NHV106" s="207"/>
      <c r="NHW106" s="210"/>
      <c r="NHX106" s="209"/>
      <c r="NHY106" s="204"/>
      <c r="NHZ106" s="204"/>
      <c r="NIA106" s="204"/>
      <c r="NIB106" s="199"/>
      <c r="NIC106" s="167"/>
      <c r="NID106" s="199"/>
      <c r="NIE106" s="200"/>
      <c r="NIF106" s="201"/>
      <c r="NIG106" s="202"/>
      <c r="NIH106" s="202"/>
      <c r="NII106" s="202"/>
      <c r="NIJ106" s="202"/>
      <c r="NIK106" s="203"/>
      <c r="NIL106" s="204"/>
      <c r="NIM106" s="204"/>
      <c r="NIN106" s="204"/>
      <c r="NIO106" s="205"/>
      <c r="NIP106" s="206"/>
      <c r="NIQ106" s="207"/>
      <c r="NIR106" s="207"/>
      <c r="NIS106" s="208"/>
      <c r="NIT106" s="209"/>
      <c r="NIU106" s="207"/>
      <c r="NIV106" s="210"/>
      <c r="NIW106" s="209"/>
      <c r="NIX106" s="204"/>
      <c r="NIY106" s="204"/>
      <c r="NIZ106" s="204"/>
      <c r="NJA106" s="199"/>
      <c r="NJB106" s="167"/>
      <c r="NJC106" s="199"/>
      <c r="NJD106" s="200"/>
      <c r="NJE106" s="201"/>
      <c r="NJF106" s="202"/>
      <c r="NJG106" s="202"/>
      <c r="NJH106" s="202"/>
      <c r="NJI106" s="202"/>
      <c r="NJJ106" s="203"/>
      <c r="NJK106" s="204"/>
      <c r="NJL106" s="204"/>
      <c r="NJM106" s="204"/>
      <c r="NJN106" s="205"/>
      <c r="NJO106" s="206"/>
      <c r="NJP106" s="207"/>
      <c r="NJQ106" s="207"/>
      <c r="NJR106" s="208"/>
      <c r="NJS106" s="209"/>
      <c r="NJT106" s="207"/>
      <c r="NJU106" s="210"/>
      <c r="NJV106" s="209"/>
      <c r="NJW106" s="204"/>
      <c r="NJX106" s="204"/>
      <c r="NJY106" s="204"/>
      <c r="NJZ106" s="199"/>
      <c r="NKA106" s="167"/>
      <c r="NKB106" s="199"/>
      <c r="NKC106" s="200"/>
      <c r="NKD106" s="201"/>
      <c r="NKE106" s="202"/>
      <c r="NKF106" s="202"/>
      <c r="NKG106" s="202"/>
      <c r="NKH106" s="202"/>
      <c r="NKI106" s="203"/>
      <c r="NKJ106" s="204"/>
      <c r="NKK106" s="204"/>
      <c r="NKL106" s="204"/>
      <c r="NKM106" s="205"/>
      <c r="NKN106" s="206"/>
      <c r="NKO106" s="207"/>
      <c r="NKP106" s="207"/>
      <c r="NKQ106" s="208"/>
      <c r="NKR106" s="209"/>
      <c r="NKS106" s="207"/>
      <c r="NKT106" s="210"/>
      <c r="NKU106" s="209"/>
      <c r="NKV106" s="204"/>
      <c r="NKW106" s="204"/>
      <c r="NKX106" s="204"/>
      <c r="NKY106" s="199"/>
      <c r="NKZ106" s="167"/>
      <c r="NLA106" s="199"/>
      <c r="NLB106" s="200"/>
      <c r="NLC106" s="201"/>
      <c r="NLD106" s="202"/>
      <c r="NLE106" s="202"/>
      <c r="NLF106" s="202"/>
      <c r="NLG106" s="202"/>
      <c r="NLH106" s="203"/>
      <c r="NLI106" s="204"/>
      <c r="NLJ106" s="204"/>
      <c r="NLK106" s="204"/>
      <c r="NLL106" s="205"/>
      <c r="NLM106" s="206"/>
      <c r="NLN106" s="207"/>
      <c r="NLO106" s="207"/>
      <c r="NLP106" s="208"/>
      <c r="NLQ106" s="209"/>
      <c r="NLR106" s="207"/>
      <c r="NLS106" s="210"/>
      <c r="NLT106" s="209"/>
      <c r="NLU106" s="204"/>
      <c r="NLV106" s="204"/>
      <c r="NLW106" s="204"/>
      <c r="NLX106" s="199"/>
      <c r="NLY106" s="167"/>
      <c r="NLZ106" s="199"/>
      <c r="NMA106" s="200"/>
      <c r="NMB106" s="201"/>
      <c r="NMC106" s="202"/>
      <c r="NMD106" s="202"/>
      <c r="NME106" s="202"/>
      <c r="NMF106" s="202"/>
      <c r="NMG106" s="203"/>
      <c r="NMH106" s="204"/>
      <c r="NMI106" s="204"/>
      <c r="NMJ106" s="204"/>
      <c r="NMK106" s="205"/>
      <c r="NML106" s="206"/>
      <c r="NMM106" s="207"/>
      <c r="NMN106" s="207"/>
      <c r="NMO106" s="208"/>
      <c r="NMP106" s="209"/>
      <c r="NMQ106" s="207"/>
      <c r="NMR106" s="210"/>
      <c r="NMS106" s="209"/>
      <c r="NMT106" s="204"/>
      <c r="NMU106" s="204"/>
      <c r="NMV106" s="204"/>
      <c r="NMW106" s="199"/>
      <c r="NMX106" s="167"/>
      <c r="NMY106" s="199"/>
      <c r="NMZ106" s="200"/>
      <c r="NNA106" s="201"/>
      <c r="NNB106" s="202"/>
      <c r="NNC106" s="202"/>
      <c r="NND106" s="202"/>
      <c r="NNE106" s="202"/>
      <c r="NNF106" s="203"/>
      <c r="NNG106" s="204"/>
      <c r="NNH106" s="204"/>
      <c r="NNI106" s="204"/>
      <c r="NNJ106" s="205"/>
      <c r="NNK106" s="206"/>
      <c r="NNL106" s="207"/>
      <c r="NNM106" s="207"/>
      <c r="NNN106" s="208"/>
      <c r="NNO106" s="209"/>
      <c r="NNP106" s="207"/>
      <c r="NNQ106" s="210"/>
      <c r="NNR106" s="209"/>
      <c r="NNS106" s="204"/>
      <c r="NNT106" s="204"/>
      <c r="NNU106" s="204"/>
      <c r="NNV106" s="199"/>
      <c r="NNW106" s="167"/>
      <c r="NNX106" s="199"/>
      <c r="NNY106" s="200"/>
      <c r="NNZ106" s="201"/>
      <c r="NOA106" s="202"/>
      <c r="NOB106" s="202"/>
      <c r="NOC106" s="202"/>
      <c r="NOD106" s="202"/>
      <c r="NOE106" s="203"/>
      <c r="NOF106" s="204"/>
      <c r="NOG106" s="204"/>
      <c r="NOH106" s="204"/>
      <c r="NOI106" s="205"/>
      <c r="NOJ106" s="206"/>
      <c r="NOK106" s="207"/>
      <c r="NOL106" s="207"/>
      <c r="NOM106" s="208"/>
      <c r="NON106" s="209"/>
      <c r="NOO106" s="207"/>
      <c r="NOP106" s="210"/>
      <c r="NOQ106" s="209"/>
      <c r="NOR106" s="204"/>
      <c r="NOS106" s="204"/>
      <c r="NOT106" s="204"/>
      <c r="NOU106" s="199"/>
      <c r="NOV106" s="167"/>
      <c r="NOW106" s="199"/>
      <c r="NOX106" s="200"/>
      <c r="NOY106" s="201"/>
      <c r="NOZ106" s="202"/>
      <c r="NPA106" s="202"/>
      <c r="NPB106" s="202"/>
      <c r="NPC106" s="202"/>
      <c r="NPD106" s="203"/>
      <c r="NPE106" s="204"/>
      <c r="NPF106" s="204"/>
      <c r="NPG106" s="204"/>
      <c r="NPH106" s="205"/>
      <c r="NPI106" s="206"/>
      <c r="NPJ106" s="207"/>
      <c r="NPK106" s="207"/>
      <c r="NPL106" s="208"/>
      <c r="NPM106" s="209"/>
      <c r="NPN106" s="207"/>
      <c r="NPO106" s="210"/>
      <c r="NPP106" s="209"/>
      <c r="NPQ106" s="204"/>
      <c r="NPR106" s="204"/>
      <c r="NPS106" s="204"/>
      <c r="NPT106" s="199"/>
      <c r="NPU106" s="167"/>
      <c r="NPV106" s="199"/>
      <c r="NPW106" s="200"/>
      <c r="NPX106" s="201"/>
      <c r="NPY106" s="202"/>
      <c r="NPZ106" s="202"/>
      <c r="NQA106" s="202"/>
      <c r="NQB106" s="202"/>
      <c r="NQC106" s="203"/>
      <c r="NQD106" s="204"/>
      <c r="NQE106" s="204"/>
      <c r="NQF106" s="204"/>
      <c r="NQG106" s="205"/>
      <c r="NQH106" s="206"/>
      <c r="NQI106" s="207"/>
      <c r="NQJ106" s="207"/>
      <c r="NQK106" s="208"/>
      <c r="NQL106" s="209"/>
      <c r="NQM106" s="207"/>
      <c r="NQN106" s="210"/>
      <c r="NQO106" s="209"/>
      <c r="NQP106" s="204"/>
      <c r="NQQ106" s="204"/>
      <c r="NQR106" s="204"/>
      <c r="NQS106" s="199"/>
      <c r="NQT106" s="167"/>
      <c r="NQU106" s="199"/>
      <c r="NQV106" s="200"/>
      <c r="NQW106" s="201"/>
      <c r="NQX106" s="202"/>
      <c r="NQY106" s="202"/>
      <c r="NQZ106" s="202"/>
      <c r="NRA106" s="202"/>
      <c r="NRB106" s="203"/>
      <c r="NRC106" s="204"/>
      <c r="NRD106" s="204"/>
      <c r="NRE106" s="204"/>
      <c r="NRF106" s="205"/>
      <c r="NRG106" s="206"/>
      <c r="NRH106" s="207"/>
      <c r="NRI106" s="207"/>
      <c r="NRJ106" s="208"/>
      <c r="NRK106" s="209"/>
      <c r="NRL106" s="207"/>
      <c r="NRM106" s="210"/>
      <c r="NRN106" s="209"/>
      <c r="NRO106" s="204"/>
      <c r="NRP106" s="204"/>
      <c r="NRQ106" s="204"/>
      <c r="NRR106" s="199"/>
      <c r="NRS106" s="167"/>
      <c r="NRT106" s="199"/>
      <c r="NRU106" s="200"/>
      <c r="NRV106" s="201"/>
      <c r="NRW106" s="202"/>
      <c r="NRX106" s="202"/>
      <c r="NRY106" s="202"/>
      <c r="NRZ106" s="202"/>
      <c r="NSA106" s="203"/>
      <c r="NSB106" s="204"/>
      <c r="NSC106" s="204"/>
      <c r="NSD106" s="204"/>
      <c r="NSE106" s="205"/>
      <c r="NSF106" s="206"/>
      <c r="NSG106" s="207"/>
      <c r="NSH106" s="207"/>
      <c r="NSI106" s="208"/>
      <c r="NSJ106" s="209"/>
      <c r="NSK106" s="207"/>
      <c r="NSL106" s="210"/>
      <c r="NSM106" s="209"/>
      <c r="NSN106" s="204"/>
      <c r="NSO106" s="204"/>
      <c r="NSP106" s="204"/>
      <c r="NSQ106" s="199"/>
      <c r="NSR106" s="167"/>
      <c r="NSS106" s="199"/>
      <c r="NST106" s="200"/>
      <c r="NSU106" s="201"/>
      <c r="NSV106" s="202"/>
      <c r="NSW106" s="202"/>
      <c r="NSX106" s="202"/>
      <c r="NSY106" s="202"/>
      <c r="NSZ106" s="203"/>
      <c r="NTA106" s="204"/>
      <c r="NTB106" s="204"/>
      <c r="NTC106" s="204"/>
      <c r="NTD106" s="205"/>
      <c r="NTE106" s="206"/>
      <c r="NTF106" s="207"/>
      <c r="NTG106" s="207"/>
      <c r="NTH106" s="208"/>
      <c r="NTI106" s="209"/>
      <c r="NTJ106" s="207"/>
      <c r="NTK106" s="210"/>
      <c r="NTL106" s="209"/>
      <c r="NTM106" s="204"/>
      <c r="NTN106" s="204"/>
      <c r="NTO106" s="204"/>
      <c r="NTP106" s="199"/>
      <c r="NTQ106" s="167"/>
      <c r="NTR106" s="199"/>
      <c r="NTS106" s="200"/>
      <c r="NTT106" s="201"/>
      <c r="NTU106" s="202"/>
      <c r="NTV106" s="202"/>
      <c r="NTW106" s="202"/>
      <c r="NTX106" s="202"/>
      <c r="NTY106" s="203"/>
      <c r="NTZ106" s="204"/>
      <c r="NUA106" s="204"/>
      <c r="NUB106" s="204"/>
      <c r="NUC106" s="205"/>
      <c r="NUD106" s="206"/>
      <c r="NUE106" s="207"/>
      <c r="NUF106" s="207"/>
      <c r="NUG106" s="208"/>
      <c r="NUH106" s="209"/>
      <c r="NUI106" s="207"/>
      <c r="NUJ106" s="210"/>
      <c r="NUK106" s="209"/>
      <c r="NUL106" s="204"/>
      <c r="NUM106" s="204"/>
      <c r="NUN106" s="204"/>
      <c r="NUO106" s="199"/>
      <c r="NUP106" s="167"/>
      <c r="NUQ106" s="199"/>
      <c r="NUR106" s="200"/>
      <c r="NUS106" s="201"/>
      <c r="NUT106" s="202"/>
      <c r="NUU106" s="202"/>
      <c r="NUV106" s="202"/>
      <c r="NUW106" s="202"/>
      <c r="NUX106" s="203"/>
      <c r="NUY106" s="204"/>
      <c r="NUZ106" s="204"/>
      <c r="NVA106" s="204"/>
      <c r="NVB106" s="205"/>
      <c r="NVC106" s="206"/>
      <c r="NVD106" s="207"/>
      <c r="NVE106" s="207"/>
      <c r="NVF106" s="208"/>
      <c r="NVG106" s="209"/>
      <c r="NVH106" s="207"/>
      <c r="NVI106" s="210"/>
      <c r="NVJ106" s="209"/>
      <c r="NVK106" s="204"/>
      <c r="NVL106" s="204"/>
      <c r="NVM106" s="204"/>
      <c r="NVN106" s="199"/>
      <c r="NVO106" s="167"/>
      <c r="NVP106" s="199"/>
      <c r="NVQ106" s="200"/>
      <c r="NVR106" s="201"/>
      <c r="NVS106" s="202"/>
      <c r="NVT106" s="202"/>
      <c r="NVU106" s="202"/>
      <c r="NVV106" s="202"/>
      <c r="NVW106" s="203"/>
      <c r="NVX106" s="204"/>
      <c r="NVY106" s="204"/>
      <c r="NVZ106" s="204"/>
      <c r="NWA106" s="205"/>
      <c r="NWB106" s="206"/>
      <c r="NWC106" s="207"/>
      <c r="NWD106" s="207"/>
      <c r="NWE106" s="208"/>
      <c r="NWF106" s="209"/>
      <c r="NWG106" s="207"/>
      <c r="NWH106" s="210"/>
      <c r="NWI106" s="209"/>
      <c r="NWJ106" s="204"/>
      <c r="NWK106" s="204"/>
      <c r="NWL106" s="204"/>
      <c r="NWM106" s="199"/>
      <c r="NWN106" s="167"/>
      <c r="NWO106" s="199"/>
      <c r="NWP106" s="200"/>
      <c r="NWQ106" s="201"/>
      <c r="NWR106" s="202"/>
      <c r="NWS106" s="202"/>
      <c r="NWT106" s="202"/>
      <c r="NWU106" s="202"/>
      <c r="NWV106" s="203"/>
      <c r="NWW106" s="204"/>
      <c r="NWX106" s="204"/>
      <c r="NWY106" s="204"/>
      <c r="NWZ106" s="205"/>
      <c r="NXA106" s="206"/>
      <c r="NXB106" s="207"/>
      <c r="NXC106" s="207"/>
      <c r="NXD106" s="208"/>
      <c r="NXE106" s="209"/>
      <c r="NXF106" s="207"/>
      <c r="NXG106" s="210"/>
      <c r="NXH106" s="209"/>
      <c r="NXI106" s="204"/>
      <c r="NXJ106" s="204"/>
      <c r="NXK106" s="204"/>
      <c r="NXL106" s="199"/>
      <c r="NXM106" s="167"/>
      <c r="NXN106" s="199"/>
      <c r="NXO106" s="200"/>
      <c r="NXP106" s="201"/>
      <c r="NXQ106" s="202"/>
      <c r="NXR106" s="202"/>
      <c r="NXS106" s="202"/>
      <c r="NXT106" s="202"/>
      <c r="NXU106" s="203"/>
      <c r="NXV106" s="204"/>
      <c r="NXW106" s="204"/>
      <c r="NXX106" s="204"/>
      <c r="NXY106" s="205"/>
      <c r="NXZ106" s="206"/>
      <c r="NYA106" s="207"/>
      <c r="NYB106" s="207"/>
      <c r="NYC106" s="208"/>
      <c r="NYD106" s="209"/>
      <c r="NYE106" s="207"/>
      <c r="NYF106" s="210"/>
      <c r="NYG106" s="209"/>
      <c r="NYH106" s="204"/>
      <c r="NYI106" s="204"/>
      <c r="NYJ106" s="204"/>
      <c r="NYK106" s="199"/>
      <c r="NYL106" s="167"/>
      <c r="NYM106" s="199"/>
      <c r="NYN106" s="200"/>
      <c r="NYO106" s="201"/>
      <c r="NYP106" s="202"/>
      <c r="NYQ106" s="202"/>
      <c r="NYR106" s="202"/>
      <c r="NYS106" s="202"/>
      <c r="NYT106" s="203"/>
      <c r="NYU106" s="204"/>
      <c r="NYV106" s="204"/>
      <c r="NYW106" s="204"/>
      <c r="NYX106" s="205"/>
      <c r="NYY106" s="206"/>
      <c r="NYZ106" s="207"/>
      <c r="NZA106" s="207"/>
      <c r="NZB106" s="208"/>
      <c r="NZC106" s="209"/>
      <c r="NZD106" s="207"/>
      <c r="NZE106" s="210"/>
      <c r="NZF106" s="209"/>
      <c r="NZG106" s="204"/>
      <c r="NZH106" s="204"/>
      <c r="NZI106" s="204"/>
      <c r="NZJ106" s="199"/>
      <c r="NZK106" s="167"/>
      <c r="NZL106" s="199"/>
      <c r="NZM106" s="200"/>
      <c r="NZN106" s="201"/>
      <c r="NZO106" s="202"/>
      <c r="NZP106" s="202"/>
      <c r="NZQ106" s="202"/>
      <c r="NZR106" s="202"/>
      <c r="NZS106" s="203"/>
      <c r="NZT106" s="204"/>
      <c r="NZU106" s="204"/>
      <c r="NZV106" s="204"/>
      <c r="NZW106" s="205"/>
      <c r="NZX106" s="206"/>
      <c r="NZY106" s="207"/>
      <c r="NZZ106" s="207"/>
      <c r="OAA106" s="208"/>
      <c r="OAB106" s="209"/>
      <c r="OAC106" s="207"/>
      <c r="OAD106" s="210"/>
      <c r="OAE106" s="209"/>
      <c r="OAF106" s="204"/>
      <c r="OAG106" s="204"/>
      <c r="OAH106" s="204"/>
      <c r="OAI106" s="199"/>
      <c r="OAJ106" s="167"/>
      <c r="OAK106" s="199"/>
      <c r="OAL106" s="200"/>
      <c r="OAM106" s="201"/>
      <c r="OAN106" s="202"/>
      <c r="OAO106" s="202"/>
      <c r="OAP106" s="202"/>
      <c r="OAQ106" s="202"/>
      <c r="OAR106" s="203"/>
      <c r="OAS106" s="204"/>
      <c r="OAT106" s="204"/>
      <c r="OAU106" s="204"/>
      <c r="OAV106" s="205"/>
      <c r="OAW106" s="206"/>
      <c r="OAX106" s="207"/>
      <c r="OAY106" s="207"/>
      <c r="OAZ106" s="208"/>
      <c r="OBA106" s="209"/>
      <c r="OBB106" s="207"/>
      <c r="OBC106" s="210"/>
      <c r="OBD106" s="209"/>
      <c r="OBE106" s="204"/>
      <c r="OBF106" s="204"/>
      <c r="OBG106" s="204"/>
      <c r="OBH106" s="199"/>
      <c r="OBI106" s="167"/>
      <c r="OBJ106" s="199"/>
      <c r="OBK106" s="200"/>
      <c r="OBL106" s="201"/>
      <c r="OBM106" s="202"/>
      <c r="OBN106" s="202"/>
      <c r="OBO106" s="202"/>
      <c r="OBP106" s="202"/>
      <c r="OBQ106" s="203"/>
      <c r="OBR106" s="204"/>
      <c r="OBS106" s="204"/>
      <c r="OBT106" s="204"/>
      <c r="OBU106" s="205"/>
      <c r="OBV106" s="206"/>
      <c r="OBW106" s="207"/>
      <c r="OBX106" s="207"/>
      <c r="OBY106" s="208"/>
      <c r="OBZ106" s="209"/>
      <c r="OCA106" s="207"/>
      <c r="OCB106" s="210"/>
      <c r="OCC106" s="209"/>
      <c r="OCD106" s="204"/>
      <c r="OCE106" s="204"/>
      <c r="OCF106" s="204"/>
      <c r="OCG106" s="199"/>
      <c r="OCH106" s="167"/>
      <c r="OCI106" s="199"/>
      <c r="OCJ106" s="200"/>
      <c r="OCK106" s="201"/>
      <c r="OCL106" s="202"/>
      <c r="OCM106" s="202"/>
      <c r="OCN106" s="202"/>
      <c r="OCO106" s="202"/>
      <c r="OCP106" s="203"/>
      <c r="OCQ106" s="204"/>
      <c r="OCR106" s="204"/>
      <c r="OCS106" s="204"/>
      <c r="OCT106" s="205"/>
      <c r="OCU106" s="206"/>
      <c r="OCV106" s="207"/>
      <c r="OCW106" s="207"/>
      <c r="OCX106" s="208"/>
      <c r="OCY106" s="209"/>
      <c r="OCZ106" s="207"/>
      <c r="ODA106" s="210"/>
      <c r="ODB106" s="209"/>
      <c r="ODC106" s="204"/>
      <c r="ODD106" s="204"/>
      <c r="ODE106" s="204"/>
      <c r="ODF106" s="199"/>
      <c r="ODG106" s="167"/>
      <c r="ODH106" s="199"/>
      <c r="ODI106" s="200"/>
      <c r="ODJ106" s="201"/>
      <c r="ODK106" s="202"/>
      <c r="ODL106" s="202"/>
      <c r="ODM106" s="202"/>
      <c r="ODN106" s="202"/>
      <c r="ODO106" s="203"/>
      <c r="ODP106" s="204"/>
      <c r="ODQ106" s="204"/>
      <c r="ODR106" s="204"/>
      <c r="ODS106" s="205"/>
      <c r="ODT106" s="206"/>
      <c r="ODU106" s="207"/>
      <c r="ODV106" s="207"/>
      <c r="ODW106" s="208"/>
      <c r="ODX106" s="209"/>
      <c r="ODY106" s="207"/>
      <c r="ODZ106" s="210"/>
      <c r="OEA106" s="209"/>
      <c r="OEB106" s="204"/>
      <c r="OEC106" s="204"/>
      <c r="OED106" s="204"/>
      <c r="OEE106" s="199"/>
      <c r="OEF106" s="167"/>
      <c r="OEG106" s="199"/>
      <c r="OEH106" s="200"/>
      <c r="OEI106" s="201"/>
      <c r="OEJ106" s="202"/>
      <c r="OEK106" s="202"/>
      <c r="OEL106" s="202"/>
      <c r="OEM106" s="202"/>
      <c r="OEN106" s="203"/>
      <c r="OEO106" s="204"/>
      <c r="OEP106" s="204"/>
      <c r="OEQ106" s="204"/>
      <c r="OER106" s="205"/>
      <c r="OES106" s="206"/>
      <c r="OET106" s="207"/>
      <c r="OEU106" s="207"/>
      <c r="OEV106" s="208"/>
      <c r="OEW106" s="209"/>
      <c r="OEX106" s="207"/>
      <c r="OEY106" s="210"/>
      <c r="OEZ106" s="209"/>
      <c r="OFA106" s="204"/>
      <c r="OFB106" s="204"/>
      <c r="OFC106" s="204"/>
      <c r="OFD106" s="199"/>
      <c r="OFE106" s="167"/>
      <c r="OFF106" s="199"/>
      <c r="OFG106" s="200"/>
      <c r="OFH106" s="201"/>
      <c r="OFI106" s="202"/>
      <c r="OFJ106" s="202"/>
      <c r="OFK106" s="202"/>
      <c r="OFL106" s="202"/>
      <c r="OFM106" s="203"/>
      <c r="OFN106" s="204"/>
      <c r="OFO106" s="204"/>
      <c r="OFP106" s="204"/>
      <c r="OFQ106" s="205"/>
      <c r="OFR106" s="206"/>
      <c r="OFS106" s="207"/>
      <c r="OFT106" s="207"/>
      <c r="OFU106" s="208"/>
      <c r="OFV106" s="209"/>
      <c r="OFW106" s="207"/>
      <c r="OFX106" s="210"/>
      <c r="OFY106" s="209"/>
      <c r="OFZ106" s="204"/>
      <c r="OGA106" s="204"/>
      <c r="OGB106" s="204"/>
      <c r="OGC106" s="199"/>
      <c r="OGD106" s="167"/>
      <c r="OGE106" s="199"/>
      <c r="OGF106" s="200"/>
      <c r="OGG106" s="201"/>
      <c r="OGH106" s="202"/>
      <c r="OGI106" s="202"/>
      <c r="OGJ106" s="202"/>
      <c r="OGK106" s="202"/>
      <c r="OGL106" s="203"/>
      <c r="OGM106" s="204"/>
      <c r="OGN106" s="204"/>
      <c r="OGO106" s="204"/>
      <c r="OGP106" s="205"/>
      <c r="OGQ106" s="206"/>
      <c r="OGR106" s="207"/>
      <c r="OGS106" s="207"/>
      <c r="OGT106" s="208"/>
      <c r="OGU106" s="209"/>
      <c r="OGV106" s="207"/>
      <c r="OGW106" s="210"/>
      <c r="OGX106" s="209"/>
      <c r="OGY106" s="204"/>
      <c r="OGZ106" s="204"/>
      <c r="OHA106" s="204"/>
      <c r="OHB106" s="199"/>
      <c r="OHC106" s="167"/>
      <c r="OHD106" s="199"/>
      <c r="OHE106" s="200"/>
      <c r="OHF106" s="201"/>
      <c r="OHG106" s="202"/>
      <c r="OHH106" s="202"/>
      <c r="OHI106" s="202"/>
      <c r="OHJ106" s="202"/>
      <c r="OHK106" s="203"/>
      <c r="OHL106" s="204"/>
      <c r="OHM106" s="204"/>
      <c r="OHN106" s="204"/>
      <c r="OHO106" s="205"/>
      <c r="OHP106" s="206"/>
      <c r="OHQ106" s="207"/>
      <c r="OHR106" s="207"/>
      <c r="OHS106" s="208"/>
      <c r="OHT106" s="209"/>
      <c r="OHU106" s="207"/>
      <c r="OHV106" s="210"/>
      <c r="OHW106" s="209"/>
      <c r="OHX106" s="204"/>
      <c r="OHY106" s="204"/>
      <c r="OHZ106" s="204"/>
      <c r="OIA106" s="199"/>
      <c r="OIB106" s="167"/>
      <c r="OIC106" s="199"/>
      <c r="OID106" s="200"/>
      <c r="OIE106" s="201"/>
      <c r="OIF106" s="202"/>
      <c r="OIG106" s="202"/>
      <c r="OIH106" s="202"/>
      <c r="OII106" s="202"/>
      <c r="OIJ106" s="203"/>
      <c r="OIK106" s="204"/>
      <c r="OIL106" s="204"/>
      <c r="OIM106" s="204"/>
      <c r="OIN106" s="205"/>
      <c r="OIO106" s="206"/>
      <c r="OIP106" s="207"/>
      <c r="OIQ106" s="207"/>
      <c r="OIR106" s="208"/>
      <c r="OIS106" s="209"/>
      <c r="OIT106" s="207"/>
      <c r="OIU106" s="210"/>
      <c r="OIV106" s="209"/>
      <c r="OIW106" s="204"/>
      <c r="OIX106" s="204"/>
      <c r="OIY106" s="204"/>
      <c r="OIZ106" s="199"/>
      <c r="OJA106" s="167"/>
      <c r="OJB106" s="199"/>
      <c r="OJC106" s="200"/>
      <c r="OJD106" s="201"/>
      <c r="OJE106" s="202"/>
      <c r="OJF106" s="202"/>
      <c r="OJG106" s="202"/>
      <c r="OJH106" s="202"/>
      <c r="OJI106" s="203"/>
      <c r="OJJ106" s="204"/>
      <c r="OJK106" s="204"/>
      <c r="OJL106" s="204"/>
      <c r="OJM106" s="205"/>
      <c r="OJN106" s="206"/>
      <c r="OJO106" s="207"/>
      <c r="OJP106" s="207"/>
      <c r="OJQ106" s="208"/>
      <c r="OJR106" s="209"/>
      <c r="OJS106" s="207"/>
      <c r="OJT106" s="210"/>
      <c r="OJU106" s="209"/>
      <c r="OJV106" s="204"/>
      <c r="OJW106" s="204"/>
      <c r="OJX106" s="204"/>
      <c r="OJY106" s="199"/>
      <c r="OJZ106" s="167"/>
      <c r="OKA106" s="199"/>
      <c r="OKB106" s="200"/>
      <c r="OKC106" s="201"/>
      <c r="OKD106" s="202"/>
      <c r="OKE106" s="202"/>
      <c r="OKF106" s="202"/>
      <c r="OKG106" s="202"/>
      <c r="OKH106" s="203"/>
      <c r="OKI106" s="204"/>
      <c r="OKJ106" s="204"/>
      <c r="OKK106" s="204"/>
      <c r="OKL106" s="205"/>
      <c r="OKM106" s="206"/>
      <c r="OKN106" s="207"/>
      <c r="OKO106" s="207"/>
      <c r="OKP106" s="208"/>
      <c r="OKQ106" s="209"/>
      <c r="OKR106" s="207"/>
      <c r="OKS106" s="210"/>
      <c r="OKT106" s="209"/>
      <c r="OKU106" s="204"/>
      <c r="OKV106" s="204"/>
      <c r="OKW106" s="204"/>
      <c r="OKX106" s="199"/>
      <c r="OKY106" s="167"/>
      <c r="OKZ106" s="199"/>
      <c r="OLA106" s="200"/>
      <c r="OLB106" s="201"/>
      <c r="OLC106" s="202"/>
      <c r="OLD106" s="202"/>
      <c r="OLE106" s="202"/>
      <c r="OLF106" s="202"/>
      <c r="OLG106" s="203"/>
      <c r="OLH106" s="204"/>
      <c r="OLI106" s="204"/>
      <c r="OLJ106" s="204"/>
      <c r="OLK106" s="205"/>
      <c r="OLL106" s="206"/>
      <c r="OLM106" s="207"/>
      <c r="OLN106" s="207"/>
      <c r="OLO106" s="208"/>
      <c r="OLP106" s="209"/>
      <c r="OLQ106" s="207"/>
      <c r="OLR106" s="210"/>
      <c r="OLS106" s="209"/>
      <c r="OLT106" s="204"/>
      <c r="OLU106" s="204"/>
      <c r="OLV106" s="204"/>
      <c r="OLW106" s="199"/>
      <c r="OLX106" s="167"/>
      <c r="OLY106" s="199"/>
      <c r="OLZ106" s="200"/>
      <c r="OMA106" s="201"/>
      <c r="OMB106" s="202"/>
      <c r="OMC106" s="202"/>
      <c r="OMD106" s="202"/>
      <c r="OME106" s="202"/>
      <c r="OMF106" s="203"/>
      <c r="OMG106" s="204"/>
      <c r="OMH106" s="204"/>
      <c r="OMI106" s="204"/>
      <c r="OMJ106" s="205"/>
      <c r="OMK106" s="206"/>
      <c r="OML106" s="207"/>
      <c r="OMM106" s="207"/>
      <c r="OMN106" s="208"/>
      <c r="OMO106" s="209"/>
      <c r="OMP106" s="207"/>
      <c r="OMQ106" s="210"/>
      <c r="OMR106" s="209"/>
      <c r="OMS106" s="204"/>
      <c r="OMT106" s="204"/>
      <c r="OMU106" s="204"/>
      <c r="OMV106" s="199"/>
      <c r="OMW106" s="167"/>
      <c r="OMX106" s="199"/>
      <c r="OMY106" s="200"/>
      <c r="OMZ106" s="201"/>
      <c r="ONA106" s="202"/>
      <c r="ONB106" s="202"/>
      <c r="ONC106" s="202"/>
      <c r="OND106" s="202"/>
      <c r="ONE106" s="203"/>
      <c r="ONF106" s="204"/>
      <c r="ONG106" s="204"/>
      <c r="ONH106" s="204"/>
      <c r="ONI106" s="205"/>
      <c r="ONJ106" s="206"/>
      <c r="ONK106" s="207"/>
      <c r="ONL106" s="207"/>
      <c r="ONM106" s="208"/>
      <c r="ONN106" s="209"/>
      <c r="ONO106" s="207"/>
      <c r="ONP106" s="210"/>
      <c r="ONQ106" s="209"/>
      <c r="ONR106" s="204"/>
      <c r="ONS106" s="204"/>
      <c r="ONT106" s="204"/>
      <c r="ONU106" s="199"/>
      <c r="ONV106" s="167"/>
      <c r="ONW106" s="199"/>
      <c r="ONX106" s="200"/>
      <c r="ONY106" s="201"/>
      <c r="ONZ106" s="202"/>
      <c r="OOA106" s="202"/>
      <c r="OOB106" s="202"/>
      <c r="OOC106" s="202"/>
      <c r="OOD106" s="203"/>
      <c r="OOE106" s="204"/>
      <c r="OOF106" s="204"/>
      <c r="OOG106" s="204"/>
      <c r="OOH106" s="205"/>
      <c r="OOI106" s="206"/>
      <c r="OOJ106" s="207"/>
      <c r="OOK106" s="207"/>
      <c r="OOL106" s="208"/>
      <c r="OOM106" s="209"/>
      <c r="OON106" s="207"/>
      <c r="OOO106" s="210"/>
      <c r="OOP106" s="209"/>
      <c r="OOQ106" s="204"/>
      <c r="OOR106" s="204"/>
      <c r="OOS106" s="204"/>
      <c r="OOT106" s="199"/>
      <c r="OOU106" s="167"/>
      <c r="OOV106" s="199"/>
      <c r="OOW106" s="200"/>
      <c r="OOX106" s="201"/>
      <c r="OOY106" s="202"/>
      <c r="OOZ106" s="202"/>
      <c r="OPA106" s="202"/>
      <c r="OPB106" s="202"/>
      <c r="OPC106" s="203"/>
      <c r="OPD106" s="204"/>
      <c r="OPE106" s="204"/>
      <c r="OPF106" s="204"/>
      <c r="OPG106" s="205"/>
      <c r="OPH106" s="206"/>
      <c r="OPI106" s="207"/>
      <c r="OPJ106" s="207"/>
      <c r="OPK106" s="208"/>
      <c r="OPL106" s="209"/>
      <c r="OPM106" s="207"/>
      <c r="OPN106" s="210"/>
      <c r="OPO106" s="209"/>
      <c r="OPP106" s="204"/>
      <c r="OPQ106" s="204"/>
      <c r="OPR106" s="204"/>
      <c r="OPS106" s="199"/>
      <c r="OPT106" s="167"/>
      <c r="OPU106" s="199"/>
      <c r="OPV106" s="200"/>
      <c r="OPW106" s="201"/>
      <c r="OPX106" s="202"/>
      <c r="OPY106" s="202"/>
      <c r="OPZ106" s="202"/>
      <c r="OQA106" s="202"/>
      <c r="OQB106" s="203"/>
      <c r="OQC106" s="204"/>
      <c r="OQD106" s="204"/>
      <c r="OQE106" s="204"/>
      <c r="OQF106" s="205"/>
      <c r="OQG106" s="206"/>
      <c r="OQH106" s="207"/>
      <c r="OQI106" s="207"/>
      <c r="OQJ106" s="208"/>
      <c r="OQK106" s="209"/>
      <c r="OQL106" s="207"/>
      <c r="OQM106" s="210"/>
      <c r="OQN106" s="209"/>
      <c r="OQO106" s="204"/>
      <c r="OQP106" s="204"/>
      <c r="OQQ106" s="204"/>
      <c r="OQR106" s="199"/>
      <c r="OQS106" s="167"/>
      <c r="OQT106" s="199"/>
      <c r="OQU106" s="200"/>
      <c r="OQV106" s="201"/>
      <c r="OQW106" s="202"/>
      <c r="OQX106" s="202"/>
      <c r="OQY106" s="202"/>
      <c r="OQZ106" s="202"/>
      <c r="ORA106" s="203"/>
      <c r="ORB106" s="204"/>
      <c r="ORC106" s="204"/>
      <c r="ORD106" s="204"/>
      <c r="ORE106" s="205"/>
      <c r="ORF106" s="206"/>
      <c r="ORG106" s="207"/>
      <c r="ORH106" s="207"/>
      <c r="ORI106" s="208"/>
      <c r="ORJ106" s="209"/>
      <c r="ORK106" s="207"/>
      <c r="ORL106" s="210"/>
      <c r="ORM106" s="209"/>
      <c r="ORN106" s="204"/>
      <c r="ORO106" s="204"/>
      <c r="ORP106" s="204"/>
      <c r="ORQ106" s="199"/>
      <c r="ORR106" s="167"/>
      <c r="ORS106" s="199"/>
      <c r="ORT106" s="200"/>
      <c r="ORU106" s="201"/>
      <c r="ORV106" s="202"/>
      <c r="ORW106" s="202"/>
      <c r="ORX106" s="202"/>
      <c r="ORY106" s="202"/>
      <c r="ORZ106" s="203"/>
      <c r="OSA106" s="204"/>
      <c r="OSB106" s="204"/>
      <c r="OSC106" s="204"/>
      <c r="OSD106" s="205"/>
      <c r="OSE106" s="206"/>
      <c r="OSF106" s="207"/>
      <c r="OSG106" s="207"/>
      <c r="OSH106" s="208"/>
      <c r="OSI106" s="209"/>
      <c r="OSJ106" s="207"/>
      <c r="OSK106" s="210"/>
      <c r="OSL106" s="209"/>
      <c r="OSM106" s="204"/>
      <c r="OSN106" s="204"/>
      <c r="OSO106" s="204"/>
      <c r="OSP106" s="199"/>
      <c r="OSQ106" s="167"/>
      <c r="OSR106" s="199"/>
      <c r="OSS106" s="200"/>
      <c r="OST106" s="201"/>
      <c r="OSU106" s="202"/>
      <c r="OSV106" s="202"/>
      <c r="OSW106" s="202"/>
      <c r="OSX106" s="202"/>
      <c r="OSY106" s="203"/>
      <c r="OSZ106" s="204"/>
      <c r="OTA106" s="204"/>
      <c r="OTB106" s="204"/>
      <c r="OTC106" s="205"/>
      <c r="OTD106" s="206"/>
      <c r="OTE106" s="207"/>
      <c r="OTF106" s="207"/>
      <c r="OTG106" s="208"/>
      <c r="OTH106" s="209"/>
      <c r="OTI106" s="207"/>
      <c r="OTJ106" s="210"/>
      <c r="OTK106" s="209"/>
      <c r="OTL106" s="204"/>
      <c r="OTM106" s="204"/>
      <c r="OTN106" s="204"/>
      <c r="OTO106" s="199"/>
      <c r="OTP106" s="167"/>
      <c r="OTQ106" s="199"/>
      <c r="OTR106" s="200"/>
      <c r="OTS106" s="201"/>
      <c r="OTT106" s="202"/>
      <c r="OTU106" s="202"/>
      <c r="OTV106" s="202"/>
      <c r="OTW106" s="202"/>
      <c r="OTX106" s="203"/>
      <c r="OTY106" s="204"/>
      <c r="OTZ106" s="204"/>
      <c r="OUA106" s="204"/>
      <c r="OUB106" s="205"/>
      <c r="OUC106" s="206"/>
      <c r="OUD106" s="207"/>
      <c r="OUE106" s="207"/>
      <c r="OUF106" s="208"/>
      <c r="OUG106" s="209"/>
      <c r="OUH106" s="207"/>
      <c r="OUI106" s="210"/>
      <c r="OUJ106" s="209"/>
      <c r="OUK106" s="204"/>
      <c r="OUL106" s="204"/>
      <c r="OUM106" s="204"/>
      <c r="OUN106" s="199"/>
      <c r="OUO106" s="167"/>
      <c r="OUP106" s="199"/>
      <c r="OUQ106" s="200"/>
      <c r="OUR106" s="201"/>
      <c r="OUS106" s="202"/>
      <c r="OUT106" s="202"/>
      <c r="OUU106" s="202"/>
      <c r="OUV106" s="202"/>
      <c r="OUW106" s="203"/>
      <c r="OUX106" s="204"/>
      <c r="OUY106" s="204"/>
      <c r="OUZ106" s="204"/>
      <c r="OVA106" s="205"/>
      <c r="OVB106" s="206"/>
      <c r="OVC106" s="207"/>
      <c r="OVD106" s="207"/>
      <c r="OVE106" s="208"/>
      <c r="OVF106" s="209"/>
      <c r="OVG106" s="207"/>
      <c r="OVH106" s="210"/>
      <c r="OVI106" s="209"/>
      <c r="OVJ106" s="204"/>
      <c r="OVK106" s="204"/>
      <c r="OVL106" s="204"/>
      <c r="OVM106" s="199"/>
      <c r="OVN106" s="167"/>
      <c r="OVO106" s="199"/>
      <c r="OVP106" s="200"/>
      <c r="OVQ106" s="201"/>
      <c r="OVR106" s="202"/>
      <c r="OVS106" s="202"/>
      <c r="OVT106" s="202"/>
      <c r="OVU106" s="202"/>
      <c r="OVV106" s="203"/>
      <c r="OVW106" s="204"/>
      <c r="OVX106" s="204"/>
      <c r="OVY106" s="204"/>
      <c r="OVZ106" s="205"/>
      <c r="OWA106" s="206"/>
      <c r="OWB106" s="207"/>
      <c r="OWC106" s="207"/>
      <c r="OWD106" s="208"/>
      <c r="OWE106" s="209"/>
      <c r="OWF106" s="207"/>
      <c r="OWG106" s="210"/>
      <c r="OWH106" s="209"/>
      <c r="OWI106" s="204"/>
      <c r="OWJ106" s="204"/>
      <c r="OWK106" s="204"/>
      <c r="OWL106" s="199"/>
      <c r="OWM106" s="167"/>
      <c r="OWN106" s="199"/>
      <c r="OWO106" s="200"/>
      <c r="OWP106" s="201"/>
      <c r="OWQ106" s="202"/>
      <c r="OWR106" s="202"/>
      <c r="OWS106" s="202"/>
      <c r="OWT106" s="202"/>
      <c r="OWU106" s="203"/>
      <c r="OWV106" s="204"/>
      <c r="OWW106" s="204"/>
      <c r="OWX106" s="204"/>
      <c r="OWY106" s="205"/>
      <c r="OWZ106" s="206"/>
      <c r="OXA106" s="207"/>
      <c r="OXB106" s="207"/>
      <c r="OXC106" s="208"/>
      <c r="OXD106" s="209"/>
      <c r="OXE106" s="207"/>
      <c r="OXF106" s="210"/>
      <c r="OXG106" s="209"/>
      <c r="OXH106" s="204"/>
      <c r="OXI106" s="204"/>
      <c r="OXJ106" s="204"/>
      <c r="OXK106" s="199"/>
      <c r="OXL106" s="167"/>
      <c r="OXM106" s="199"/>
      <c r="OXN106" s="200"/>
      <c r="OXO106" s="201"/>
      <c r="OXP106" s="202"/>
      <c r="OXQ106" s="202"/>
      <c r="OXR106" s="202"/>
      <c r="OXS106" s="202"/>
      <c r="OXT106" s="203"/>
      <c r="OXU106" s="204"/>
      <c r="OXV106" s="204"/>
      <c r="OXW106" s="204"/>
      <c r="OXX106" s="205"/>
      <c r="OXY106" s="206"/>
      <c r="OXZ106" s="207"/>
      <c r="OYA106" s="207"/>
      <c r="OYB106" s="208"/>
      <c r="OYC106" s="209"/>
      <c r="OYD106" s="207"/>
      <c r="OYE106" s="210"/>
      <c r="OYF106" s="209"/>
      <c r="OYG106" s="204"/>
      <c r="OYH106" s="204"/>
      <c r="OYI106" s="204"/>
      <c r="OYJ106" s="199"/>
      <c r="OYK106" s="167"/>
      <c r="OYL106" s="199"/>
      <c r="OYM106" s="200"/>
      <c r="OYN106" s="201"/>
      <c r="OYO106" s="202"/>
      <c r="OYP106" s="202"/>
      <c r="OYQ106" s="202"/>
      <c r="OYR106" s="202"/>
      <c r="OYS106" s="203"/>
      <c r="OYT106" s="204"/>
      <c r="OYU106" s="204"/>
      <c r="OYV106" s="204"/>
      <c r="OYW106" s="205"/>
      <c r="OYX106" s="206"/>
      <c r="OYY106" s="207"/>
      <c r="OYZ106" s="207"/>
      <c r="OZA106" s="208"/>
      <c r="OZB106" s="209"/>
      <c r="OZC106" s="207"/>
      <c r="OZD106" s="210"/>
      <c r="OZE106" s="209"/>
      <c r="OZF106" s="204"/>
      <c r="OZG106" s="204"/>
      <c r="OZH106" s="204"/>
      <c r="OZI106" s="199"/>
      <c r="OZJ106" s="167"/>
      <c r="OZK106" s="199"/>
      <c r="OZL106" s="200"/>
      <c r="OZM106" s="201"/>
      <c r="OZN106" s="202"/>
      <c r="OZO106" s="202"/>
      <c r="OZP106" s="202"/>
      <c r="OZQ106" s="202"/>
      <c r="OZR106" s="203"/>
      <c r="OZS106" s="204"/>
      <c r="OZT106" s="204"/>
      <c r="OZU106" s="204"/>
      <c r="OZV106" s="205"/>
      <c r="OZW106" s="206"/>
      <c r="OZX106" s="207"/>
      <c r="OZY106" s="207"/>
      <c r="OZZ106" s="208"/>
      <c r="PAA106" s="209"/>
      <c r="PAB106" s="207"/>
      <c r="PAC106" s="210"/>
      <c r="PAD106" s="209"/>
      <c r="PAE106" s="204"/>
      <c r="PAF106" s="204"/>
      <c r="PAG106" s="204"/>
      <c r="PAH106" s="199"/>
      <c r="PAI106" s="167"/>
      <c r="PAJ106" s="199"/>
      <c r="PAK106" s="200"/>
      <c r="PAL106" s="201"/>
      <c r="PAM106" s="202"/>
      <c r="PAN106" s="202"/>
      <c r="PAO106" s="202"/>
      <c r="PAP106" s="202"/>
      <c r="PAQ106" s="203"/>
      <c r="PAR106" s="204"/>
      <c r="PAS106" s="204"/>
      <c r="PAT106" s="204"/>
      <c r="PAU106" s="205"/>
      <c r="PAV106" s="206"/>
      <c r="PAW106" s="207"/>
      <c r="PAX106" s="207"/>
      <c r="PAY106" s="208"/>
      <c r="PAZ106" s="209"/>
      <c r="PBA106" s="207"/>
      <c r="PBB106" s="210"/>
      <c r="PBC106" s="209"/>
      <c r="PBD106" s="204"/>
      <c r="PBE106" s="204"/>
      <c r="PBF106" s="204"/>
      <c r="PBG106" s="199"/>
      <c r="PBH106" s="167"/>
      <c r="PBI106" s="199"/>
      <c r="PBJ106" s="200"/>
      <c r="PBK106" s="201"/>
      <c r="PBL106" s="202"/>
      <c r="PBM106" s="202"/>
      <c r="PBN106" s="202"/>
      <c r="PBO106" s="202"/>
      <c r="PBP106" s="203"/>
      <c r="PBQ106" s="204"/>
      <c r="PBR106" s="204"/>
      <c r="PBS106" s="204"/>
      <c r="PBT106" s="205"/>
      <c r="PBU106" s="206"/>
      <c r="PBV106" s="207"/>
      <c r="PBW106" s="207"/>
      <c r="PBX106" s="208"/>
      <c r="PBY106" s="209"/>
      <c r="PBZ106" s="207"/>
      <c r="PCA106" s="210"/>
      <c r="PCB106" s="209"/>
      <c r="PCC106" s="204"/>
      <c r="PCD106" s="204"/>
      <c r="PCE106" s="204"/>
      <c r="PCF106" s="199"/>
      <c r="PCG106" s="167"/>
      <c r="PCH106" s="199"/>
      <c r="PCI106" s="200"/>
      <c r="PCJ106" s="201"/>
      <c r="PCK106" s="202"/>
      <c r="PCL106" s="202"/>
      <c r="PCM106" s="202"/>
      <c r="PCN106" s="202"/>
      <c r="PCO106" s="203"/>
      <c r="PCP106" s="204"/>
      <c r="PCQ106" s="204"/>
      <c r="PCR106" s="204"/>
      <c r="PCS106" s="205"/>
      <c r="PCT106" s="206"/>
      <c r="PCU106" s="207"/>
      <c r="PCV106" s="207"/>
      <c r="PCW106" s="208"/>
      <c r="PCX106" s="209"/>
      <c r="PCY106" s="207"/>
      <c r="PCZ106" s="210"/>
      <c r="PDA106" s="209"/>
      <c r="PDB106" s="204"/>
      <c r="PDC106" s="204"/>
      <c r="PDD106" s="204"/>
      <c r="PDE106" s="199"/>
      <c r="PDF106" s="167"/>
      <c r="PDG106" s="199"/>
      <c r="PDH106" s="200"/>
      <c r="PDI106" s="201"/>
      <c r="PDJ106" s="202"/>
      <c r="PDK106" s="202"/>
      <c r="PDL106" s="202"/>
      <c r="PDM106" s="202"/>
      <c r="PDN106" s="203"/>
      <c r="PDO106" s="204"/>
      <c r="PDP106" s="204"/>
      <c r="PDQ106" s="204"/>
      <c r="PDR106" s="205"/>
      <c r="PDS106" s="206"/>
      <c r="PDT106" s="207"/>
      <c r="PDU106" s="207"/>
      <c r="PDV106" s="208"/>
      <c r="PDW106" s="209"/>
      <c r="PDX106" s="207"/>
      <c r="PDY106" s="210"/>
      <c r="PDZ106" s="209"/>
      <c r="PEA106" s="204"/>
      <c r="PEB106" s="204"/>
      <c r="PEC106" s="204"/>
      <c r="PED106" s="199"/>
      <c r="PEE106" s="167"/>
      <c r="PEF106" s="199"/>
      <c r="PEG106" s="200"/>
      <c r="PEH106" s="201"/>
      <c r="PEI106" s="202"/>
      <c r="PEJ106" s="202"/>
      <c r="PEK106" s="202"/>
      <c r="PEL106" s="202"/>
      <c r="PEM106" s="203"/>
      <c r="PEN106" s="204"/>
      <c r="PEO106" s="204"/>
      <c r="PEP106" s="204"/>
      <c r="PEQ106" s="205"/>
      <c r="PER106" s="206"/>
      <c r="PES106" s="207"/>
      <c r="PET106" s="207"/>
      <c r="PEU106" s="208"/>
      <c r="PEV106" s="209"/>
      <c r="PEW106" s="207"/>
      <c r="PEX106" s="210"/>
      <c r="PEY106" s="209"/>
      <c r="PEZ106" s="204"/>
      <c r="PFA106" s="204"/>
      <c r="PFB106" s="204"/>
      <c r="PFC106" s="199"/>
      <c r="PFD106" s="167"/>
      <c r="PFE106" s="199"/>
      <c r="PFF106" s="200"/>
      <c r="PFG106" s="201"/>
      <c r="PFH106" s="202"/>
      <c r="PFI106" s="202"/>
      <c r="PFJ106" s="202"/>
      <c r="PFK106" s="202"/>
      <c r="PFL106" s="203"/>
      <c r="PFM106" s="204"/>
      <c r="PFN106" s="204"/>
      <c r="PFO106" s="204"/>
      <c r="PFP106" s="205"/>
      <c r="PFQ106" s="206"/>
      <c r="PFR106" s="207"/>
      <c r="PFS106" s="207"/>
      <c r="PFT106" s="208"/>
      <c r="PFU106" s="209"/>
      <c r="PFV106" s="207"/>
      <c r="PFW106" s="210"/>
      <c r="PFX106" s="209"/>
      <c r="PFY106" s="204"/>
      <c r="PFZ106" s="204"/>
      <c r="PGA106" s="204"/>
      <c r="PGB106" s="199"/>
      <c r="PGC106" s="167"/>
      <c r="PGD106" s="199"/>
      <c r="PGE106" s="200"/>
      <c r="PGF106" s="201"/>
      <c r="PGG106" s="202"/>
      <c r="PGH106" s="202"/>
      <c r="PGI106" s="202"/>
      <c r="PGJ106" s="202"/>
      <c r="PGK106" s="203"/>
      <c r="PGL106" s="204"/>
      <c r="PGM106" s="204"/>
      <c r="PGN106" s="204"/>
      <c r="PGO106" s="205"/>
      <c r="PGP106" s="206"/>
      <c r="PGQ106" s="207"/>
      <c r="PGR106" s="207"/>
      <c r="PGS106" s="208"/>
      <c r="PGT106" s="209"/>
      <c r="PGU106" s="207"/>
      <c r="PGV106" s="210"/>
      <c r="PGW106" s="209"/>
      <c r="PGX106" s="204"/>
      <c r="PGY106" s="204"/>
      <c r="PGZ106" s="204"/>
      <c r="PHA106" s="199"/>
      <c r="PHB106" s="167"/>
      <c r="PHC106" s="199"/>
      <c r="PHD106" s="200"/>
      <c r="PHE106" s="201"/>
      <c r="PHF106" s="202"/>
      <c r="PHG106" s="202"/>
      <c r="PHH106" s="202"/>
      <c r="PHI106" s="202"/>
      <c r="PHJ106" s="203"/>
      <c r="PHK106" s="204"/>
      <c r="PHL106" s="204"/>
      <c r="PHM106" s="204"/>
      <c r="PHN106" s="205"/>
      <c r="PHO106" s="206"/>
      <c r="PHP106" s="207"/>
      <c r="PHQ106" s="207"/>
      <c r="PHR106" s="208"/>
      <c r="PHS106" s="209"/>
      <c r="PHT106" s="207"/>
      <c r="PHU106" s="210"/>
      <c r="PHV106" s="209"/>
      <c r="PHW106" s="204"/>
      <c r="PHX106" s="204"/>
      <c r="PHY106" s="204"/>
      <c r="PHZ106" s="199"/>
      <c r="PIA106" s="167"/>
      <c r="PIB106" s="199"/>
      <c r="PIC106" s="200"/>
      <c r="PID106" s="201"/>
      <c r="PIE106" s="202"/>
      <c r="PIF106" s="202"/>
      <c r="PIG106" s="202"/>
      <c r="PIH106" s="202"/>
      <c r="PII106" s="203"/>
      <c r="PIJ106" s="204"/>
      <c r="PIK106" s="204"/>
      <c r="PIL106" s="204"/>
      <c r="PIM106" s="205"/>
      <c r="PIN106" s="206"/>
      <c r="PIO106" s="207"/>
      <c r="PIP106" s="207"/>
      <c r="PIQ106" s="208"/>
      <c r="PIR106" s="209"/>
      <c r="PIS106" s="207"/>
      <c r="PIT106" s="210"/>
      <c r="PIU106" s="209"/>
      <c r="PIV106" s="204"/>
      <c r="PIW106" s="204"/>
      <c r="PIX106" s="204"/>
      <c r="PIY106" s="199"/>
      <c r="PIZ106" s="167"/>
      <c r="PJA106" s="199"/>
      <c r="PJB106" s="200"/>
      <c r="PJC106" s="201"/>
      <c r="PJD106" s="202"/>
      <c r="PJE106" s="202"/>
      <c r="PJF106" s="202"/>
      <c r="PJG106" s="202"/>
      <c r="PJH106" s="203"/>
      <c r="PJI106" s="204"/>
      <c r="PJJ106" s="204"/>
      <c r="PJK106" s="204"/>
      <c r="PJL106" s="205"/>
      <c r="PJM106" s="206"/>
      <c r="PJN106" s="207"/>
      <c r="PJO106" s="207"/>
      <c r="PJP106" s="208"/>
      <c r="PJQ106" s="209"/>
      <c r="PJR106" s="207"/>
      <c r="PJS106" s="210"/>
      <c r="PJT106" s="209"/>
      <c r="PJU106" s="204"/>
      <c r="PJV106" s="204"/>
      <c r="PJW106" s="204"/>
      <c r="PJX106" s="199"/>
      <c r="PJY106" s="167"/>
      <c r="PJZ106" s="199"/>
      <c r="PKA106" s="200"/>
      <c r="PKB106" s="201"/>
      <c r="PKC106" s="202"/>
      <c r="PKD106" s="202"/>
      <c r="PKE106" s="202"/>
      <c r="PKF106" s="202"/>
      <c r="PKG106" s="203"/>
      <c r="PKH106" s="204"/>
      <c r="PKI106" s="204"/>
      <c r="PKJ106" s="204"/>
      <c r="PKK106" s="205"/>
      <c r="PKL106" s="206"/>
      <c r="PKM106" s="207"/>
      <c r="PKN106" s="207"/>
      <c r="PKO106" s="208"/>
      <c r="PKP106" s="209"/>
      <c r="PKQ106" s="207"/>
      <c r="PKR106" s="210"/>
      <c r="PKS106" s="209"/>
      <c r="PKT106" s="204"/>
      <c r="PKU106" s="204"/>
      <c r="PKV106" s="204"/>
      <c r="PKW106" s="199"/>
      <c r="PKX106" s="167"/>
      <c r="PKY106" s="199"/>
      <c r="PKZ106" s="200"/>
      <c r="PLA106" s="201"/>
      <c r="PLB106" s="202"/>
      <c r="PLC106" s="202"/>
      <c r="PLD106" s="202"/>
      <c r="PLE106" s="202"/>
      <c r="PLF106" s="203"/>
      <c r="PLG106" s="204"/>
      <c r="PLH106" s="204"/>
      <c r="PLI106" s="204"/>
      <c r="PLJ106" s="205"/>
      <c r="PLK106" s="206"/>
      <c r="PLL106" s="207"/>
      <c r="PLM106" s="207"/>
      <c r="PLN106" s="208"/>
      <c r="PLO106" s="209"/>
      <c r="PLP106" s="207"/>
      <c r="PLQ106" s="210"/>
      <c r="PLR106" s="209"/>
      <c r="PLS106" s="204"/>
      <c r="PLT106" s="204"/>
      <c r="PLU106" s="204"/>
      <c r="PLV106" s="199"/>
      <c r="PLW106" s="167"/>
      <c r="PLX106" s="199"/>
      <c r="PLY106" s="200"/>
      <c r="PLZ106" s="201"/>
      <c r="PMA106" s="202"/>
      <c r="PMB106" s="202"/>
      <c r="PMC106" s="202"/>
      <c r="PMD106" s="202"/>
      <c r="PME106" s="203"/>
      <c r="PMF106" s="204"/>
      <c r="PMG106" s="204"/>
      <c r="PMH106" s="204"/>
      <c r="PMI106" s="205"/>
      <c r="PMJ106" s="206"/>
      <c r="PMK106" s="207"/>
      <c r="PML106" s="207"/>
      <c r="PMM106" s="208"/>
      <c r="PMN106" s="209"/>
      <c r="PMO106" s="207"/>
      <c r="PMP106" s="210"/>
      <c r="PMQ106" s="209"/>
      <c r="PMR106" s="204"/>
      <c r="PMS106" s="204"/>
      <c r="PMT106" s="204"/>
      <c r="PMU106" s="199"/>
      <c r="PMV106" s="167"/>
      <c r="PMW106" s="199"/>
      <c r="PMX106" s="200"/>
      <c r="PMY106" s="201"/>
      <c r="PMZ106" s="202"/>
      <c r="PNA106" s="202"/>
      <c r="PNB106" s="202"/>
      <c r="PNC106" s="202"/>
      <c r="PND106" s="203"/>
      <c r="PNE106" s="204"/>
      <c r="PNF106" s="204"/>
      <c r="PNG106" s="204"/>
      <c r="PNH106" s="205"/>
      <c r="PNI106" s="206"/>
      <c r="PNJ106" s="207"/>
      <c r="PNK106" s="207"/>
      <c r="PNL106" s="208"/>
      <c r="PNM106" s="209"/>
      <c r="PNN106" s="207"/>
      <c r="PNO106" s="210"/>
      <c r="PNP106" s="209"/>
      <c r="PNQ106" s="204"/>
      <c r="PNR106" s="204"/>
      <c r="PNS106" s="204"/>
      <c r="PNT106" s="199"/>
      <c r="PNU106" s="167"/>
      <c r="PNV106" s="199"/>
      <c r="PNW106" s="200"/>
      <c r="PNX106" s="201"/>
      <c r="PNY106" s="202"/>
      <c r="PNZ106" s="202"/>
      <c r="POA106" s="202"/>
      <c r="POB106" s="202"/>
      <c r="POC106" s="203"/>
      <c r="POD106" s="204"/>
      <c r="POE106" s="204"/>
      <c r="POF106" s="204"/>
      <c r="POG106" s="205"/>
      <c r="POH106" s="206"/>
      <c r="POI106" s="207"/>
      <c r="POJ106" s="207"/>
      <c r="POK106" s="208"/>
      <c r="POL106" s="209"/>
      <c r="POM106" s="207"/>
      <c r="PON106" s="210"/>
      <c r="POO106" s="209"/>
      <c r="POP106" s="204"/>
      <c r="POQ106" s="204"/>
      <c r="POR106" s="204"/>
      <c r="POS106" s="199"/>
      <c r="POT106" s="167"/>
      <c r="POU106" s="199"/>
      <c r="POV106" s="200"/>
      <c r="POW106" s="201"/>
      <c r="POX106" s="202"/>
      <c r="POY106" s="202"/>
      <c r="POZ106" s="202"/>
      <c r="PPA106" s="202"/>
      <c r="PPB106" s="203"/>
      <c r="PPC106" s="204"/>
      <c r="PPD106" s="204"/>
      <c r="PPE106" s="204"/>
      <c r="PPF106" s="205"/>
      <c r="PPG106" s="206"/>
      <c r="PPH106" s="207"/>
      <c r="PPI106" s="207"/>
      <c r="PPJ106" s="208"/>
      <c r="PPK106" s="209"/>
      <c r="PPL106" s="207"/>
      <c r="PPM106" s="210"/>
      <c r="PPN106" s="209"/>
      <c r="PPO106" s="204"/>
      <c r="PPP106" s="204"/>
      <c r="PPQ106" s="204"/>
      <c r="PPR106" s="199"/>
      <c r="PPS106" s="167"/>
      <c r="PPT106" s="199"/>
      <c r="PPU106" s="200"/>
      <c r="PPV106" s="201"/>
      <c r="PPW106" s="202"/>
      <c r="PPX106" s="202"/>
      <c r="PPY106" s="202"/>
      <c r="PPZ106" s="202"/>
      <c r="PQA106" s="203"/>
      <c r="PQB106" s="204"/>
      <c r="PQC106" s="204"/>
      <c r="PQD106" s="204"/>
      <c r="PQE106" s="205"/>
      <c r="PQF106" s="206"/>
      <c r="PQG106" s="207"/>
      <c r="PQH106" s="207"/>
      <c r="PQI106" s="208"/>
      <c r="PQJ106" s="209"/>
      <c r="PQK106" s="207"/>
      <c r="PQL106" s="210"/>
      <c r="PQM106" s="209"/>
      <c r="PQN106" s="204"/>
      <c r="PQO106" s="204"/>
      <c r="PQP106" s="204"/>
      <c r="PQQ106" s="199"/>
      <c r="PQR106" s="167"/>
      <c r="PQS106" s="199"/>
      <c r="PQT106" s="200"/>
      <c r="PQU106" s="201"/>
      <c r="PQV106" s="202"/>
      <c r="PQW106" s="202"/>
      <c r="PQX106" s="202"/>
      <c r="PQY106" s="202"/>
      <c r="PQZ106" s="203"/>
      <c r="PRA106" s="204"/>
      <c r="PRB106" s="204"/>
      <c r="PRC106" s="204"/>
      <c r="PRD106" s="205"/>
      <c r="PRE106" s="206"/>
      <c r="PRF106" s="207"/>
      <c r="PRG106" s="207"/>
      <c r="PRH106" s="208"/>
      <c r="PRI106" s="209"/>
      <c r="PRJ106" s="207"/>
      <c r="PRK106" s="210"/>
      <c r="PRL106" s="209"/>
      <c r="PRM106" s="204"/>
      <c r="PRN106" s="204"/>
      <c r="PRO106" s="204"/>
      <c r="PRP106" s="199"/>
      <c r="PRQ106" s="167"/>
      <c r="PRR106" s="199"/>
      <c r="PRS106" s="200"/>
      <c r="PRT106" s="201"/>
      <c r="PRU106" s="202"/>
      <c r="PRV106" s="202"/>
      <c r="PRW106" s="202"/>
      <c r="PRX106" s="202"/>
      <c r="PRY106" s="203"/>
      <c r="PRZ106" s="204"/>
      <c r="PSA106" s="204"/>
      <c r="PSB106" s="204"/>
      <c r="PSC106" s="205"/>
      <c r="PSD106" s="206"/>
      <c r="PSE106" s="207"/>
      <c r="PSF106" s="207"/>
      <c r="PSG106" s="208"/>
      <c r="PSH106" s="209"/>
      <c r="PSI106" s="207"/>
      <c r="PSJ106" s="210"/>
      <c r="PSK106" s="209"/>
      <c r="PSL106" s="204"/>
      <c r="PSM106" s="204"/>
      <c r="PSN106" s="204"/>
      <c r="PSO106" s="199"/>
      <c r="PSP106" s="167"/>
      <c r="PSQ106" s="199"/>
      <c r="PSR106" s="200"/>
      <c r="PSS106" s="201"/>
      <c r="PST106" s="202"/>
      <c r="PSU106" s="202"/>
      <c r="PSV106" s="202"/>
      <c r="PSW106" s="202"/>
      <c r="PSX106" s="203"/>
      <c r="PSY106" s="204"/>
      <c r="PSZ106" s="204"/>
      <c r="PTA106" s="204"/>
      <c r="PTB106" s="205"/>
      <c r="PTC106" s="206"/>
      <c r="PTD106" s="207"/>
      <c r="PTE106" s="207"/>
      <c r="PTF106" s="208"/>
      <c r="PTG106" s="209"/>
      <c r="PTH106" s="207"/>
      <c r="PTI106" s="210"/>
      <c r="PTJ106" s="209"/>
      <c r="PTK106" s="204"/>
      <c r="PTL106" s="204"/>
      <c r="PTM106" s="204"/>
      <c r="PTN106" s="199"/>
      <c r="PTO106" s="167"/>
      <c r="PTP106" s="199"/>
      <c r="PTQ106" s="200"/>
      <c r="PTR106" s="201"/>
      <c r="PTS106" s="202"/>
      <c r="PTT106" s="202"/>
      <c r="PTU106" s="202"/>
      <c r="PTV106" s="202"/>
      <c r="PTW106" s="203"/>
      <c r="PTX106" s="204"/>
      <c r="PTY106" s="204"/>
      <c r="PTZ106" s="204"/>
      <c r="PUA106" s="205"/>
      <c r="PUB106" s="206"/>
      <c r="PUC106" s="207"/>
      <c r="PUD106" s="207"/>
      <c r="PUE106" s="208"/>
      <c r="PUF106" s="209"/>
      <c r="PUG106" s="207"/>
      <c r="PUH106" s="210"/>
      <c r="PUI106" s="209"/>
      <c r="PUJ106" s="204"/>
      <c r="PUK106" s="204"/>
      <c r="PUL106" s="204"/>
      <c r="PUM106" s="199"/>
      <c r="PUN106" s="167"/>
      <c r="PUO106" s="199"/>
      <c r="PUP106" s="200"/>
      <c r="PUQ106" s="201"/>
      <c r="PUR106" s="202"/>
      <c r="PUS106" s="202"/>
      <c r="PUT106" s="202"/>
      <c r="PUU106" s="202"/>
      <c r="PUV106" s="203"/>
      <c r="PUW106" s="204"/>
      <c r="PUX106" s="204"/>
      <c r="PUY106" s="204"/>
      <c r="PUZ106" s="205"/>
      <c r="PVA106" s="206"/>
      <c r="PVB106" s="207"/>
      <c r="PVC106" s="207"/>
      <c r="PVD106" s="208"/>
      <c r="PVE106" s="209"/>
      <c r="PVF106" s="207"/>
      <c r="PVG106" s="210"/>
      <c r="PVH106" s="209"/>
      <c r="PVI106" s="204"/>
      <c r="PVJ106" s="204"/>
      <c r="PVK106" s="204"/>
      <c r="PVL106" s="199"/>
      <c r="PVM106" s="167"/>
      <c r="PVN106" s="199"/>
      <c r="PVO106" s="200"/>
      <c r="PVP106" s="201"/>
      <c r="PVQ106" s="202"/>
      <c r="PVR106" s="202"/>
      <c r="PVS106" s="202"/>
      <c r="PVT106" s="202"/>
      <c r="PVU106" s="203"/>
      <c r="PVV106" s="204"/>
      <c r="PVW106" s="204"/>
      <c r="PVX106" s="204"/>
      <c r="PVY106" s="205"/>
      <c r="PVZ106" s="206"/>
      <c r="PWA106" s="207"/>
      <c r="PWB106" s="207"/>
      <c r="PWC106" s="208"/>
      <c r="PWD106" s="209"/>
      <c r="PWE106" s="207"/>
      <c r="PWF106" s="210"/>
      <c r="PWG106" s="209"/>
      <c r="PWH106" s="204"/>
      <c r="PWI106" s="204"/>
      <c r="PWJ106" s="204"/>
      <c r="PWK106" s="199"/>
      <c r="PWL106" s="167"/>
      <c r="PWM106" s="199"/>
      <c r="PWN106" s="200"/>
      <c r="PWO106" s="201"/>
      <c r="PWP106" s="202"/>
      <c r="PWQ106" s="202"/>
      <c r="PWR106" s="202"/>
      <c r="PWS106" s="202"/>
      <c r="PWT106" s="203"/>
      <c r="PWU106" s="204"/>
      <c r="PWV106" s="204"/>
      <c r="PWW106" s="204"/>
      <c r="PWX106" s="205"/>
      <c r="PWY106" s="206"/>
      <c r="PWZ106" s="207"/>
      <c r="PXA106" s="207"/>
      <c r="PXB106" s="208"/>
      <c r="PXC106" s="209"/>
      <c r="PXD106" s="207"/>
      <c r="PXE106" s="210"/>
      <c r="PXF106" s="209"/>
      <c r="PXG106" s="204"/>
      <c r="PXH106" s="204"/>
      <c r="PXI106" s="204"/>
      <c r="PXJ106" s="199"/>
      <c r="PXK106" s="167"/>
      <c r="PXL106" s="199"/>
      <c r="PXM106" s="200"/>
      <c r="PXN106" s="201"/>
      <c r="PXO106" s="202"/>
      <c r="PXP106" s="202"/>
      <c r="PXQ106" s="202"/>
      <c r="PXR106" s="202"/>
      <c r="PXS106" s="203"/>
      <c r="PXT106" s="204"/>
      <c r="PXU106" s="204"/>
      <c r="PXV106" s="204"/>
      <c r="PXW106" s="205"/>
      <c r="PXX106" s="206"/>
      <c r="PXY106" s="207"/>
      <c r="PXZ106" s="207"/>
      <c r="PYA106" s="208"/>
      <c r="PYB106" s="209"/>
      <c r="PYC106" s="207"/>
      <c r="PYD106" s="210"/>
      <c r="PYE106" s="209"/>
      <c r="PYF106" s="204"/>
      <c r="PYG106" s="204"/>
      <c r="PYH106" s="204"/>
      <c r="PYI106" s="199"/>
      <c r="PYJ106" s="167"/>
      <c r="PYK106" s="199"/>
      <c r="PYL106" s="200"/>
      <c r="PYM106" s="201"/>
      <c r="PYN106" s="202"/>
      <c r="PYO106" s="202"/>
      <c r="PYP106" s="202"/>
      <c r="PYQ106" s="202"/>
      <c r="PYR106" s="203"/>
      <c r="PYS106" s="204"/>
      <c r="PYT106" s="204"/>
      <c r="PYU106" s="204"/>
      <c r="PYV106" s="205"/>
      <c r="PYW106" s="206"/>
      <c r="PYX106" s="207"/>
      <c r="PYY106" s="207"/>
      <c r="PYZ106" s="208"/>
      <c r="PZA106" s="209"/>
      <c r="PZB106" s="207"/>
      <c r="PZC106" s="210"/>
      <c r="PZD106" s="209"/>
      <c r="PZE106" s="204"/>
      <c r="PZF106" s="204"/>
      <c r="PZG106" s="204"/>
      <c r="PZH106" s="199"/>
      <c r="PZI106" s="167"/>
      <c r="PZJ106" s="199"/>
      <c r="PZK106" s="200"/>
      <c r="PZL106" s="201"/>
      <c r="PZM106" s="202"/>
      <c r="PZN106" s="202"/>
      <c r="PZO106" s="202"/>
      <c r="PZP106" s="202"/>
      <c r="PZQ106" s="203"/>
      <c r="PZR106" s="204"/>
      <c r="PZS106" s="204"/>
      <c r="PZT106" s="204"/>
      <c r="PZU106" s="205"/>
      <c r="PZV106" s="206"/>
      <c r="PZW106" s="207"/>
      <c r="PZX106" s="207"/>
      <c r="PZY106" s="208"/>
      <c r="PZZ106" s="209"/>
      <c r="QAA106" s="207"/>
      <c r="QAB106" s="210"/>
      <c r="QAC106" s="209"/>
      <c r="QAD106" s="204"/>
      <c r="QAE106" s="204"/>
      <c r="QAF106" s="204"/>
      <c r="QAG106" s="199"/>
      <c r="QAH106" s="167"/>
      <c r="QAI106" s="199"/>
      <c r="QAJ106" s="200"/>
      <c r="QAK106" s="201"/>
      <c r="QAL106" s="202"/>
      <c r="QAM106" s="202"/>
      <c r="QAN106" s="202"/>
      <c r="QAO106" s="202"/>
      <c r="QAP106" s="203"/>
      <c r="QAQ106" s="204"/>
      <c r="QAR106" s="204"/>
      <c r="QAS106" s="204"/>
      <c r="QAT106" s="205"/>
      <c r="QAU106" s="206"/>
      <c r="QAV106" s="207"/>
      <c r="QAW106" s="207"/>
      <c r="QAX106" s="208"/>
      <c r="QAY106" s="209"/>
      <c r="QAZ106" s="207"/>
      <c r="QBA106" s="210"/>
      <c r="QBB106" s="209"/>
      <c r="QBC106" s="204"/>
      <c r="QBD106" s="204"/>
      <c r="QBE106" s="204"/>
      <c r="QBF106" s="199"/>
      <c r="QBG106" s="167"/>
      <c r="QBH106" s="199"/>
      <c r="QBI106" s="200"/>
      <c r="QBJ106" s="201"/>
      <c r="QBK106" s="202"/>
      <c r="QBL106" s="202"/>
      <c r="QBM106" s="202"/>
      <c r="QBN106" s="202"/>
      <c r="QBO106" s="203"/>
      <c r="QBP106" s="204"/>
      <c r="QBQ106" s="204"/>
      <c r="QBR106" s="204"/>
      <c r="QBS106" s="205"/>
      <c r="QBT106" s="206"/>
      <c r="QBU106" s="207"/>
      <c r="QBV106" s="207"/>
      <c r="QBW106" s="208"/>
      <c r="QBX106" s="209"/>
      <c r="QBY106" s="207"/>
      <c r="QBZ106" s="210"/>
      <c r="QCA106" s="209"/>
      <c r="QCB106" s="204"/>
      <c r="QCC106" s="204"/>
      <c r="QCD106" s="204"/>
      <c r="QCE106" s="199"/>
      <c r="QCF106" s="167"/>
      <c r="QCG106" s="199"/>
      <c r="QCH106" s="200"/>
      <c r="QCI106" s="201"/>
      <c r="QCJ106" s="202"/>
      <c r="QCK106" s="202"/>
      <c r="QCL106" s="202"/>
      <c r="QCM106" s="202"/>
      <c r="QCN106" s="203"/>
      <c r="QCO106" s="204"/>
      <c r="QCP106" s="204"/>
      <c r="QCQ106" s="204"/>
      <c r="QCR106" s="205"/>
      <c r="QCS106" s="206"/>
      <c r="QCT106" s="207"/>
      <c r="QCU106" s="207"/>
      <c r="QCV106" s="208"/>
      <c r="QCW106" s="209"/>
      <c r="QCX106" s="207"/>
      <c r="QCY106" s="210"/>
      <c r="QCZ106" s="209"/>
      <c r="QDA106" s="204"/>
      <c r="QDB106" s="204"/>
      <c r="QDC106" s="204"/>
      <c r="QDD106" s="199"/>
      <c r="QDE106" s="167"/>
      <c r="QDF106" s="199"/>
      <c r="QDG106" s="200"/>
      <c r="QDH106" s="201"/>
      <c r="QDI106" s="202"/>
      <c r="QDJ106" s="202"/>
      <c r="QDK106" s="202"/>
      <c r="QDL106" s="202"/>
      <c r="QDM106" s="203"/>
      <c r="QDN106" s="204"/>
      <c r="QDO106" s="204"/>
      <c r="QDP106" s="204"/>
      <c r="QDQ106" s="205"/>
      <c r="QDR106" s="206"/>
      <c r="QDS106" s="207"/>
      <c r="QDT106" s="207"/>
      <c r="QDU106" s="208"/>
      <c r="QDV106" s="209"/>
      <c r="QDW106" s="207"/>
      <c r="QDX106" s="210"/>
      <c r="QDY106" s="209"/>
      <c r="QDZ106" s="204"/>
      <c r="QEA106" s="204"/>
      <c r="QEB106" s="204"/>
      <c r="QEC106" s="199"/>
      <c r="QED106" s="167"/>
      <c r="QEE106" s="199"/>
      <c r="QEF106" s="200"/>
      <c r="QEG106" s="201"/>
      <c r="QEH106" s="202"/>
      <c r="QEI106" s="202"/>
      <c r="QEJ106" s="202"/>
      <c r="QEK106" s="202"/>
      <c r="QEL106" s="203"/>
      <c r="QEM106" s="204"/>
      <c r="QEN106" s="204"/>
      <c r="QEO106" s="204"/>
      <c r="QEP106" s="205"/>
      <c r="QEQ106" s="206"/>
      <c r="QER106" s="207"/>
      <c r="QES106" s="207"/>
      <c r="QET106" s="208"/>
      <c r="QEU106" s="209"/>
      <c r="QEV106" s="207"/>
      <c r="QEW106" s="210"/>
      <c r="QEX106" s="209"/>
      <c r="QEY106" s="204"/>
      <c r="QEZ106" s="204"/>
      <c r="QFA106" s="204"/>
      <c r="QFB106" s="199"/>
      <c r="QFC106" s="167"/>
      <c r="QFD106" s="199"/>
      <c r="QFE106" s="200"/>
      <c r="QFF106" s="201"/>
      <c r="QFG106" s="202"/>
      <c r="QFH106" s="202"/>
      <c r="QFI106" s="202"/>
      <c r="QFJ106" s="202"/>
      <c r="QFK106" s="203"/>
      <c r="QFL106" s="204"/>
      <c r="QFM106" s="204"/>
      <c r="QFN106" s="204"/>
      <c r="QFO106" s="205"/>
      <c r="QFP106" s="206"/>
      <c r="QFQ106" s="207"/>
      <c r="QFR106" s="207"/>
      <c r="QFS106" s="208"/>
      <c r="QFT106" s="209"/>
      <c r="QFU106" s="207"/>
      <c r="QFV106" s="210"/>
      <c r="QFW106" s="209"/>
      <c r="QFX106" s="204"/>
      <c r="QFY106" s="204"/>
      <c r="QFZ106" s="204"/>
      <c r="QGA106" s="199"/>
      <c r="QGB106" s="167"/>
      <c r="QGC106" s="199"/>
      <c r="QGD106" s="200"/>
      <c r="QGE106" s="201"/>
      <c r="QGF106" s="202"/>
      <c r="QGG106" s="202"/>
      <c r="QGH106" s="202"/>
      <c r="QGI106" s="202"/>
      <c r="QGJ106" s="203"/>
      <c r="QGK106" s="204"/>
      <c r="QGL106" s="204"/>
      <c r="QGM106" s="204"/>
      <c r="QGN106" s="205"/>
      <c r="QGO106" s="206"/>
      <c r="QGP106" s="207"/>
      <c r="QGQ106" s="207"/>
      <c r="QGR106" s="208"/>
      <c r="QGS106" s="209"/>
      <c r="QGT106" s="207"/>
      <c r="QGU106" s="210"/>
      <c r="QGV106" s="209"/>
      <c r="QGW106" s="204"/>
      <c r="QGX106" s="204"/>
      <c r="QGY106" s="204"/>
      <c r="QGZ106" s="199"/>
      <c r="QHA106" s="167"/>
      <c r="QHB106" s="199"/>
      <c r="QHC106" s="200"/>
      <c r="QHD106" s="201"/>
      <c r="QHE106" s="202"/>
      <c r="QHF106" s="202"/>
      <c r="QHG106" s="202"/>
      <c r="QHH106" s="202"/>
      <c r="QHI106" s="203"/>
      <c r="QHJ106" s="204"/>
      <c r="QHK106" s="204"/>
      <c r="QHL106" s="204"/>
      <c r="QHM106" s="205"/>
      <c r="QHN106" s="206"/>
      <c r="QHO106" s="207"/>
      <c r="QHP106" s="207"/>
      <c r="QHQ106" s="208"/>
      <c r="QHR106" s="209"/>
      <c r="QHS106" s="207"/>
      <c r="QHT106" s="210"/>
      <c r="QHU106" s="209"/>
      <c r="QHV106" s="204"/>
      <c r="QHW106" s="204"/>
      <c r="QHX106" s="204"/>
      <c r="QHY106" s="199"/>
      <c r="QHZ106" s="167"/>
      <c r="QIA106" s="199"/>
      <c r="QIB106" s="200"/>
      <c r="QIC106" s="201"/>
      <c r="QID106" s="202"/>
      <c r="QIE106" s="202"/>
      <c r="QIF106" s="202"/>
      <c r="QIG106" s="202"/>
      <c r="QIH106" s="203"/>
      <c r="QII106" s="204"/>
      <c r="QIJ106" s="204"/>
      <c r="QIK106" s="204"/>
      <c r="QIL106" s="205"/>
      <c r="QIM106" s="206"/>
      <c r="QIN106" s="207"/>
      <c r="QIO106" s="207"/>
      <c r="QIP106" s="208"/>
      <c r="QIQ106" s="209"/>
      <c r="QIR106" s="207"/>
      <c r="QIS106" s="210"/>
      <c r="QIT106" s="209"/>
      <c r="QIU106" s="204"/>
      <c r="QIV106" s="204"/>
      <c r="QIW106" s="204"/>
      <c r="QIX106" s="199"/>
      <c r="QIY106" s="167"/>
      <c r="QIZ106" s="199"/>
      <c r="QJA106" s="200"/>
      <c r="QJB106" s="201"/>
      <c r="QJC106" s="202"/>
      <c r="QJD106" s="202"/>
      <c r="QJE106" s="202"/>
      <c r="QJF106" s="202"/>
      <c r="QJG106" s="203"/>
      <c r="QJH106" s="204"/>
      <c r="QJI106" s="204"/>
      <c r="QJJ106" s="204"/>
      <c r="QJK106" s="205"/>
      <c r="QJL106" s="206"/>
      <c r="QJM106" s="207"/>
      <c r="QJN106" s="207"/>
      <c r="QJO106" s="208"/>
      <c r="QJP106" s="209"/>
      <c r="QJQ106" s="207"/>
      <c r="QJR106" s="210"/>
      <c r="QJS106" s="209"/>
      <c r="QJT106" s="204"/>
      <c r="QJU106" s="204"/>
      <c r="QJV106" s="204"/>
      <c r="QJW106" s="199"/>
      <c r="QJX106" s="167"/>
      <c r="QJY106" s="199"/>
      <c r="QJZ106" s="200"/>
      <c r="QKA106" s="201"/>
      <c r="QKB106" s="202"/>
      <c r="QKC106" s="202"/>
      <c r="QKD106" s="202"/>
      <c r="QKE106" s="202"/>
      <c r="QKF106" s="203"/>
      <c r="QKG106" s="204"/>
      <c r="QKH106" s="204"/>
      <c r="QKI106" s="204"/>
      <c r="QKJ106" s="205"/>
      <c r="QKK106" s="206"/>
      <c r="QKL106" s="207"/>
      <c r="QKM106" s="207"/>
      <c r="QKN106" s="208"/>
      <c r="QKO106" s="209"/>
      <c r="QKP106" s="207"/>
      <c r="QKQ106" s="210"/>
      <c r="QKR106" s="209"/>
      <c r="QKS106" s="204"/>
      <c r="QKT106" s="204"/>
      <c r="QKU106" s="204"/>
      <c r="QKV106" s="199"/>
      <c r="QKW106" s="167"/>
      <c r="QKX106" s="199"/>
      <c r="QKY106" s="200"/>
      <c r="QKZ106" s="201"/>
      <c r="QLA106" s="202"/>
      <c r="QLB106" s="202"/>
      <c r="QLC106" s="202"/>
      <c r="QLD106" s="202"/>
      <c r="QLE106" s="203"/>
      <c r="QLF106" s="204"/>
      <c r="QLG106" s="204"/>
      <c r="QLH106" s="204"/>
      <c r="QLI106" s="205"/>
      <c r="QLJ106" s="206"/>
      <c r="QLK106" s="207"/>
      <c r="QLL106" s="207"/>
      <c r="QLM106" s="208"/>
      <c r="QLN106" s="209"/>
      <c r="QLO106" s="207"/>
      <c r="QLP106" s="210"/>
      <c r="QLQ106" s="209"/>
      <c r="QLR106" s="204"/>
      <c r="QLS106" s="204"/>
      <c r="QLT106" s="204"/>
      <c r="QLU106" s="199"/>
      <c r="QLV106" s="167"/>
      <c r="QLW106" s="199"/>
      <c r="QLX106" s="200"/>
      <c r="QLY106" s="201"/>
      <c r="QLZ106" s="202"/>
      <c r="QMA106" s="202"/>
      <c r="QMB106" s="202"/>
      <c r="QMC106" s="202"/>
      <c r="QMD106" s="203"/>
      <c r="QME106" s="204"/>
      <c r="QMF106" s="204"/>
      <c r="QMG106" s="204"/>
      <c r="QMH106" s="205"/>
      <c r="QMI106" s="206"/>
      <c r="QMJ106" s="207"/>
      <c r="QMK106" s="207"/>
      <c r="QML106" s="208"/>
      <c r="QMM106" s="209"/>
      <c r="QMN106" s="207"/>
      <c r="QMO106" s="210"/>
      <c r="QMP106" s="209"/>
      <c r="QMQ106" s="204"/>
      <c r="QMR106" s="204"/>
      <c r="QMS106" s="204"/>
      <c r="QMT106" s="199"/>
      <c r="QMU106" s="167"/>
      <c r="QMV106" s="199"/>
      <c r="QMW106" s="200"/>
      <c r="QMX106" s="201"/>
      <c r="QMY106" s="202"/>
      <c r="QMZ106" s="202"/>
      <c r="QNA106" s="202"/>
      <c r="QNB106" s="202"/>
      <c r="QNC106" s="203"/>
      <c r="QND106" s="204"/>
      <c r="QNE106" s="204"/>
      <c r="QNF106" s="204"/>
      <c r="QNG106" s="205"/>
      <c r="QNH106" s="206"/>
      <c r="QNI106" s="207"/>
      <c r="QNJ106" s="207"/>
      <c r="QNK106" s="208"/>
      <c r="QNL106" s="209"/>
      <c r="QNM106" s="207"/>
      <c r="QNN106" s="210"/>
      <c r="QNO106" s="209"/>
      <c r="QNP106" s="204"/>
      <c r="QNQ106" s="204"/>
      <c r="QNR106" s="204"/>
      <c r="QNS106" s="199"/>
      <c r="QNT106" s="167"/>
      <c r="QNU106" s="199"/>
      <c r="QNV106" s="200"/>
      <c r="QNW106" s="201"/>
      <c r="QNX106" s="202"/>
      <c r="QNY106" s="202"/>
      <c r="QNZ106" s="202"/>
      <c r="QOA106" s="202"/>
      <c r="QOB106" s="203"/>
      <c r="QOC106" s="204"/>
      <c r="QOD106" s="204"/>
      <c r="QOE106" s="204"/>
      <c r="QOF106" s="205"/>
      <c r="QOG106" s="206"/>
      <c r="QOH106" s="207"/>
      <c r="QOI106" s="207"/>
      <c r="QOJ106" s="208"/>
      <c r="QOK106" s="209"/>
      <c r="QOL106" s="207"/>
      <c r="QOM106" s="210"/>
      <c r="QON106" s="209"/>
      <c r="QOO106" s="204"/>
      <c r="QOP106" s="204"/>
      <c r="QOQ106" s="204"/>
      <c r="QOR106" s="199"/>
      <c r="QOS106" s="167"/>
      <c r="QOT106" s="199"/>
      <c r="QOU106" s="200"/>
      <c r="QOV106" s="201"/>
      <c r="QOW106" s="202"/>
      <c r="QOX106" s="202"/>
      <c r="QOY106" s="202"/>
      <c r="QOZ106" s="202"/>
      <c r="QPA106" s="203"/>
      <c r="QPB106" s="204"/>
      <c r="QPC106" s="204"/>
      <c r="QPD106" s="204"/>
      <c r="QPE106" s="205"/>
      <c r="QPF106" s="206"/>
      <c r="QPG106" s="207"/>
      <c r="QPH106" s="207"/>
      <c r="QPI106" s="208"/>
      <c r="QPJ106" s="209"/>
      <c r="QPK106" s="207"/>
      <c r="QPL106" s="210"/>
      <c r="QPM106" s="209"/>
      <c r="QPN106" s="204"/>
      <c r="QPO106" s="204"/>
      <c r="QPP106" s="204"/>
      <c r="QPQ106" s="199"/>
      <c r="QPR106" s="167"/>
      <c r="QPS106" s="199"/>
      <c r="QPT106" s="200"/>
      <c r="QPU106" s="201"/>
      <c r="QPV106" s="202"/>
      <c r="QPW106" s="202"/>
      <c r="QPX106" s="202"/>
      <c r="QPY106" s="202"/>
      <c r="QPZ106" s="203"/>
      <c r="QQA106" s="204"/>
      <c r="QQB106" s="204"/>
      <c r="QQC106" s="204"/>
      <c r="QQD106" s="205"/>
      <c r="QQE106" s="206"/>
      <c r="QQF106" s="207"/>
      <c r="QQG106" s="207"/>
      <c r="QQH106" s="208"/>
      <c r="QQI106" s="209"/>
      <c r="QQJ106" s="207"/>
      <c r="QQK106" s="210"/>
      <c r="QQL106" s="209"/>
      <c r="QQM106" s="204"/>
      <c r="QQN106" s="204"/>
      <c r="QQO106" s="204"/>
      <c r="QQP106" s="199"/>
      <c r="QQQ106" s="167"/>
      <c r="QQR106" s="199"/>
      <c r="QQS106" s="200"/>
      <c r="QQT106" s="201"/>
      <c r="QQU106" s="202"/>
      <c r="QQV106" s="202"/>
      <c r="QQW106" s="202"/>
      <c r="QQX106" s="202"/>
      <c r="QQY106" s="203"/>
      <c r="QQZ106" s="204"/>
      <c r="QRA106" s="204"/>
      <c r="QRB106" s="204"/>
      <c r="QRC106" s="205"/>
      <c r="QRD106" s="206"/>
      <c r="QRE106" s="207"/>
      <c r="QRF106" s="207"/>
      <c r="QRG106" s="208"/>
      <c r="QRH106" s="209"/>
      <c r="QRI106" s="207"/>
      <c r="QRJ106" s="210"/>
      <c r="QRK106" s="209"/>
      <c r="QRL106" s="204"/>
      <c r="QRM106" s="204"/>
      <c r="QRN106" s="204"/>
      <c r="QRO106" s="199"/>
      <c r="QRP106" s="167"/>
      <c r="QRQ106" s="199"/>
      <c r="QRR106" s="200"/>
      <c r="QRS106" s="201"/>
      <c r="QRT106" s="202"/>
      <c r="QRU106" s="202"/>
      <c r="QRV106" s="202"/>
      <c r="QRW106" s="202"/>
      <c r="QRX106" s="203"/>
      <c r="QRY106" s="204"/>
      <c r="QRZ106" s="204"/>
      <c r="QSA106" s="204"/>
      <c r="QSB106" s="205"/>
      <c r="QSC106" s="206"/>
      <c r="QSD106" s="207"/>
      <c r="QSE106" s="207"/>
      <c r="QSF106" s="208"/>
      <c r="QSG106" s="209"/>
      <c r="QSH106" s="207"/>
      <c r="QSI106" s="210"/>
      <c r="QSJ106" s="209"/>
      <c r="QSK106" s="204"/>
      <c r="QSL106" s="204"/>
      <c r="QSM106" s="204"/>
      <c r="QSN106" s="199"/>
      <c r="QSO106" s="167"/>
      <c r="QSP106" s="199"/>
      <c r="QSQ106" s="200"/>
      <c r="QSR106" s="201"/>
      <c r="QSS106" s="202"/>
      <c r="QST106" s="202"/>
      <c r="QSU106" s="202"/>
      <c r="QSV106" s="202"/>
      <c r="QSW106" s="203"/>
      <c r="QSX106" s="204"/>
      <c r="QSY106" s="204"/>
      <c r="QSZ106" s="204"/>
      <c r="QTA106" s="205"/>
      <c r="QTB106" s="206"/>
      <c r="QTC106" s="207"/>
      <c r="QTD106" s="207"/>
      <c r="QTE106" s="208"/>
      <c r="QTF106" s="209"/>
      <c r="QTG106" s="207"/>
      <c r="QTH106" s="210"/>
      <c r="QTI106" s="209"/>
      <c r="QTJ106" s="204"/>
      <c r="QTK106" s="204"/>
      <c r="QTL106" s="204"/>
      <c r="QTM106" s="199"/>
      <c r="QTN106" s="167"/>
      <c r="QTO106" s="199"/>
      <c r="QTP106" s="200"/>
      <c r="QTQ106" s="201"/>
      <c r="QTR106" s="202"/>
      <c r="QTS106" s="202"/>
      <c r="QTT106" s="202"/>
      <c r="QTU106" s="202"/>
      <c r="QTV106" s="203"/>
      <c r="QTW106" s="204"/>
      <c r="QTX106" s="204"/>
      <c r="QTY106" s="204"/>
      <c r="QTZ106" s="205"/>
      <c r="QUA106" s="206"/>
      <c r="QUB106" s="207"/>
      <c r="QUC106" s="207"/>
      <c r="QUD106" s="208"/>
      <c r="QUE106" s="209"/>
      <c r="QUF106" s="207"/>
      <c r="QUG106" s="210"/>
      <c r="QUH106" s="209"/>
      <c r="QUI106" s="204"/>
      <c r="QUJ106" s="204"/>
      <c r="QUK106" s="204"/>
      <c r="QUL106" s="199"/>
      <c r="QUM106" s="167"/>
      <c r="QUN106" s="199"/>
      <c r="QUO106" s="200"/>
      <c r="QUP106" s="201"/>
      <c r="QUQ106" s="202"/>
      <c r="QUR106" s="202"/>
      <c r="QUS106" s="202"/>
      <c r="QUT106" s="202"/>
      <c r="QUU106" s="203"/>
      <c r="QUV106" s="204"/>
      <c r="QUW106" s="204"/>
      <c r="QUX106" s="204"/>
      <c r="QUY106" s="205"/>
      <c r="QUZ106" s="206"/>
      <c r="QVA106" s="207"/>
      <c r="QVB106" s="207"/>
      <c r="QVC106" s="208"/>
      <c r="QVD106" s="209"/>
      <c r="QVE106" s="207"/>
      <c r="QVF106" s="210"/>
      <c r="QVG106" s="209"/>
      <c r="QVH106" s="204"/>
      <c r="QVI106" s="204"/>
      <c r="QVJ106" s="204"/>
      <c r="QVK106" s="199"/>
      <c r="QVL106" s="167"/>
      <c r="QVM106" s="199"/>
      <c r="QVN106" s="200"/>
      <c r="QVO106" s="201"/>
      <c r="QVP106" s="202"/>
      <c r="QVQ106" s="202"/>
      <c r="QVR106" s="202"/>
      <c r="QVS106" s="202"/>
      <c r="QVT106" s="203"/>
      <c r="QVU106" s="204"/>
      <c r="QVV106" s="204"/>
      <c r="QVW106" s="204"/>
      <c r="QVX106" s="205"/>
      <c r="QVY106" s="206"/>
      <c r="QVZ106" s="207"/>
      <c r="QWA106" s="207"/>
      <c r="QWB106" s="208"/>
      <c r="QWC106" s="209"/>
      <c r="QWD106" s="207"/>
      <c r="QWE106" s="210"/>
      <c r="QWF106" s="209"/>
      <c r="QWG106" s="204"/>
      <c r="QWH106" s="204"/>
      <c r="QWI106" s="204"/>
      <c r="QWJ106" s="199"/>
      <c r="QWK106" s="167"/>
      <c r="QWL106" s="199"/>
      <c r="QWM106" s="200"/>
      <c r="QWN106" s="201"/>
      <c r="QWO106" s="202"/>
      <c r="QWP106" s="202"/>
      <c r="QWQ106" s="202"/>
      <c r="QWR106" s="202"/>
      <c r="QWS106" s="203"/>
      <c r="QWT106" s="204"/>
      <c r="QWU106" s="204"/>
      <c r="QWV106" s="204"/>
      <c r="QWW106" s="205"/>
      <c r="QWX106" s="206"/>
      <c r="QWY106" s="207"/>
      <c r="QWZ106" s="207"/>
      <c r="QXA106" s="208"/>
      <c r="QXB106" s="209"/>
      <c r="QXC106" s="207"/>
      <c r="QXD106" s="210"/>
      <c r="QXE106" s="209"/>
      <c r="QXF106" s="204"/>
      <c r="QXG106" s="204"/>
      <c r="QXH106" s="204"/>
      <c r="QXI106" s="199"/>
      <c r="QXJ106" s="167"/>
      <c r="QXK106" s="199"/>
      <c r="QXL106" s="200"/>
      <c r="QXM106" s="201"/>
      <c r="QXN106" s="202"/>
      <c r="QXO106" s="202"/>
      <c r="QXP106" s="202"/>
      <c r="QXQ106" s="202"/>
      <c r="QXR106" s="203"/>
      <c r="QXS106" s="204"/>
      <c r="QXT106" s="204"/>
      <c r="QXU106" s="204"/>
      <c r="QXV106" s="205"/>
      <c r="QXW106" s="206"/>
      <c r="QXX106" s="207"/>
      <c r="QXY106" s="207"/>
      <c r="QXZ106" s="208"/>
      <c r="QYA106" s="209"/>
      <c r="QYB106" s="207"/>
      <c r="QYC106" s="210"/>
      <c r="QYD106" s="209"/>
      <c r="QYE106" s="204"/>
      <c r="QYF106" s="204"/>
      <c r="QYG106" s="204"/>
      <c r="QYH106" s="199"/>
      <c r="QYI106" s="167"/>
      <c r="QYJ106" s="199"/>
      <c r="QYK106" s="200"/>
      <c r="QYL106" s="201"/>
      <c r="QYM106" s="202"/>
      <c r="QYN106" s="202"/>
      <c r="QYO106" s="202"/>
      <c r="QYP106" s="202"/>
      <c r="QYQ106" s="203"/>
      <c r="QYR106" s="204"/>
      <c r="QYS106" s="204"/>
      <c r="QYT106" s="204"/>
      <c r="QYU106" s="205"/>
      <c r="QYV106" s="206"/>
      <c r="QYW106" s="207"/>
      <c r="QYX106" s="207"/>
      <c r="QYY106" s="208"/>
      <c r="QYZ106" s="209"/>
      <c r="QZA106" s="207"/>
      <c r="QZB106" s="210"/>
      <c r="QZC106" s="209"/>
      <c r="QZD106" s="204"/>
      <c r="QZE106" s="204"/>
      <c r="QZF106" s="204"/>
      <c r="QZG106" s="199"/>
      <c r="QZH106" s="167"/>
      <c r="QZI106" s="199"/>
      <c r="QZJ106" s="200"/>
      <c r="QZK106" s="201"/>
      <c r="QZL106" s="202"/>
      <c r="QZM106" s="202"/>
      <c r="QZN106" s="202"/>
      <c r="QZO106" s="202"/>
      <c r="QZP106" s="203"/>
      <c r="QZQ106" s="204"/>
      <c r="QZR106" s="204"/>
      <c r="QZS106" s="204"/>
      <c r="QZT106" s="205"/>
      <c r="QZU106" s="206"/>
      <c r="QZV106" s="207"/>
      <c r="QZW106" s="207"/>
      <c r="QZX106" s="208"/>
      <c r="QZY106" s="209"/>
      <c r="QZZ106" s="207"/>
      <c r="RAA106" s="210"/>
      <c r="RAB106" s="209"/>
      <c r="RAC106" s="204"/>
      <c r="RAD106" s="204"/>
      <c r="RAE106" s="204"/>
      <c r="RAF106" s="199"/>
      <c r="RAG106" s="167"/>
      <c r="RAH106" s="199"/>
      <c r="RAI106" s="200"/>
      <c r="RAJ106" s="201"/>
      <c r="RAK106" s="202"/>
      <c r="RAL106" s="202"/>
      <c r="RAM106" s="202"/>
      <c r="RAN106" s="202"/>
      <c r="RAO106" s="203"/>
      <c r="RAP106" s="204"/>
      <c r="RAQ106" s="204"/>
      <c r="RAR106" s="204"/>
      <c r="RAS106" s="205"/>
      <c r="RAT106" s="206"/>
      <c r="RAU106" s="207"/>
      <c r="RAV106" s="207"/>
      <c r="RAW106" s="208"/>
      <c r="RAX106" s="209"/>
      <c r="RAY106" s="207"/>
      <c r="RAZ106" s="210"/>
      <c r="RBA106" s="209"/>
      <c r="RBB106" s="204"/>
      <c r="RBC106" s="204"/>
      <c r="RBD106" s="204"/>
      <c r="RBE106" s="199"/>
      <c r="RBF106" s="167"/>
      <c r="RBG106" s="199"/>
      <c r="RBH106" s="200"/>
      <c r="RBI106" s="201"/>
      <c r="RBJ106" s="202"/>
      <c r="RBK106" s="202"/>
      <c r="RBL106" s="202"/>
      <c r="RBM106" s="202"/>
      <c r="RBN106" s="203"/>
      <c r="RBO106" s="204"/>
      <c r="RBP106" s="204"/>
      <c r="RBQ106" s="204"/>
      <c r="RBR106" s="205"/>
      <c r="RBS106" s="206"/>
      <c r="RBT106" s="207"/>
      <c r="RBU106" s="207"/>
      <c r="RBV106" s="208"/>
      <c r="RBW106" s="209"/>
      <c r="RBX106" s="207"/>
      <c r="RBY106" s="210"/>
      <c r="RBZ106" s="209"/>
      <c r="RCA106" s="204"/>
      <c r="RCB106" s="204"/>
      <c r="RCC106" s="204"/>
      <c r="RCD106" s="199"/>
      <c r="RCE106" s="167"/>
      <c r="RCF106" s="199"/>
      <c r="RCG106" s="200"/>
      <c r="RCH106" s="201"/>
      <c r="RCI106" s="202"/>
      <c r="RCJ106" s="202"/>
      <c r="RCK106" s="202"/>
      <c r="RCL106" s="202"/>
      <c r="RCM106" s="203"/>
      <c r="RCN106" s="204"/>
      <c r="RCO106" s="204"/>
      <c r="RCP106" s="204"/>
      <c r="RCQ106" s="205"/>
      <c r="RCR106" s="206"/>
      <c r="RCS106" s="207"/>
      <c r="RCT106" s="207"/>
      <c r="RCU106" s="208"/>
      <c r="RCV106" s="209"/>
      <c r="RCW106" s="207"/>
      <c r="RCX106" s="210"/>
      <c r="RCY106" s="209"/>
      <c r="RCZ106" s="204"/>
      <c r="RDA106" s="204"/>
      <c r="RDB106" s="204"/>
      <c r="RDC106" s="199"/>
      <c r="RDD106" s="167"/>
      <c r="RDE106" s="199"/>
      <c r="RDF106" s="200"/>
      <c r="RDG106" s="201"/>
      <c r="RDH106" s="202"/>
      <c r="RDI106" s="202"/>
      <c r="RDJ106" s="202"/>
      <c r="RDK106" s="202"/>
      <c r="RDL106" s="203"/>
      <c r="RDM106" s="204"/>
      <c r="RDN106" s="204"/>
      <c r="RDO106" s="204"/>
      <c r="RDP106" s="205"/>
      <c r="RDQ106" s="206"/>
      <c r="RDR106" s="207"/>
      <c r="RDS106" s="207"/>
      <c r="RDT106" s="208"/>
      <c r="RDU106" s="209"/>
      <c r="RDV106" s="207"/>
      <c r="RDW106" s="210"/>
      <c r="RDX106" s="209"/>
      <c r="RDY106" s="204"/>
      <c r="RDZ106" s="204"/>
      <c r="REA106" s="204"/>
      <c r="REB106" s="199"/>
      <c r="REC106" s="167"/>
      <c r="RED106" s="199"/>
      <c r="REE106" s="200"/>
      <c r="REF106" s="201"/>
      <c r="REG106" s="202"/>
      <c r="REH106" s="202"/>
      <c r="REI106" s="202"/>
      <c r="REJ106" s="202"/>
      <c r="REK106" s="203"/>
      <c r="REL106" s="204"/>
      <c r="REM106" s="204"/>
      <c r="REN106" s="204"/>
      <c r="REO106" s="205"/>
      <c r="REP106" s="206"/>
      <c r="REQ106" s="207"/>
      <c r="RER106" s="207"/>
      <c r="RES106" s="208"/>
      <c r="RET106" s="209"/>
      <c r="REU106" s="207"/>
      <c r="REV106" s="210"/>
      <c r="REW106" s="209"/>
      <c r="REX106" s="204"/>
      <c r="REY106" s="204"/>
      <c r="REZ106" s="204"/>
      <c r="RFA106" s="199"/>
      <c r="RFB106" s="167"/>
      <c r="RFC106" s="199"/>
      <c r="RFD106" s="200"/>
      <c r="RFE106" s="201"/>
      <c r="RFF106" s="202"/>
      <c r="RFG106" s="202"/>
      <c r="RFH106" s="202"/>
      <c r="RFI106" s="202"/>
      <c r="RFJ106" s="203"/>
      <c r="RFK106" s="204"/>
      <c r="RFL106" s="204"/>
      <c r="RFM106" s="204"/>
      <c r="RFN106" s="205"/>
      <c r="RFO106" s="206"/>
      <c r="RFP106" s="207"/>
      <c r="RFQ106" s="207"/>
      <c r="RFR106" s="208"/>
      <c r="RFS106" s="209"/>
      <c r="RFT106" s="207"/>
      <c r="RFU106" s="210"/>
      <c r="RFV106" s="209"/>
      <c r="RFW106" s="204"/>
      <c r="RFX106" s="204"/>
      <c r="RFY106" s="204"/>
      <c r="RFZ106" s="199"/>
      <c r="RGA106" s="167"/>
      <c r="RGB106" s="199"/>
      <c r="RGC106" s="200"/>
      <c r="RGD106" s="201"/>
      <c r="RGE106" s="202"/>
      <c r="RGF106" s="202"/>
      <c r="RGG106" s="202"/>
      <c r="RGH106" s="202"/>
      <c r="RGI106" s="203"/>
      <c r="RGJ106" s="204"/>
      <c r="RGK106" s="204"/>
      <c r="RGL106" s="204"/>
      <c r="RGM106" s="205"/>
      <c r="RGN106" s="206"/>
      <c r="RGO106" s="207"/>
      <c r="RGP106" s="207"/>
      <c r="RGQ106" s="208"/>
      <c r="RGR106" s="209"/>
      <c r="RGS106" s="207"/>
      <c r="RGT106" s="210"/>
      <c r="RGU106" s="209"/>
      <c r="RGV106" s="204"/>
      <c r="RGW106" s="204"/>
      <c r="RGX106" s="204"/>
      <c r="RGY106" s="199"/>
      <c r="RGZ106" s="167"/>
      <c r="RHA106" s="199"/>
      <c r="RHB106" s="200"/>
      <c r="RHC106" s="201"/>
      <c r="RHD106" s="202"/>
      <c r="RHE106" s="202"/>
      <c r="RHF106" s="202"/>
      <c r="RHG106" s="202"/>
      <c r="RHH106" s="203"/>
      <c r="RHI106" s="204"/>
      <c r="RHJ106" s="204"/>
      <c r="RHK106" s="204"/>
      <c r="RHL106" s="205"/>
      <c r="RHM106" s="206"/>
      <c r="RHN106" s="207"/>
      <c r="RHO106" s="207"/>
      <c r="RHP106" s="208"/>
      <c r="RHQ106" s="209"/>
      <c r="RHR106" s="207"/>
      <c r="RHS106" s="210"/>
      <c r="RHT106" s="209"/>
      <c r="RHU106" s="204"/>
      <c r="RHV106" s="204"/>
      <c r="RHW106" s="204"/>
      <c r="RHX106" s="199"/>
      <c r="RHY106" s="167"/>
      <c r="RHZ106" s="199"/>
      <c r="RIA106" s="200"/>
      <c r="RIB106" s="201"/>
      <c r="RIC106" s="202"/>
      <c r="RID106" s="202"/>
      <c r="RIE106" s="202"/>
      <c r="RIF106" s="202"/>
      <c r="RIG106" s="203"/>
      <c r="RIH106" s="204"/>
      <c r="RII106" s="204"/>
      <c r="RIJ106" s="204"/>
      <c r="RIK106" s="205"/>
      <c r="RIL106" s="206"/>
      <c r="RIM106" s="207"/>
      <c r="RIN106" s="207"/>
      <c r="RIO106" s="208"/>
      <c r="RIP106" s="209"/>
      <c r="RIQ106" s="207"/>
      <c r="RIR106" s="210"/>
      <c r="RIS106" s="209"/>
      <c r="RIT106" s="204"/>
      <c r="RIU106" s="204"/>
      <c r="RIV106" s="204"/>
      <c r="RIW106" s="199"/>
      <c r="RIX106" s="167"/>
      <c r="RIY106" s="199"/>
      <c r="RIZ106" s="200"/>
      <c r="RJA106" s="201"/>
      <c r="RJB106" s="202"/>
      <c r="RJC106" s="202"/>
      <c r="RJD106" s="202"/>
      <c r="RJE106" s="202"/>
      <c r="RJF106" s="203"/>
      <c r="RJG106" s="204"/>
      <c r="RJH106" s="204"/>
      <c r="RJI106" s="204"/>
      <c r="RJJ106" s="205"/>
      <c r="RJK106" s="206"/>
      <c r="RJL106" s="207"/>
      <c r="RJM106" s="207"/>
      <c r="RJN106" s="208"/>
      <c r="RJO106" s="209"/>
      <c r="RJP106" s="207"/>
      <c r="RJQ106" s="210"/>
      <c r="RJR106" s="209"/>
      <c r="RJS106" s="204"/>
      <c r="RJT106" s="204"/>
      <c r="RJU106" s="204"/>
      <c r="RJV106" s="199"/>
      <c r="RJW106" s="167"/>
      <c r="RJX106" s="199"/>
      <c r="RJY106" s="200"/>
      <c r="RJZ106" s="201"/>
      <c r="RKA106" s="202"/>
      <c r="RKB106" s="202"/>
      <c r="RKC106" s="202"/>
      <c r="RKD106" s="202"/>
      <c r="RKE106" s="203"/>
      <c r="RKF106" s="204"/>
      <c r="RKG106" s="204"/>
      <c r="RKH106" s="204"/>
      <c r="RKI106" s="205"/>
      <c r="RKJ106" s="206"/>
      <c r="RKK106" s="207"/>
      <c r="RKL106" s="207"/>
      <c r="RKM106" s="208"/>
      <c r="RKN106" s="209"/>
      <c r="RKO106" s="207"/>
      <c r="RKP106" s="210"/>
      <c r="RKQ106" s="209"/>
      <c r="RKR106" s="204"/>
      <c r="RKS106" s="204"/>
      <c r="RKT106" s="204"/>
      <c r="RKU106" s="199"/>
      <c r="RKV106" s="167"/>
      <c r="RKW106" s="199"/>
      <c r="RKX106" s="200"/>
      <c r="RKY106" s="201"/>
      <c r="RKZ106" s="202"/>
      <c r="RLA106" s="202"/>
      <c r="RLB106" s="202"/>
      <c r="RLC106" s="202"/>
      <c r="RLD106" s="203"/>
      <c r="RLE106" s="204"/>
      <c r="RLF106" s="204"/>
      <c r="RLG106" s="204"/>
      <c r="RLH106" s="205"/>
      <c r="RLI106" s="206"/>
      <c r="RLJ106" s="207"/>
      <c r="RLK106" s="207"/>
      <c r="RLL106" s="208"/>
      <c r="RLM106" s="209"/>
      <c r="RLN106" s="207"/>
      <c r="RLO106" s="210"/>
      <c r="RLP106" s="209"/>
      <c r="RLQ106" s="204"/>
      <c r="RLR106" s="204"/>
      <c r="RLS106" s="204"/>
      <c r="RLT106" s="199"/>
      <c r="RLU106" s="167"/>
      <c r="RLV106" s="199"/>
      <c r="RLW106" s="200"/>
      <c r="RLX106" s="201"/>
      <c r="RLY106" s="202"/>
      <c r="RLZ106" s="202"/>
      <c r="RMA106" s="202"/>
      <c r="RMB106" s="202"/>
      <c r="RMC106" s="203"/>
      <c r="RMD106" s="204"/>
      <c r="RME106" s="204"/>
      <c r="RMF106" s="204"/>
      <c r="RMG106" s="205"/>
      <c r="RMH106" s="206"/>
      <c r="RMI106" s="207"/>
      <c r="RMJ106" s="207"/>
      <c r="RMK106" s="208"/>
      <c r="RML106" s="209"/>
      <c r="RMM106" s="207"/>
      <c r="RMN106" s="210"/>
      <c r="RMO106" s="209"/>
      <c r="RMP106" s="204"/>
      <c r="RMQ106" s="204"/>
      <c r="RMR106" s="204"/>
      <c r="RMS106" s="199"/>
      <c r="RMT106" s="167"/>
      <c r="RMU106" s="199"/>
      <c r="RMV106" s="200"/>
      <c r="RMW106" s="201"/>
      <c r="RMX106" s="202"/>
      <c r="RMY106" s="202"/>
      <c r="RMZ106" s="202"/>
      <c r="RNA106" s="202"/>
      <c r="RNB106" s="203"/>
      <c r="RNC106" s="204"/>
      <c r="RND106" s="204"/>
      <c r="RNE106" s="204"/>
      <c r="RNF106" s="205"/>
      <c r="RNG106" s="206"/>
      <c r="RNH106" s="207"/>
      <c r="RNI106" s="207"/>
      <c r="RNJ106" s="208"/>
      <c r="RNK106" s="209"/>
      <c r="RNL106" s="207"/>
      <c r="RNM106" s="210"/>
      <c r="RNN106" s="209"/>
      <c r="RNO106" s="204"/>
      <c r="RNP106" s="204"/>
      <c r="RNQ106" s="204"/>
      <c r="RNR106" s="199"/>
      <c r="RNS106" s="167"/>
      <c r="RNT106" s="199"/>
      <c r="RNU106" s="200"/>
      <c r="RNV106" s="201"/>
      <c r="RNW106" s="202"/>
      <c r="RNX106" s="202"/>
      <c r="RNY106" s="202"/>
      <c r="RNZ106" s="202"/>
      <c r="ROA106" s="203"/>
      <c r="ROB106" s="204"/>
      <c r="ROC106" s="204"/>
      <c r="ROD106" s="204"/>
      <c r="ROE106" s="205"/>
      <c r="ROF106" s="206"/>
      <c r="ROG106" s="207"/>
      <c r="ROH106" s="207"/>
      <c r="ROI106" s="208"/>
      <c r="ROJ106" s="209"/>
      <c r="ROK106" s="207"/>
      <c r="ROL106" s="210"/>
      <c r="ROM106" s="209"/>
      <c r="RON106" s="204"/>
      <c r="ROO106" s="204"/>
      <c r="ROP106" s="204"/>
      <c r="ROQ106" s="199"/>
      <c r="ROR106" s="167"/>
      <c r="ROS106" s="199"/>
      <c r="ROT106" s="200"/>
      <c r="ROU106" s="201"/>
      <c r="ROV106" s="202"/>
      <c r="ROW106" s="202"/>
      <c r="ROX106" s="202"/>
      <c r="ROY106" s="202"/>
      <c r="ROZ106" s="203"/>
      <c r="RPA106" s="204"/>
      <c r="RPB106" s="204"/>
      <c r="RPC106" s="204"/>
      <c r="RPD106" s="205"/>
      <c r="RPE106" s="206"/>
      <c r="RPF106" s="207"/>
      <c r="RPG106" s="207"/>
      <c r="RPH106" s="208"/>
      <c r="RPI106" s="209"/>
      <c r="RPJ106" s="207"/>
      <c r="RPK106" s="210"/>
      <c r="RPL106" s="209"/>
      <c r="RPM106" s="204"/>
      <c r="RPN106" s="204"/>
      <c r="RPO106" s="204"/>
      <c r="RPP106" s="199"/>
      <c r="RPQ106" s="167"/>
      <c r="RPR106" s="199"/>
      <c r="RPS106" s="200"/>
      <c r="RPT106" s="201"/>
      <c r="RPU106" s="202"/>
      <c r="RPV106" s="202"/>
      <c r="RPW106" s="202"/>
      <c r="RPX106" s="202"/>
      <c r="RPY106" s="203"/>
      <c r="RPZ106" s="204"/>
      <c r="RQA106" s="204"/>
      <c r="RQB106" s="204"/>
      <c r="RQC106" s="205"/>
      <c r="RQD106" s="206"/>
      <c r="RQE106" s="207"/>
      <c r="RQF106" s="207"/>
      <c r="RQG106" s="208"/>
      <c r="RQH106" s="209"/>
      <c r="RQI106" s="207"/>
      <c r="RQJ106" s="210"/>
      <c r="RQK106" s="209"/>
      <c r="RQL106" s="204"/>
      <c r="RQM106" s="204"/>
      <c r="RQN106" s="204"/>
      <c r="RQO106" s="199"/>
      <c r="RQP106" s="167"/>
      <c r="RQQ106" s="199"/>
      <c r="RQR106" s="200"/>
      <c r="RQS106" s="201"/>
      <c r="RQT106" s="202"/>
      <c r="RQU106" s="202"/>
      <c r="RQV106" s="202"/>
      <c r="RQW106" s="202"/>
      <c r="RQX106" s="203"/>
      <c r="RQY106" s="204"/>
      <c r="RQZ106" s="204"/>
      <c r="RRA106" s="204"/>
      <c r="RRB106" s="205"/>
      <c r="RRC106" s="206"/>
      <c r="RRD106" s="207"/>
      <c r="RRE106" s="207"/>
      <c r="RRF106" s="208"/>
      <c r="RRG106" s="209"/>
      <c r="RRH106" s="207"/>
      <c r="RRI106" s="210"/>
      <c r="RRJ106" s="209"/>
      <c r="RRK106" s="204"/>
      <c r="RRL106" s="204"/>
      <c r="RRM106" s="204"/>
      <c r="RRN106" s="199"/>
      <c r="RRO106" s="167"/>
      <c r="RRP106" s="199"/>
      <c r="RRQ106" s="200"/>
      <c r="RRR106" s="201"/>
      <c r="RRS106" s="202"/>
      <c r="RRT106" s="202"/>
      <c r="RRU106" s="202"/>
      <c r="RRV106" s="202"/>
      <c r="RRW106" s="203"/>
      <c r="RRX106" s="204"/>
      <c r="RRY106" s="204"/>
      <c r="RRZ106" s="204"/>
      <c r="RSA106" s="205"/>
      <c r="RSB106" s="206"/>
      <c r="RSC106" s="207"/>
      <c r="RSD106" s="207"/>
      <c r="RSE106" s="208"/>
      <c r="RSF106" s="209"/>
      <c r="RSG106" s="207"/>
      <c r="RSH106" s="210"/>
      <c r="RSI106" s="209"/>
      <c r="RSJ106" s="204"/>
      <c r="RSK106" s="204"/>
      <c r="RSL106" s="204"/>
      <c r="RSM106" s="199"/>
      <c r="RSN106" s="167"/>
      <c r="RSO106" s="199"/>
      <c r="RSP106" s="200"/>
      <c r="RSQ106" s="201"/>
      <c r="RSR106" s="202"/>
      <c r="RSS106" s="202"/>
      <c r="RST106" s="202"/>
      <c r="RSU106" s="202"/>
      <c r="RSV106" s="203"/>
      <c r="RSW106" s="204"/>
      <c r="RSX106" s="204"/>
      <c r="RSY106" s="204"/>
      <c r="RSZ106" s="205"/>
      <c r="RTA106" s="206"/>
      <c r="RTB106" s="207"/>
      <c r="RTC106" s="207"/>
      <c r="RTD106" s="208"/>
      <c r="RTE106" s="209"/>
      <c r="RTF106" s="207"/>
      <c r="RTG106" s="210"/>
      <c r="RTH106" s="209"/>
      <c r="RTI106" s="204"/>
      <c r="RTJ106" s="204"/>
      <c r="RTK106" s="204"/>
      <c r="RTL106" s="199"/>
      <c r="RTM106" s="167"/>
      <c r="RTN106" s="199"/>
      <c r="RTO106" s="200"/>
      <c r="RTP106" s="201"/>
      <c r="RTQ106" s="202"/>
      <c r="RTR106" s="202"/>
      <c r="RTS106" s="202"/>
      <c r="RTT106" s="202"/>
      <c r="RTU106" s="203"/>
      <c r="RTV106" s="204"/>
      <c r="RTW106" s="204"/>
      <c r="RTX106" s="204"/>
      <c r="RTY106" s="205"/>
      <c r="RTZ106" s="206"/>
      <c r="RUA106" s="207"/>
      <c r="RUB106" s="207"/>
      <c r="RUC106" s="208"/>
      <c r="RUD106" s="209"/>
      <c r="RUE106" s="207"/>
      <c r="RUF106" s="210"/>
      <c r="RUG106" s="209"/>
      <c r="RUH106" s="204"/>
      <c r="RUI106" s="204"/>
      <c r="RUJ106" s="204"/>
      <c r="RUK106" s="199"/>
      <c r="RUL106" s="167"/>
      <c r="RUM106" s="199"/>
      <c r="RUN106" s="200"/>
      <c r="RUO106" s="201"/>
      <c r="RUP106" s="202"/>
      <c r="RUQ106" s="202"/>
      <c r="RUR106" s="202"/>
      <c r="RUS106" s="202"/>
      <c r="RUT106" s="203"/>
      <c r="RUU106" s="204"/>
      <c r="RUV106" s="204"/>
      <c r="RUW106" s="204"/>
      <c r="RUX106" s="205"/>
      <c r="RUY106" s="206"/>
      <c r="RUZ106" s="207"/>
      <c r="RVA106" s="207"/>
      <c r="RVB106" s="208"/>
      <c r="RVC106" s="209"/>
      <c r="RVD106" s="207"/>
      <c r="RVE106" s="210"/>
      <c r="RVF106" s="209"/>
      <c r="RVG106" s="204"/>
      <c r="RVH106" s="204"/>
      <c r="RVI106" s="204"/>
      <c r="RVJ106" s="199"/>
      <c r="RVK106" s="167"/>
      <c r="RVL106" s="199"/>
      <c r="RVM106" s="200"/>
      <c r="RVN106" s="201"/>
      <c r="RVO106" s="202"/>
      <c r="RVP106" s="202"/>
      <c r="RVQ106" s="202"/>
      <c r="RVR106" s="202"/>
      <c r="RVS106" s="203"/>
      <c r="RVT106" s="204"/>
      <c r="RVU106" s="204"/>
      <c r="RVV106" s="204"/>
      <c r="RVW106" s="205"/>
      <c r="RVX106" s="206"/>
      <c r="RVY106" s="207"/>
      <c r="RVZ106" s="207"/>
      <c r="RWA106" s="208"/>
      <c r="RWB106" s="209"/>
      <c r="RWC106" s="207"/>
      <c r="RWD106" s="210"/>
      <c r="RWE106" s="209"/>
      <c r="RWF106" s="204"/>
      <c r="RWG106" s="204"/>
      <c r="RWH106" s="204"/>
      <c r="RWI106" s="199"/>
      <c r="RWJ106" s="167"/>
      <c r="RWK106" s="199"/>
      <c r="RWL106" s="200"/>
      <c r="RWM106" s="201"/>
      <c r="RWN106" s="202"/>
      <c r="RWO106" s="202"/>
      <c r="RWP106" s="202"/>
      <c r="RWQ106" s="202"/>
      <c r="RWR106" s="203"/>
      <c r="RWS106" s="204"/>
      <c r="RWT106" s="204"/>
      <c r="RWU106" s="204"/>
      <c r="RWV106" s="205"/>
      <c r="RWW106" s="206"/>
      <c r="RWX106" s="207"/>
      <c r="RWY106" s="207"/>
      <c r="RWZ106" s="208"/>
      <c r="RXA106" s="209"/>
      <c r="RXB106" s="207"/>
      <c r="RXC106" s="210"/>
      <c r="RXD106" s="209"/>
      <c r="RXE106" s="204"/>
      <c r="RXF106" s="204"/>
      <c r="RXG106" s="204"/>
      <c r="RXH106" s="199"/>
      <c r="RXI106" s="167"/>
      <c r="RXJ106" s="199"/>
      <c r="RXK106" s="200"/>
      <c r="RXL106" s="201"/>
      <c r="RXM106" s="202"/>
      <c r="RXN106" s="202"/>
      <c r="RXO106" s="202"/>
      <c r="RXP106" s="202"/>
      <c r="RXQ106" s="203"/>
      <c r="RXR106" s="204"/>
      <c r="RXS106" s="204"/>
      <c r="RXT106" s="204"/>
      <c r="RXU106" s="205"/>
      <c r="RXV106" s="206"/>
      <c r="RXW106" s="207"/>
      <c r="RXX106" s="207"/>
      <c r="RXY106" s="208"/>
      <c r="RXZ106" s="209"/>
      <c r="RYA106" s="207"/>
      <c r="RYB106" s="210"/>
      <c r="RYC106" s="209"/>
      <c r="RYD106" s="204"/>
      <c r="RYE106" s="204"/>
      <c r="RYF106" s="204"/>
      <c r="RYG106" s="199"/>
      <c r="RYH106" s="167"/>
      <c r="RYI106" s="199"/>
      <c r="RYJ106" s="200"/>
      <c r="RYK106" s="201"/>
      <c r="RYL106" s="202"/>
      <c r="RYM106" s="202"/>
      <c r="RYN106" s="202"/>
      <c r="RYO106" s="202"/>
      <c r="RYP106" s="203"/>
      <c r="RYQ106" s="204"/>
      <c r="RYR106" s="204"/>
      <c r="RYS106" s="204"/>
      <c r="RYT106" s="205"/>
      <c r="RYU106" s="206"/>
      <c r="RYV106" s="207"/>
      <c r="RYW106" s="207"/>
      <c r="RYX106" s="208"/>
      <c r="RYY106" s="209"/>
      <c r="RYZ106" s="207"/>
      <c r="RZA106" s="210"/>
      <c r="RZB106" s="209"/>
      <c r="RZC106" s="204"/>
      <c r="RZD106" s="204"/>
      <c r="RZE106" s="204"/>
      <c r="RZF106" s="199"/>
      <c r="RZG106" s="167"/>
      <c r="RZH106" s="199"/>
      <c r="RZI106" s="200"/>
      <c r="RZJ106" s="201"/>
      <c r="RZK106" s="202"/>
      <c r="RZL106" s="202"/>
      <c r="RZM106" s="202"/>
      <c r="RZN106" s="202"/>
      <c r="RZO106" s="203"/>
      <c r="RZP106" s="204"/>
      <c r="RZQ106" s="204"/>
      <c r="RZR106" s="204"/>
      <c r="RZS106" s="205"/>
      <c r="RZT106" s="206"/>
      <c r="RZU106" s="207"/>
      <c r="RZV106" s="207"/>
      <c r="RZW106" s="208"/>
      <c r="RZX106" s="209"/>
      <c r="RZY106" s="207"/>
      <c r="RZZ106" s="210"/>
      <c r="SAA106" s="209"/>
      <c r="SAB106" s="204"/>
      <c r="SAC106" s="204"/>
      <c r="SAD106" s="204"/>
      <c r="SAE106" s="199"/>
      <c r="SAF106" s="167"/>
      <c r="SAG106" s="199"/>
      <c r="SAH106" s="200"/>
      <c r="SAI106" s="201"/>
      <c r="SAJ106" s="202"/>
      <c r="SAK106" s="202"/>
      <c r="SAL106" s="202"/>
      <c r="SAM106" s="202"/>
      <c r="SAN106" s="203"/>
      <c r="SAO106" s="204"/>
      <c r="SAP106" s="204"/>
      <c r="SAQ106" s="204"/>
      <c r="SAR106" s="205"/>
      <c r="SAS106" s="206"/>
      <c r="SAT106" s="207"/>
      <c r="SAU106" s="207"/>
      <c r="SAV106" s="208"/>
      <c r="SAW106" s="209"/>
      <c r="SAX106" s="207"/>
      <c r="SAY106" s="210"/>
      <c r="SAZ106" s="209"/>
      <c r="SBA106" s="204"/>
      <c r="SBB106" s="204"/>
      <c r="SBC106" s="204"/>
      <c r="SBD106" s="199"/>
      <c r="SBE106" s="167"/>
      <c r="SBF106" s="199"/>
      <c r="SBG106" s="200"/>
      <c r="SBH106" s="201"/>
      <c r="SBI106" s="202"/>
      <c r="SBJ106" s="202"/>
      <c r="SBK106" s="202"/>
      <c r="SBL106" s="202"/>
      <c r="SBM106" s="203"/>
      <c r="SBN106" s="204"/>
      <c r="SBO106" s="204"/>
      <c r="SBP106" s="204"/>
      <c r="SBQ106" s="205"/>
      <c r="SBR106" s="206"/>
      <c r="SBS106" s="207"/>
      <c r="SBT106" s="207"/>
      <c r="SBU106" s="208"/>
      <c r="SBV106" s="209"/>
      <c r="SBW106" s="207"/>
      <c r="SBX106" s="210"/>
      <c r="SBY106" s="209"/>
      <c r="SBZ106" s="204"/>
      <c r="SCA106" s="204"/>
      <c r="SCB106" s="204"/>
      <c r="SCC106" s="199"/>
      <c r="SCD106" s="167"/>
      <c r="SCE106" s="199"/>
      <c r="SCF106" s="200"/>
      <c r="SCG106" s="201"/>
      <c r="SCH106" s="202"/>
      <c r="SCI106" s="202"/>
      <c r="SCJ106" s="202"/>
      <c r="SCK106" s="202"/>
      <c r="SCL106" s="203"/>
      <c r="SCM106" s="204"/>
      <c r="SCN106" s="204"/>
      <c r="SCO106" s="204"/>
      <c r="SCP106" s="205"/>
      <c r="SCQ106" s="206"/>
      <c r="SCR106" s="207"/>
      <c r="SCS106" s="207"/>
      <c r="SCT106" s="208"/>
      <c r="SCU106" s="209"/>
      <c r="SCV106" s="207"/>
      <c r="SCW106" s="210"/>
      <c r="SCX106" s="209"/>
      <c r="SCY106" s="204"/>
      <c r="SCZ106" s="204"/>
      <c r="SDA106" s="204"/>
      <c r="SDB106" s="199"/>
      <c r="SDC106" s="167"/>
      <c r="SDD106" s="199"/>
      <c r="SDE106" s="200"/>
      <c r="SDF106" s="201"/>
      <c r="SDG106" s="202"/>
      <c r="SDH106" s="202"/>
      <c r="SDI106" s="202"/>
      <c r="SDJ106" s="202"/>
      <c r="SDK106" s="203"/>
      <c r="SDL106" s="204"/>
      <c r="SDM106" s="204"/>
      <c r="SDN106" s="204"/>
      <c r="SDO106" s="205"/>
      <c r="SDP106" s="206"/>
      <c r="SDQ106" s="207"/>
      <c r="SDR106" s="207"/>
      <c r="SDS106" s="208"/>
      <c r="SDT106" s="209"/>
      <c r="SDU106" s="207"/>
      <c r="SDV106" s="210"/>
      <c r="SDW106" s="209"/>
      <c r="SDX106" s="204"/>
      <c r="SDY106" s="204"/>
      <c r="SDZ106" s="204"/>
      <c r="SEA106" s="199"/>
      <c r="SEB106" s="167"/>
      <c r="SEC106" s="199"/>
      <c r="SED106" s="200"/>
      <c r="SEE106" s="201"/>
      <c r="SEF106" s="202"/>
      <c r="SEG106" s="202"/>
      <c r="SEH106" s="202"/>
      <c r="SEI106" s="202"/>
      <c r="SEJ106" s="203"/>
      <c r="SEK106" s="204"/>
      <c r="SEL106" s="204"/>
      <c r="SEM106" s="204"/>
      <c r="SEN106" s="205"/>
      <c r="SEO106" s="206"/>
      <c r="SEP106" s="207"/>
      <c r="SEQ106" s="207"/>
      <c r="SER106" s="208"/>
      <c r="SES106" s="209"/>
      <c r="SET106" s="207"/>
      <c r="SEU106" s="210"/>
      <c r="SEV106" s="209"/>
      <c r="SEW106" s="204"/>
      <c r="SEX106" s="204"/>
      <c r="SEY106" s="204"/>
      <c r="SEZ106" s="199"/>
      <c r="SFA106" s="167"/>
      <c r="SFB106" s="199"/>
      <c r="SFC106" s="200"/>
      <c r="SFD106" s="201"/>
      <c r="SFE106" s="202"/>
      <c r="SFF106" s="202"/>
      <c r="SFG106" s="202"/>
      <c r="SFH106" s="202"/>
      <c r="SFI106" s="203"/>
      <c r="SFJ106" s="204"/>
      <c r="SFK106" s="204"/>
      <c r="SFL106" s="204"/>
      <c r="SFM106" s="205"/>
      <c r="SFN106" s="206"/>
      <c r="SFO106" s="207"/>
      <c r="SFP106" s="207"/>
      <c r="SFQ106" s="208"/>
      <c r="SFR106" s="209"/>
      <c r="SFS106" s="207"/>
      <c r="SFT106" s="210"/>
      <c r="SFU106" s="209"/>
      <c r="SFV106" s="204"/>
      <c r="SFW106" s="204"/>
      <c r="SFX106" s="204"/>
      <c r="SFY106" s="199"/>
      <c r="SFZ106" s="167"/>
      <c r="SGA106" s="199"/>
      <c r="SGB106" s="200"/>
      <c r="SGC106" s="201"/>
      <c r="SGD106" s="202"/>
      <c r="SGE106" s="202"/>
      <c r="SGF106" s="202"/>
      <c r="SGG106" s="202"/>
      <c r="SGH106" s="203"/>
      <c r="SGI106" s="204"/>
      <c r="SGJ106" s="204"/>
      <c r="SGK106" s="204"/>
      <c r="SGL106" s="205"/>
      <c r="SGM106" s="206"/>
      <c r="SGN106" s="207"/>
      <c r="SGO106" s="207"/>
      <c r="SGP106" s="208"/>
      <c r="SGQ106" s="209"/>
      <c r="SGR106" s="207"/>
      <c r="SGS106" s="210"/>
      <c r="SGT106" s="209"/>
      <c r="SGU106" s="204"/>
      <c r="SGV106" s="204"/>
      <c r="SGW106" s="204"/>
      <c r="SGX106" s="199"/>
      <c r="SGY106" s="167"/>
      <c r="SGZ106" s="199"/>
      <c r="SHA106" s="200"/>
      <c r="SHB106" s="201"/>
      <c r="SHC106" s="202"/>
      <c r="SHD106" s="202"/>
      <c r="SHE106" s="202"/>
      <c r="SHF106" s="202"/>
      <c r="SHG106" s="203"/>
      <c r="SHH106" s="204"/>
      <c r="SHI106" s="204"/>
      <c r="SHJ106" s="204"/>
      <c r="SHK106" s="205"/>
      <c r="SHL106" s="206"/>
      <c r="SHM106" s="207"/>
      <c r="SHN106" s="207"/>
      <c r="SHO106" s="208"/>
      <c r="SHP106" s="209"/>
      <c r="SHQ106" s="207"/>
      <c r="SHR106" s="210"/>
      <c r="SHS106" s="209"/>
      <c r="SHT106" s="204"/>
      <c r="SHU106" s="204"/>
      <c r="SHV106" s="204"/>
      <c r="SHW106" s="199"/>
      <c r="SHX106" s="167"/>
      <c r="SHY106" s="199"/>
      <c r="SHZ106" s="200"/>
      <c r="SIA106" s="201"/>
      <c r="SIB106" s="202"/>
      <c r="SIC106" s="202"/>
      <c r="SID106" s="202"/>
      <c r="SIE106" s="202"/>
      <c r="SIF106" s="203"/>
      <c r="SIG106" s="204"/>
      <c r="SIH106" s="204"/>
      <c r="SII106" s="204"/>
      <c r="SIJ106" s="205"/>
      <c r="SIK106" s="206"/>
      <c r="SIL106" s="207"/>
      <c r="SIM106" s="207"/>
      <c r="SIN106" s="208"/>
      <c r="SIO106" s="209"/>
      <c r="SIP106" s="207"/>
      <c r="SIQ106" s="210"/>
      <c r="SIR106" s="209"/>
      <c r="SIS106" s="204"/>
      <c r="SIT106" s="204"/>
      <c r="SIU106" s="204"/>
      <c r="SIV106" s="199"/>
      <c r="SIW106" s="167"/>
      <c r="SIX106" s="199"/>
      <c r="SIY106" s="200"/>
      <c r="SIZ106" s="201"/>
      <c r="SJA106" s="202"/>
      <c r="SJB106" s="202"/>
      <c r="SJC106" s="202"/>
      <c r="SJD106" s="202"/>
      <c r="SJE106" s="203"/>
      <c r="SJF106" s="204"/>
      <c r="SJG106" s="204"/>
      <c r="SJH106" s="204"/>
      <c r="SJI106" s="205"/>
      <c r="SJJ106" s="206"/>
      <c r="SJK106" s="207"/>
      <c r="SJL106" s="207"/>
      <c r="SJM106" s="208"/>
      <c r="SJN106" s="209"/>
      <c r="SJO106" s="207"/>
      <c r="SJP106" s="210"/>
      <c r="SJQ106" s="209"/>
      <c r="SJR106" s="204"/>
      <c r="SJS106" s="204"/>
      <c r="SJT106" s="204"/>
      <c r="SJU106" s="199"/>
      <c r="SJV106" s="167"/>
      <c r="SJW106" s="199"/>
      <c r="SJX106" s="200"/>
      <c r="SJY106" s="201"/>
      <c r="SJZ106" s="202"/>
      <c r="SKA106" s="202"/>
      <c r="SKB106" s="202"/>
      <c r="SKC106" s="202"/>
      <c r="SKD106" s="203"/>
      <c r="SKE106" s="204"/>
      <c r="SKF106" s="204"/>
      <c r="SKG106" s="204"/>
      <c r="SKH106" s="205"/>
      <c r="SKI106" s="206"/>
      <c r="SKJ106" s="207"/>
      <c r="SKK106" s="207"/>
      <c r="SKL106" s="208"/>
      <c r="SKM106" s="209"/>
      <c r="SKN106" s="207"/>
      <c r="SKO106" s="210"/>
      <c r="SKP106" s="209"/>
      <c r="SKQ106" s="204"/>
      <c r="SKR106" s="204"/>
      <c r="SKS106" s="204"/>
      <c r="SKT106" s="199"/>
      <c r="SKU106" s="167"/>
      <c r="SKV106" s="199"/>
      <c r="SKW106" s="200"/>
      <c r="SKX106" s="201"/>
      <c r="SKY106" s="202"/>
      <c r="SKZ106" s="202"/>
      <c r="SLA106" s="202"/>
      <c r="SLB106" s="202"/>
      <c r="SLC106" s="203"/>
      <c r="SLD106" s="204"/>
      <c r="SLE106" s="204"/>
      <c r="SLF106" s="204"/>
      <c r="SLG106" s="205"/>
      <c r="SLH106" s="206"/>
      <c r="SLI106" s="207"/>
      <c r="SLJ106" s="207"/>
      <c r="SLK106" s="208"/>
      <c r="SLL106" s="209"/>
      <c r="SLM106" s="207"/>
      <c r="SLN106" s="210"/>
      <c r="SLO106" s="209"/>
      <c r="SLP106" s="204"/>
      <c r="SLQ106" s="204"/>
      <c r="SLR106" s="204"/>
      <c r="SLS106" s="199"/>
      <c r="SLT106" s="167"/>
      <c r="SLU106" s="199"/>
      <c r="SLV106" s="200"/>
      <c r="SLW106" s="201"/>
      <c r="SLX106" s="202"/>
      <c r="SLY106" s="202"/>
      <c r="SLZ106" s="202"/>
      <c r="SMA106" s="202"/>
      <c r="SMB106" s="203"/>
      <c r="SMC106" s="204"/>
      <c r="SMD106" s="204"/>
      <c r="SME106" s="204"/>
      <c r="SMF106" s="205"/>
      <c r="SMG106" s="206"/>
      <c r="SMH106" s="207"/>
      <c r="SMI106" s="207"/>
      <c r="SMJ106" s="208"/>
      <c r="SMK106" s="209"/>
      <c r="SML106" s="207"/>
      <c r="SMM106" s="210"/>
      <c r="SMN106" s="209"/>
      <c r="SMO106" s="204"/>
      <c r="SMP106" s="204"/>
      <c r="SMQ106" s="204"/>
      <c r="SMR106" s="199"/>
      <c r="SMS106" s="167"/>
      <c r="SMT106" s="199"/>
      <c r="SMU106" s="200"/>
      <c r="SMV106" s="201"/>
      <c r="SMW106" s="202"/>
      <c r="SMX106" s="202"/>
      <c r="SMY106" s="202"/>
      <c r="SMZ106" s="202"/>
      <c r="SNA106" s="203"/>
      <c r="SNB106" s="204"/>
      <c r="SNC106" s="204"/>
      <c r="SND106" s="204"/>
      <c r="SNE106" s="205"/>
      <c r="SNF106" s="206"/>
      <c r="SNG106" s="207"/>
      <c r="SNH106" s="207"/>
      <c r="SNI106" s="208"/>
      <c r="SNJ106" s="209"/>
      <c r="SNK106" s="207"/>
      <c r="SNL106" s="210"/>
      <c r="SNM106" s="209"/>
      <c r="SNN106" s="204"/>
      <c r="SNO106" s="204"/>
      <c r="SNP106" s="204"/>
      <c r="SNQ106" s="199"/>
      <c r="SNR106" s="167"/>
      <c r="SNS106" s="199"/>
      <c r="SNT106" s="200"/>
      <c r="SNU106" s="201"/>
      <c r="SNV106" s="202"/>
      <c r="SNW106" s="202"/>
      <c r="SNX106" s="202"/>
      <c r="SNY106" s="202"/>
      <c r="SNZ106" s="203"/>
      <c r="SOA106" s="204"/>
      <c r="SOB106" s="204"/>
      <c r="SOC106" s="204"/>
      <c r="SOD106" s="205"/>
      <c r="SOE106" s="206"/>
      <c r="SOF106" s="207"/>
      <c r="SOG106" s="207"/>
      <c r="SOH106" s="208"/>
      <c r="SOI106" s="209"/>
      <c r="SOJ106" s="207"/>
      <c r="SOK106" s="210"/>
      <c r="SOL106" s="209"/>
      <c r="SOM106" s="204"/>
      <c r="SON106" s="204"/>
      <c r="SOO106" s="204"/>
      <c r="SOP106" s="199"/>
      <c r="SOQ106" s="167"/>
      <c r="SOR106" s="199"/>
      <c r="SOS106" s="200"/>
      <c r="SOT106" s="201"/>
      <c r="SOU106" s="202"/>
      <c r="SOV106" s="202"/>
      <c r="SOW106" s="202"/>
      <c r="SOX106" s="202"/>
      <c r="SOY106" s="203"/>
      <c r="SOZ106" s="204"/>
      <c r="SPA106" s="204"/>
      <c r="SPB106" s="204"/>
      <c r="SPC106" s="205"/>
      <c r="SPD106" s="206"/>
      <c r="SPE106" s="207"/>
      <c r="SPF106" s="207"/>
      <c r="SPG106" s="208"/>
      <c r="SPH106" s="209"/>
      <c r="SPI106" s="207"/>
      <c r="SPJ106" s="210"/>
      <c r="SPK106" s="209"/>
      <c r="SPL106" s="204"/>
      <c r="SPM106" s="204"/>
      <c r="SPN106" s="204"/>
      <c r="SPO106" s="199"/>
      <c r="SPP106" s="167"/>
      <c r="SPQ106" s="199"/>
      <c r="SPR106" s="200"/>
      <c r="SPS106" s="201"/>
      <c r="SPT106" s="202"/>
      <c r="SPU106" s="202"/>
      <c r="SPV106" s="202"/>
      <c r="SPW106" s="202"/>
      <c r="SPX106" s="203"/>
      <c r="SPY106" s="204"/>
      <c r="SPZ106" s="204"/>
      <c r="SQA106" s="204"/>
      <c r="SQB106" s="205"/>
      <c r="SQC106" s="206"/>
      <c r="SQD106" s="207"/>
      <c r="SQE106" s="207"/>
      <c r="SQF106" s="208"/>
      <c r="SQG106" s="209"/>
      <c r="SQH106" s="207"/>
      <c r="SQI106" s="210"/>
      <c r="SQJ106" s="209"/>
      <c r="SQK106" s="204"/>
      <c r="SQL106" s="204"/>
      <c r="SQM106" s="204"/>
      <c r="SQN106" s="199"/>
      <c r="SQO106" s="167"/>
      <c r="SQP106" s="199"/>
      <c r="SQQ106" s="200"/>
      <c r="SQR106" s="201"/>
      <c r="SQS106" s="202"/>
      <c r="SQT106" s="202"/>
      <c r="SQU106" s="202"/>
      <c r="SQV106" s="202"/>
      <c r="SQW106" s="203"/>
      <c r="SQX106" s="204"/>
      <c r="SQY106" s="204"/>
      <c r="SQZ106" s="204"/>
      <c r="SRA106" s="205"/>
      <c r="SRB106" s="206"/>
      <c r="SRC106" s="207"/>
      <c r="SRD106" s="207"/>
      <c r="SRE106" s="208"/>
      <c r="SRF106" s="209"/>
      <c r="SRG106" s="207"/>
      <c r="SRH106" s="210"/>
      <c r="SRI106" s="209"/>
      <c r="SRJ106" s="204"/>
      <c r="SRK106" s="204"/>
      <c r="SRL106" s="204"/>
      <c r="SRM106" s="199"/>
      <c r="SRN106" s="167"/>
      <c r="SRO106" s="199"/>
      <c r="SRP106" s="200"/>
      <c r="SRQ106" s="201"/>
      <c r="SRR106" s="202"/>
      <c r="SRS106" s="202"/>
      <c r="SRT106" s="202"/>
      <c r="SRU106" s="202"/>
      <c r="SRV106" s="203"/>
      <c r="SRW106" s="204"/>
      <c r="SRX106" s="204"/>
      <c r="SRY106" s="204"/>
      <c r="SRZ106" s="205"/>
      <c r="SSA106" s="206"/>
      <c r="SSB106" s="207"/>
      <c r="SSC106" s="207"/>
      <c r="SSD106" s="208"/>
      <c r="SSE106" s="209"/>
      <c r="SSF106" s="207"/>
      <c r="SSG106" s="210"/>
      <c r="SSH106" s="209"/>
      <c r="SSI106" s="204"/>
      <c r="SSJ106" s="204"/>
      <c r="SSK106" s="204"/>
      <c r="SSL106" s="199"/>
      <c r="SSM106" s="167"/>
      <c r="SSN106" s="199"/>
      <c r="SSO106" s="200"/>
      <c r="SSP106" s="201"/>
      <c r="SSQ106" s="202"/>
      <c r="SSR106" s="202"/>
      <c r="SSS106" s="202"/>
      <c r="SST106" s="202"/>
      <c r="SSU106" s="203"/>
      <c r="SSV106" s="204"/>
      <c r="SSW106" s="204"/>
      <c r="SSX106" s="204"/>
      <c r="SSY106" s="205"/>
      <c r="SSZ106" s="206"/>
      <c r="STA106" s="207"/>
      <c r="STB106" s="207"/>
      <c r="STC106" s="208"/>
      <c r="STD106" s="209"/>
      <c r="STE106" s="207"/>
      <c r="STF106" s="210"/>
      <c r="STG106" s="209"/>
      <c r="STH106" s="204"/>
      <c r="STI106" s="204"/>
      <c r="STJ106" s="204"/>
      <c r="STK106" s="199"/>
      <c r="STL106" s="167"/>
      <c r="STM106" s="199"/>
      <c r="STN106" s="200"/>
      <c r="STO106" s="201"/>
      <c r="STP106" s="202"/>
      <c r="STQ106" s="202"/>
      <c r="STR106" s="202"/>
      <c r="STS106" s="202"/>
      <c r="STT106" s="203"/>
      <c r="STU106" s="204"/>
      <c r="STV106" s="204"/>
      <c r="STW106" s="204"/>
      <c r="STX106" s="205"/>
      <c r="STY106" s="206"/>
      <c r="STZ106" s="207"/>
      <c r="SUA106" s="207"/>
      <c r="SUB106" s="208"/>
      <c r="SUC106" s="209"/>
      <c r="SUD106" s="207"/>
      <c r="SUE106" s="210"/>
      <c r="SUF106" s="209"/>
      <c r="SUG106" s="204"/>
      <c r="SUH106" s="204"/>
      <c r="SUI106" s="204"/>
      <c r="SUJ106" s="199"/>
      <c r="SUK106" s="167"/>
      <c r="SUL106" s="199"/>
      <c r="SUM106" s="200"/>
      <c r="SUN106" s="201"/>
      <c r="SUO106" s="202"/>
      <c r="SUP106" s="202"/>
      <c r="SUQ106" s="202"/>
      <c r="SUR106" s="202"/>
      <c r="SUS106" s="203"/>
      <c r="SUT106" s="204"/>
      <c r="SUU106" s="204"/>
      <c r="SUV106" s="204"/>
      <c r="SUW106" s="205"/>
      <c r="SUX106" s="206"/>
      <c r="SUY106" s="207"/>
      <c r="SUZ106" s="207"/>
      <c r="SVA106" s="208"/>
      <c r="SVB106" s="209"/>
      <c r="SVC106" s="207"/>
      <c r="SVD106" s="210"/>
      <c r="SVE106" s="209"/>
      <c r="SVF106" s="204"/>
      <c r="SVG106" s="204"/>
      <c r="SVH106" s="204"/>
      <c r="SVI106" s="199"/>
      <c r="SVJ106" s="167"/>
      <c r="SVK106" s="199"/>
      <c r="SVL106" s="200"/>
      <c r="SVM106" s="201"/>
      <c r="SVN106" s="202"/>
      <c r="SVO106" s="202"/>
      <c r="SVP106" s="202"/>
      <c r="SVQ106" s="202"/>
      <c r="SVR106" s="203"/>
      <c r="SVS106" s="204"/>
      <c r="SVT106" s="204"/>
      <c r="SVU106" s="204"/>
      <c r="SVV106" s="205"/>
      <c r="SVW106" s="206"/>
      <c r="SVX106" s="207"/>
      <c r="SVY106" s="207"/>
      <c r="SVZ106" s="208"/>
      <c r="SWA106" s="209"/>
      <c r="SWB106" s="207"/>
      <c r="SWC106" s="210"/>
      <c r="SWD106" s="209"/>
      <c r="SWE106" s="204"/>
      <c r="SWF106" s="204"/>
      <c r="SWG106" s="204"/>
      <c r="SWH106" s="199"/>
      <c r="SWI106" s="167"/>
      <c r="SWJ106" s="199"/>
      <c r="SWK106" s="200"/>
      <c r="SWL106" s="201"/>
      <c r="SWM106" s="202"/>
      <c r="SWN106" s="202"/>
      <c r="SWO106" s="202"/>
      <c r="SWP106" s="202"/>
      <c r="SWQ106" s="203"/>
      <c r="SWR106" s="204"/>
      <c r="SWS106" s="204"/>
      <c r="SWT106" s="204"/>
      <c r="SWU106" s="205"/>
      <c r="SWV106" s="206"/>
      <c r="SWW106" s="207"/>
      <c r="SWX106" s="207"/>
      <c r="SWY106" s="208"/>
      <c r="SWZ106" s="209"/>
      <c r="SXA106" s="207"/>
      <c r="SXB106" s="210"/>
      <c r="SXC106" s="209"/>
      <c r="SXD106" s="204"/>
      <c r="SXE106" s="204"/>
      <c r="SXF106" s="204"/>
      <c r="SXG106" s="199"/>
      <c r="SXH106" s="167"/>
      <c r="SXI106" s="199"/>
      <c r="SXJ106" s="200"/>
      <c r="SXK106" s="201"/>
      <c r="SXL106" s="202"/>
      <c r="SXM106" s="202"/>
      <c r="SXN106" s="202"/>
      <c r="SXO106" s="202"/>
      <c r="SXP106" s="203"/>
      <c r="SXQ106" s="204"/>
      <c r="SXR106" s="204"/>
      <c r="SXS106" s="204"/>
      <c r="SXT106" s="205"/>
      <c r="SXU106" s="206"/>
      <c r="SXV106" s="207"/>
      <c r="SXW106" s="207"/>
      <c r="SXX106" s="208"/>
      <c r="SXY106" s="209"/>
      <c r="SXZ106" s="207"/>
      <c r="SYA106" s="210"/>
      <c r="SYB106" s="209"/>
      <c r="SYC106" s="204"/>
      <c r="SYD106" s="204"/>
      <c r="SYE106" s="204"/>
      <c r="SYF106" s="199"/>
      <c r="SYG106" s="167"/>
      <c r="SYH106" s="199"/>
      <c r="SYI106" s="200"/>
      <c r="SYJ106" s="201"/>
      <c r="SYK106" s="202"/>
      <c r="SYL106" s="202"/>
      <c r="SYM106" s="202"/>
      <c r="SYN106" s="202"/>
      <c r="SYO106" s="203"/>
      <c r="SYP106" s="204"/>
      <c r="SYQ106" s="204"/>
      <c r="SYR106" s="204"/>
      <c r="SYS106" s="205"/>
      <c r="SYT106" s="206"/>
      <c r="SYU106" s="207"/>
      <c r="SYV106" s="207"/>
      <c r="SYW106" s="208"/>
      <c r="SYX106" s="209"/>
      <c r="SYY106" s="207"/>
      <c r="SYZ106" s="210"/>
      <c r="SZA106" s="209"/>
      <c r="SZB106" s="204"/>
      <c r="SZC106" s="204"/>
      <c r="SZD106" s="204"/>
      <c r="SZE106" s="199"/>
      <c r="SZF106" s="167"/>
      <c r="SZG106" s="199"/>
      <c r="SZH106" s="200"/>
      <c r="SZI106" s="201"/>
      <c r="SZJ106" s="202"/>
      <c r="SZK106" s="202"/>
      <c r="SZL106" s="202"/>
      <c r="SZM106" s="202"/>
      <c r="SZN106" s="203"/>
      <c r="SZO106" s="204"/>
      <c r="SZP106" s="204"/>
      <c r="SZQ106" s="204"/>
      <c r="SZR106" s="205"/>
      <c r="SZS106" s="206"/>
      <c r="SZT106" s="207"/>
      <c r="SZU106" s="207"/>
      <c r="SZV106" s="208"/>
      <c r="SZW106" s="209"/>
      <c r="SZX106" s="207"/>
      <c r="SZY106" s="210"/>
      <c r="SZZ106" s="209"/>
      <c r="TAA106" s="204"/>
      <c r="TAB106" s="204"/>
      <c r="TAC106" s="204"/>
      <c r="TAD106" s="199"/>
      <c r="TAE106" s="167"/>
      <c r="TAF106" s="199"/>
      <c r="TAG106" s="200"/>
      <c r="TAH106" s="201"/>
      <c r="TAI106" s="202"/>
      <c r="TAJ106" s="202"/>
      <c r="TAK106" s="202"/>
      <c r="TAL106" s="202"/>
      <c r="TAM106" s="203"/>
      <c r="TAN106" s="204"/>
      <c r="TAO106" s="204"/>
      <c r="TAP106" s="204"/>
      <c r="TAQ106" s="205"/>
      <c r="TAR106" s="206"/>
      <c r="TAS106" s="207"/>
      <c r="TAT106" s="207"/>
      <c r="TAU106" s="208"/>
      <c r="TAV106" s="209"/>
      <c r="TAW106" s="207"/>
      <c r="TAX106" s="210"/>
      <c r="TAY106" s="209"/>
      <c r="TAZ106" s="204"/>
      <c r="TBA106" s="204"/>
      <c r="TBB106" s="204"/>
      <c r="TBC106" s="199"/>
      <c r="TBD106" s="167"/>
      <c r="TBE106" s="199"/>
      <c r="TBF106" s="200"/>
      <c r="TBG106" s="201"/>
      <c r="TBH106" s="202"/>
      <c r="TBI106" s="202"/>
      <c r="TBJ106" s="202"/>
      <c r="TBK106" s="202"/>
      <c r="TBL106" s="203"/>
      <c r="TBM106" s="204"/>
      <c r="TBN106" s="204"/>
      <c r="TBO106" s="204"/>
      <c r="TBP106" s="205"/>
      <c r="TBQ106" s="206"/>
      <c r="TBR106" s="207"/>
      <c r="TBS106" s="207"/>
      <c r="TBT106" s="208"/>
      <c r="TBU106" s="209"/>
      <c r="TBV106" s="207"/>
      <c r="TBW106" s="210"/>
      <c r="TBX106" s="209"/>
      <c r="TBY106" s="204"/>
      <c r="TBZ106" s="204"/>
      <c r="TCA106" s="204"/>
      <c r="TCB106" s="199"/>
      <c r="TCC106" s="167"/>
      <c r="TCD106" s="199"/>
      <c r="TCE106" s="200"/>
      <c r="TCF106" s="201"/>
      <c r="TCG106" s="202"/>
      <c r="TCH106" s="202"/>
      <c r="TCI106" s="202"/>
      <c r="TCJ106" s="202"/>
      <c r="TCK106" s="203"/>
      <c r="TCL106" s="204"/>
      <c r="TCM106" s="204"/>
      <c r="TCN106" s="204"/>
      <c r="TCO106" s="205"/>
      <c r="TCP106" s="206"/>
      <c r="TCQ106" s="207"/>
      <c r="TCR106" s="207"/>
      <c r="TCS106" s="208"/>
      <c r="TCT106" s="209"/>
      <c r="TCU106" s="207"/>
      <c r="TCV106" s="210"/>
      <c r="TCW106" s="209"/>
      <c r="TCX106" s="204"/>
      <c r="TCY106" s="204"/>
      <c r="TCZ106" s="204"/>
      <c r="TDA106" s="199"/>
      <c r="TDB106" s="167"/>
      <c r="TDC106" s="199"/>
      <c r="TDD106" s="200"/>
      <c r="TDE106" s="201"/>
      <c r="TDF106" s="202"/>
      <c r="TDG106" s="202"/>
      <c r="TDH106" s="202"/>
      <c r="TDI106" s="202"/>
      <c r="TDJ106" s="203"/>
      <c r="TDK106" s="204"/>
      <c r="TDL106" s="204"/>
      <c r="TDM106" s="204"/>
      <c r="TDN106" s="205"/>
      <c r="TDO106" s="206"/>
      <c r="TDP106" s="207"/>
      <c r="TDQ106" s="207"/>
      <c r="TDR106" s="208"/>
      <c r="TDS106" s="209"/>
      <c r="TDT106" s="207"/>
      <c r="TDU106" s="210"/>
      <c r="TDV106" s="209"/>
      <c r="TDW106" s="204"/>
      <c r="TDX106" s="204"/>
      <c r="TDY106" s="204"/>
      <c r="TDZ106" s="199"/>
      <c r="TEA106" s="167"/>
      <c r="TEB106" s="199"/>
      <c r="TEC106" s="200"/>
      <c r="TED106" s="201"/>
      <c r="TEE106" s="202"/>
      <c r="TEF106" s="202"/>
      <c r="TEG106" s="202"/>
      <c r="TEH106" s="202"/>
      <c r="TEI106" s="203"/>
      <c r="TEJ106" s="204"/>
      <c r="TEK106" s="204"/>
      <c r="TEL106" s="204"/>
      <c r="TEM106" s="205"/>
      <c r="TEN106" s="206"/>
      <c r="TEO106" s="207"/>
      <c r="TEP106" s="207"/>
      <c r="TEQ106" s="208"/>
      <c r="TER106" s="209"/>
      <c r="TES106" s="207"/>
      <c r="TET106" s="210"/>
      <c r="TEU106" s="209"/>
      <c r="TEV106" s="204"/>
      <c r="TEW106" s="204"/>
      <c r="TEX106" s="204"/>
      <c r="TEY106" s="199"/>
      <c r="TEZ106" s="167"/>
      <c r="TFA106" s="199"/>
      <c r="TFB106" s="200"/>
      <c r="TFC106" s="201"/>
      <c r="TFD106" s="202"/>
      <c r="TFE106" s="202"/>
      <c r="TFF106" s="202"/>
      <c r="TFG106" s="202"/>
      <c r="TFH106" s="203"/>
      <c r="TFI106" s="204"/>
      <c r="TFJ106" s="204"/>
      <c r="TFK106" s="204"/>
      <c r="TFL106" s="205"/>
      <c r="TFM106" s="206"/>
      <c r="TFN106" s="207"/>
      <c r="TFO106" s="207"/>
      <c r="TFP106" s="208"/>
      <c r="TFQ106" s="209"/>
      <c r="TFR106" s="207"/>
      <c r="TFS106" s="210"/>
      <c r="TFT106" s="209"/>
      <c r="TFU106" s="204"/>
      <c r="TFV106" s="204"/>
      <c r="TFW106" s="204"/>
      <c r="TFX106" s="199"/>
      <c r="TFY106" s="167"/>
      <c r="TFZ106" s="199"/>
      <c r="TGA106" s="200"/>
      <c r="TGB106" s="201"/>
      <c r="TGC106" s="202"/>
      <c r="TGD106" s="202"/>
      <c r="TGE106" s="202"/>
      <c r="TGF106" s="202"/>
      <c r="TGG106" s="203"/>
      <c r="TGH106" s="204"/>
      <c r="TGI106" s="204"/>
      <c r="TGJ106" s="204"/>
      <c r="TGK106" s="205"/>
      <c r="TGL106" s="206"/>
      <c r="TGM106" s="207"/>
      <c r="TGN106" s="207"/>
      <c r="TGO106" s="208"/>
      <c r="TGP106" s="209"/>
      <c r="TGQ106" s="207"/>
      <c r="TGR106" s="210"/>
      <c r="TGS106" s="209"/>
      <c r="TGT106" s="204"/>
      <c r="TGU106" s="204"/>
      <c r="TGV106" s="204"/>
      <c r="TGW106" s="199"/>
      <c r="TGX106" s="167"/>
      <c r="TGY106" s="199"/>
      <c r="TGZ106" s="200"/>
      <c r="THA106" s="201"/>
      <c r="THB106" s="202"/>
      <c r="THC106" s="202"/>
      <c r="THD106" s="202"/>
      <c r="THE106" s="202"/>
      <c r="THF106" s="203"/>
      <c r="THG106" s="204"/>
      <c r="THH106" s="204"/>
      <c r="THI106" s="204"/>
      <c r="THJ106" s="205"/>
      <c r="THK106" s="206"/>
      <c r="THL106" s="207"/>
      <c r="THM106" s="207"/>
      <c r="THN106" s="208"/>
      <c r="THO106" s="209"/>
      <c r="THP106" s="207"/>
      <c r="THQ106" s="210"/>
      <c r="THR106" s="209"/>
      <c r="THS106" s="204"/>
      <c r="THT106" s="204"/>
      <c r="THU106" s="204"/>
      <c r="THV106" s="199"/>
      <c r="THW106" s="167"/>
      <c r="THX106" s="199"/>
      <c r="THY106" s="200"/>
      <c r="THZ106" s="201"/>
      <c r="TIA106" s="202"/>
      <c r="TIB106" s="202"/>
      <c r="TIC106" s="202"/>
      <c r="TID106" s="202"/>
      <c r="TIE106" s="203"/>
      <c r="TIF106" s="204"/>
      <c r="TIG106" s="204"/>
      <c r="TIH106" s="204"/>
      <c r="TII106" s="205"/>
      <c r="TIJ106" s="206"/>
      <c r="TIK106" s="207"/>
      <c r="TIL106" s="207"/>
      <c r="TIM106" s="208"/>
      <c r="TIN106" s="209"/>
      <c r="TIO106" s="207"/>
      <c r="TIP106" s="210"/>
      <c r="TIQ106" s="209"/>
      <c r="TIR106" s="204"/>
      <c r="TIS106" s="204"/>
      <c r="TIT106" s="204"/>
      <c r="TIU106" s="199"/>
      <c r="TIV106" s="167"/>
      <c r="TIW106" s="199"/>
      <c r="TIX106" s="200"/>
      <c r="TIY106" s="201"/>
      <c r="TIZ106" s="202"/>
      <c r="TJA106" s="202"/>
      <c r="TJB106" s="202"/>
      <c r="TJC106" s="202"/>
      <c r="TJD106" s="203"/>
      <c r="TJE106" s="204"/>
      <c r="TJF106" s="204"/>
      <c r="TJG106" s="204"/>
      <c r="TJH106" s="205"/>
      <c r="TJI106" s="206"/>
      <c r="TJJ106" s="207"/>
      <c r="TJK106" s="207"/>
      <c r="TJL106" s="208"/>
      <c r="TJM106" s="209"/>
      <c r="TJN106" s="207"/>
      <c r="TJO106" s="210"/>
      <c r="TJP106" s="209"/>
      <c r="TJQ106" s="204"/>
      <c r="TJR106" s="204"/>
      <c r="TJS106" s="204"/>
      <c r="TJT106" s="199"/>
      <c r="TJU106" s="167"/>
      <c r="TJV106" s="199"/>
      <c r="TJW106" s="200"/>
      <c r="TJX106" s="201"/>
      <c r="TJY106" s="202"/>
      <c r="TJZ106" s="202"/>
      <c r="TKA106" s="202"/>
      <c r="TKB106" s="202"/>
      <c r="TKC106" s="203"/>
      <c r="TKD106" s="204"/>
      <c r="TKE106" s="204"/>
      <c r="TKF106" s="204"/>
      <c r="TKG106" s="205"/>
      <c r="TKH106" s="206"/>
      <c r="TKI106" s="207"/>
      <c r="TKJ106" s="207"/>
      <c r="TKK106" s="208"/>
      <c r="TKL106" s="209"/>
      <c r="TKM106" s="207"/>
      <c r="TKN106" s="210"/>
      <c r="TKO106" s="209"/>
      <c r="TKP106" s="204"/>
      <c r="TKQ106" s="204"/>
      <c r="TKR106" s="204"/>
      <c r="TKS106" s="199"/>
      <c r="TKT106" s="167"/>
      <c r="TKU106" s="199"/>
      <c r="TKV106" s="200"/>
      <c r="TKW106" s="201"/>
      <c r="TKX106" s="202"/>
      <c r="TKY106" s="202"/>
      <c r="TKZ106" s="202"/>
      <c r="TLA106" s="202"/>
      <c r="TLB106" s="203"/>
      <c r="TLC106" s="204"/>
      <c r="TLD106" s="204"/>
      <c r="TLE106" s="204"/>
      <c r="TLF106" s="205"/>
      <c r="TLG106" s="206"/>
      <c r="TLH106" s="207"/>
      <c r="TLI106" s="207"/>
      <c r="TLJ106" s="208"/>
      <c r="TLK106" s="209"/>
      <c r="TLL106" s="207"/>
      <c r="TLM106" s="210"/>
      <c r="TLN106" s="209"/>
      <c r="TLO106" s="204"/>
      <c r="TLP106" s="204"/>
      <c r="TLQ106" s="204"/>
      <c r="TLR106" s="199"/>
      <c r="TLS106" s="167"/>
      <c r="TLT106" s="199"/>
      <c r="TLU106" s="200"/>
      <c r="TLV106" s="201"/>
      <c r="TLW106" s="202"/>
      <c r="TLX106" s="202"/>
      <c r="TLY106" s="202"/>
      <c r="TLZ106" s="202"/>
      <c r="TMA106" s="203"/>
      <c r="TMB106" s="204"/>
      <c r="TMC106" s="204"/>
      <c r="TMD106" s="204"/>
      <c r="TME106" s="205"/>
      <c r="TMF106" s="206"/>
      <c r="TMG106" s="207"/>
      <c r="TMH106" s="207"/>
      <c r="TMI106" s="208"/>
      <c r="TMJ106" s="209"/>
      <c r="TMK106" s="207"/>
      <c r="TML106" s="210"/>
      <c r="TMM106" s="209"/>
      <c r="TMN106" s="204"/>
      <c r="TMO106" s="204"/>
      <c r="TMP106" s="204"/>
      <c r="TMQ106" s="199"/>
      <c r="TMR106" s="167"/>
      <c r="TMS106" s="199"/>
      <c r="TMT106" s="200"/>
      <c r="TMU106" s="201"/>
      <c r="TMV106" s="202"/>
      <c r="TMW106" s="202"/>
      <c r="TMX106" s="202"/>
      <c r="TMY106" s="202"/>
      <c r="TMZ106" s="203"/>
      <c r="TNA106" s="204"/>
      <c r="TNB106" s="204"/>
      <c r="TNC106" s="204"/>
      <c r="TND106" s="205"/>
      <c r="TNE106" s="206"/>
      <c r="TNF106" s="207"/>
      <c r="TNG106" s="207"/>
      <c r="TNH106" s="208"/>
      <c r="TNI106" s="209"/>
      <c r="TNJ106" s="207"/>
      <c r="TNK106" s="210"/>
      <c r="TNL106" s="209"/>
      <c r="TNM106" s="204"/>
      <c r="TNN106" s="204"/>
      <c r="TNO106" s="204"/>
      <c r="TNP106" s="199"/>
      <c r="TNQ106" s="167"/>
      <c r="TNR106" s="199"/>
      <c r="TNS106" s="200"/>
      <c r="TNT106" s="201"/>
      <c r="TNU106" s="202"/>
      <c r="TNV106" s="202"/>
      <c r="TNW106" s="202"/>
      <c r="TNX106" s="202"/>
      <c r="TNY106" s="203"/>
      <c r="TNZ106" s="204"/>
      <c r="TOA106" s="204"/>
      <c r="TOB106" s="204"/>
      <c r="TOC106" s="205"/>
      <c r="TOD106" s="206"/>
      <c r="TOE106" s="207"/>
      <c r="TOF106" s="207"/>
      <c r="TOG106" s="208"/>
      <c r="TOH106" s="209"/>
      <c r="TOI106" s="207"/>
      <c r="TOJ106" s="210"/>
      <c r="TOK106" s="209"/>
      <c r="TOL106" s="204"/>
      <c r="TOM106" s="204"/>
      <c r="TON106" s="204"/>
      <c r="TOO106" s="199"/>
      <c r="TOP106" s="167"/>
      <c r="TOQ106" s="199"/>
      <c r="TOR106" s="200"/>
      <c r="TOS106" s="201"/>
      <c r="TOT106" s="202"/>
      <c r="TOU106" s="202"/>
      <c r="TOV106" s="202"/>
      <c r="TOW106" s="202"/>
      <c r="TOX106" s="203"/>
      <c r="TOY106" s="204"/>
      <c r="TOZ106" s="204"/>
      <c r="TPA106" s="204"/>
      <c r="TPB106" s="205"/>
      <c r="TPC106" s="206"/>
      <c r="TPD106" s="207"/>
      <c r="TPE106" s="207"/>
      <c r="TPF106" s="208"/>
      <c r="TPG106" s="209"/>
      <c r="TPH106" s="207"/>
      <c r="TPI106" s="210"/>
      <c r="TPJ106" s="209"/>
      <c r="TPK106" s="204"/>
      <c r="TPL106" s="204"/>
      <c r="TPM106" s="204"/>
      <c r="TPN106" s="199"/>
      <c r="TPO106" s="167"/>
      <c r="TPP106" s="199"/>
      <c r="TPQ106" s="200"/>
      <c r="TPR106" s="201"/>
      <c r="TPS106" s="202"/>
      <c r="TPT106" s="202"/>
      <c r="TPU106" s="202"/>
      <c r="TPV106" s="202"/>
      <c r="TPW106" s="203"/>
      <c r="TPX106" s="204"/>
      <c r="TPY106" s="204"/>
      <c r="TPZ106" s="204"/>
      <c r="TQA106" s="205"/>
      <c r="TQB106" s="206"/>
      <c r="TQC106" s="207"/>
      <c r="TQD106" s="207"/>
      <c r="TQE106" s="208"/>
      <c r="TQF106" s="209"/>
      <c r="TQG106" s="207"/>
      <c r="TQH106" s="210"/>
      <c r="TQI106" s="209"/>
      <c r="TQJ106" s="204"/>
      <c r="TQK106" s="204"/>
      <c r="TQL106" s="204"/>
      <c r="TQM106" s="199"/>
      <c r="TQN106" s="167"/>
      <c r="TQO106" s="199"/>
      <c r="TQP106" s="200"/>
      <c r="TQQ106" s="201"/>
      <c r="TQR106" s="202"/>
      <c r="TQS106" s="202"/>
      <c r="TQT106" s="202"/>
      <c r="TQU106" s="202"/>
      <c r="TQV106" s="203"/>
      <c r="TQW106" s="204"/>
      <c r="TQX106" s="204"/>
      <c r="TQY106" s="204"/>
      <c r="TQZ106" s="205"/>
      <c r="TRA106" s="206"/>
      <c r="TRB106" s="207"/>
      <c r="TRC106" s="207"/>
      <c r="TRD106" s="208"/>
      <c r="TRE106" s="209"/>
      <c r="TRF106" s="207"/>
      <c r="TRG106" s="210"/>
      <c r="TRH106" s="209"/>
      <c r="TRI106" s="204"/>
      <c r="TRJ106" s="204"/>
      <c r="TRK106" s="204"/>
      <c r="TRL106" s="199"/>
      <c r="TRM106" s="167"/>
      <c r="TRN106" s="199"/>
      <c r="TRO106" s="200"/>
      <c r="TRP106" s="201"/>
      <c r="TRQ106" s="202"/>
      <c r="TRR106" s="202"/>
      <c r="TRS106" s="202"/>
      <c r="TRT106" s="202"/>
      <c r="TRU106" s="203"/>
      <c r="TRV106" s="204"/>
      <c r="TRW106" s="204"/>
      <c r="TRX106" s="204"/>
      <c r="TRY106" s="205"/>
      <c r="TRZ106" s="206"/>
      <c r="TSA106" s="207"/>
      <c r="TSB106" s="207"/>
      <c r="TSC106" s="208"/>
      <c r="TSD106" s="209"/>
      <c r="TSE106" s="207"/>
      <c r="TSF106" s="210"/>
      <c r="TSG106" s="209"/>
      <c r="TSH106" s="204"/>
      <c r="TSI106" s="204"/>
      <c r="TSJ106" s="204"/>
      <c r="TSK106" s="199"/>
      <c r="TSL106" s="167"/>
      <c r="TSM106" s="199"/>
      <c r="TSN106" s="200"/>
      <c r="TSO106" s="201"/>
      <c r="TSP106" s="202"/>
      <c r="TSQ106" s="202"/>
      <c r="TSR106" s="202"/>
      <c r="TSS106" s="202"/>
      <c r="TST106" s="203"/>
      <c r="TSU106" s="204"/>
      <c r="TSV106" s="204"/>
      <c r="TSW106" s="204"/>
      <c r="TSX106" s="205"/>
      <c r="TSY106" s="206"/>
      <c r="TSZ106" s="207"/>
      <c r="TTA106" s="207"/>
      <c r="TTB106" s="208"/>
      <c r="TTC106" s="209"/>
      <c r="TTD106" s="207"/>
      <c r="TTE106" s="210"/>
      <c r="TTF106" s="209"/>
      <c r="TTG106" s="204"/>
      <c r="TTH106" s="204"/>
      <c r="TTI106" s="204"/>
      <c r="TTJ106" s="199"/>
      <c r="TTK106" s="167"/>
      <c r="TTL106" s="199"/>
      <c r="TTM106" s="200"/>
      <c r="TTN106" s="201"/>
      <c r="TTO106" s="202"/>
      <c r="TTP106" s="202"/>
      <c r="TTQ106" s="202"/>
      <c r="TTR106" s="202"/>
      <c r="TTS106" s="203"/>
      <c r="TTT106" s="204"/>
      <c r="TTU106" s="204"/>
      <c r="TTV106" s="204"/>
      <c r="TTW106" s="205"/>
      <c r="TTX106" s="206"/>
      <c r="TTY106" s="207"/>
      <c r="TTZ106" s="207"/>
      <c r="TUA106" s="208"/>
      <c r="TUB106" s="209"/>
      <c r="TUC106" s="207"/>
      <c r="TUD106" s="210"/>
      <c r="TUE106" s="209"/>
      <c r="TUF106" s="204"/>
      <c r="TUG106" s="204"/>
      <c r="TUH106" s="204"/>
      <c r="TUI106" s="199"/>
      <c r="TUJ106" s="167"/>
      <c r="TUK106" s="199"/>
      <c r="TUL106" s="200"/>
      <c r="TUM106" s="201"/>
      <c r="TUN106" s="202"/>
      <c r="TUO106" s="202"/>
      <c r="TUP106" s="202"/>
      <c r="TUQ106" s="202"/>
      <c r="TUR106" s="203"/>
      <c r="TUS106" s="204"/>
      <c r="TUT106" s="204"/>
      <c r="TUU106" s="204"/>
      <c r="TUV106" s="205"/>
      <c r="TUW106" s="206"/>
      <c r="TUX106" s="207"/>
      <c r="TUY106" s="207"/>
      <c r="TUZ106" s="208"/>
      <c r="TVA106" s="209"/>
      <c r="TVB106" s="207"/>
      <c r="TVC106" s="210"/>
      <c r="TVD106" s="209"/>
      <c r="TVE106" s="204"/>
      <c r="TVF106" s="204"/>
      <c r="TVG106" s="204"/>
      <c r="TVH106" s="199"/>
      <c r="TVI106" s="167"/>
      <c r="TVJ106" s="199"/>
      <c r="TVK106" s="200"/>
      <c r="TVL106" s="201"/>
      <c r="TVM106" s="202"/>
      <c r="TVN106" s="202"/>
      <c r="TVO106" s="202"/>
      <c r="TVP106" s="202"/>
      <c r="TVQ106" s="203"/>
      <c r="TVR106" s="204"/>
      <c r="TVS106" s="204"/>
      <c r="TVT106" s="204"/>
      <c r="TVU106" s="205"/>
      <c r="TVV106" s="206"/>
      <c r="TVW106" s="207"/>
      <c r="TVX106" s="207"/>
      <c r="TVY106" s="208"/>
      <c r="TVZ106" s="209"/>
      <c r="TWA106" s="207"/>
      <c r="TWB106" s="210"/>
      <c r="TWC106" s="209"/>
      <c r="TWD106" s="204"/>
      <c r="TWE106" s="204"/>
      <c r="TWF106" s="204"/>
      <c r="TWG106" s="199"/>
      <c r="TWH106" s="167"/>
      <c r="TWI106" s="199"/>
      <c r="TWJ106" s="200"/>
      <c r="TWK106" s="201"/>
      <c r="TWL106" s="202"/>
      <c r="TWM106" s="202"/>
      <c r="TWN106" s="202"/>
      <c r="TWO106" s="202"/>
      <c r="TWP106" s="203"/>
      <c r="TWQ106" s="204"/>
      <c r="TWR106" s="204"/>
      <c r="TWS106" s="204"/>
      <c r="TWT106" s="205"/>
      <c r="TWU106" s="206"/>
      <c r="TWV106" s="207"/>
      <c r="TWW106" s="207"/>
      <c r="TWX106" s="208"/>
      <c r="TWY106" s="209"/>
      <c r="TWZ106" s="207"/>
      <c r="TXA106" s="210"/>
      <c r="TXB106" s="209"/>
      <c r="TXC106" s="204"/>
      <c r="TXD106" s="204"/>
      <c r="TXE106" s="204"/>
      <c r="TXF106" s="199"/>
      <c r="TXG106" s="167"/>
      <c r="TXH106" s="199"/>
      <c r="TXI106" s="200"/>
      <c r="TXJ106" s="201"/>
      <c r="TXK106" s="202"/>
      <c r="TXL106" s="202"/>
      <c r="TXM106" s="202"/>
      <c r="TXN106" s="202"/>
      <c r="TXO106" s="203"/>
      <c r="TXP106" s="204"/>
      <c r="TXQ106" s="204"/>
      <c r="TXR106" s="204"/>
      <c r="TXS106" s="205"/>
      <c r="TXT106" s="206"/>
      <c r="TXU106" s="207"/>
      <c r="TXV106" s="207"/>
      <c r="TXW106" s="208"/>
      <c r="TXX106" s="209"/>
      <c r="TXY106" s="207"/>
      <c r="TXZ106" s="210"/>
      <c r="TYA106" s="209"/>
      <c r="TYB106" s="204"/>
      <c r="TYC106" s="204"/>
      <c r="TYD106" s="204"/>
      <c r="TYE106" s="199"/>
      <c r="TYF106" s="167"/>
      <c r="TYG106" s="199"/>
      <c r="TYH106" s="200"/>
      <c r="TYI106" s="201"/>
      <c r="TYJ106" s="202"/>
      <c r="TYK106" s="202"/>
      <c r="TYL106" s="202"/>
      <c r="TYM106" s="202"/>
      <c r="TYN106" s="203"/>
      <c r="TYO106" s="204"/>
      <c r="TYP106" s="204"/>
      <c r="TYQ106" s="204"/>
      <c r="TYR106" s="205"/>
      <c r="TYS106" s="206"/>
      <c r="TYT106" s="207"/>
      <c r="TYU106" s="207"/>
      <c r="TYV106" s="208"/>
      <c r="TYW106" s="209"/>
      <c r="TYX106" s="207"/>
      <c r="TYY106" s="210"/>
      <c r="TYZ106" s="209"/>
      <c r="TZA106" s="204"/>
      <c r="TZB106" s="204"/>
      <c r="TZC106" s="204"/>
      <c r="TZD106" s="199"/>
      <c r="TZE106" s="167"/>
      <c r="TZF106" s="199"/>
      <c r="TZG106" s="200"/>
      <c r="TZH106" s="201"/>
      <c r="TZI106" s="202"/>
      <c r="TZJ106" s="202"/>
      <c r="TZK106" s="202"/>
      <c r="TZL106" s="202"/>
      <c r="TZM106" s="203"/>
      <c r="TZN106" s="204"/>
      <c r="TZO106" s="204"/>
      <c r="TZP106" s="204"/>
      <c r="TZQ106" s="205"/>
      <c r="TZR106" s="206"/>
      <c r="TZS106" s="207"/>
      <c r="TZT106" s="207"/>
      <c r="TZU106" s="208"/>
      <c r="TZV106" s="209"/>
      <c r="TZW106" s="207"/>
      <c r="TZX106" s="210"/>
      <c r="TZY106" s="209"/>
      <c r="TZZ106" s="204"/>
      <c r="UAA106" s="204"/>
      <c r="UAB106" s="204"/>
      <c r="UAC106" s="199"/>
      <c r="UAD106" s="167"/>
      <c r="UAE106" s="199"/>
      <c r="UAF106" s="200"/>
      <c r="UAG106" s="201"/>
      <c r="UAH106" s="202"/>
      <c r="UAI106" s="202"/>
      <c r="UAJ106" s="202"/>
      <c r="UAK106" s="202"/>
      <c r="UAL106" s="203"/>
      <c r="UAM106" s="204"/>
      <c r="UAN106" s="204"/>
      <c r="UAO106" s="204"/>
      <c r="UAP106" s="205"/>
      <c r="UAQ106" s="206"/>
      <c r="UAR106" s="207"/>
      <c r="UAS106" s="207"/>
      <c r="UAT106" s="208"/>
      <c r="UAU106" s="209"/>
      <c r="UAV106" s="207"/>
      <c r="UAW106" s="210"/>
      <c r="UAX106" s="209"/>
      <c r="UAY106" s="204"/>
      <c r="UAZ106" s="204"/>
      <c r="UBA106" s="204"/>
      <c r="UBB106" s="199"/>
      <c r="UBC106" s="167"/>
      <c r="UBD106" s="199"/>
      <c r="UBE106" s="200"/>
      <c r="UBF106" s="201"/>
      <c r="UBG106" s="202"/>
      <c r="UBH106" s="202"/>
      <c r="UBI106" s="202"/>
      <c r="UBJ106" s="202"/>
      <c r="UBK106" s="203"/>
      <c r="UBL106" s="204"/>
      <c r="UBM106" s="204"/>
      <c r="UBN106" s="204"/>
      <c r="UBO106" s="205"/>
      <c r="UBP106" s="206"/>
      <c r="UBQ106" s="207"/>
      <c r="UBR106" s="207"/>
      <c r="UBS106" s="208"/>
      <c r="UBT106" s="209"/>
      <c r="UBU106" s="207"/>
      <c r="UBV106" s="210"/>
      <c r="UBW106" s="209"/>
      <c r="UBX106" s="204"/>
      <c r="UBY106" s="204"/>
      <c r="UBZ106" s="204"/>
      <c r="UCA106" s="199"/>
      <c r="UCB106" s="167"/>
      <c r="UCC106" s="199"/>
      <c r="UCD106" s="200"/>
      <c r="UCE106" s="201"/>
      <c r="UCF106" s="202"/>
      <c r="UCG106" s="202"/>
      <c r="UCH106" s="202"/>
      <c r="UCI106" s="202"/>
      <c r="UCJ106" s="203"/>
      <c r="UCK106" s="204"/>
      <c r="UCL106" s="204"/>
      <c r="UCM106" s="204"/>
      <c r="UCN106" s="205"/>
      <c r="UCO106" s="206"/>
      <c r="UCP106" s="207"/>
      <c r="UCQ106" s="207"/>
      <c r="UCR106" s="208"/>
      <c r="UCS106" s="209"/>
      <c r="UCT106" s="207"/>
      <c r="UCU106" s="210"/>
      <c r="UCV106" s="209"/>
      <c r="UCW106" s="204"/>
      <c r="UCX106" s="204"/>
      <c r="UCY106" s="204"/>
      <c r="UCZ106" s="199"/>
      <c r="UDA106" s="167"/>
      <c r="UDB106" s="199"/>
      <c r="UDC106" s="200"/>
      <c r="UDD106" s="201"/>
      <c r="UDE106" s="202"/>
      <c r="UDF106" s="202"/>
      <c r="UDG106" s="202"/>
      <c r="UDH106" s="202"/>
      <c r="UDI106" s="203"/>
      <c r="UDJ106" s="204"/>
      <c r="UDK106" s="204"/>
      <c r="UDL106" s="204"/>
      <c r="UDM106" s="205"/>
      <c r="UDN106" s="206"/>
      <c r="UDO106" s="207"/>
      <c r="UDP106" s="207"/>
      <c r="UDQ106" s="208"/>
      <c r="UDR106" s="209"/>
      <c r="UDS106" s="207"/>
      <c r="UDT106" s="210"/>
      <c r="UDU106" s="209"/>
      <c r="UDV106" s="204"/>
      <c r="UDW106" s="204"/>
      <c r="UDX106" s="204"/>
      <c r="UDY106" s="199"/>
      <c r="UDZ106" s="167"/>
      <c r="UEA106" s="199"/>
      <c r="UEB106" s="200"/>
      <c r="UEC106" s="201"/>
      <c r="UED106" s="202"/>
      <c r="UEE106" s="202"/>
      <c r="UEF106" s="202"/>
      <c r="UEG106" s="202"/>
      <c r="UEH106" s="203"/>
      <c r="UEI106" s="204"/>
      <c r="UEJ106" s="204"/>
      <c r="UEK106" s="204"/>
      <c r="UEL106" s="205"/>
      <c r="UEM106" s="206"/>
      <c r="UEN106" s="207"/>
      <c r="UEO106" s="207"/>
      <c r="UEP106" s="208"/>
      <c r="UEQ106" s="209"/>
      <c r="UER106" s="207"/>
      <c r="UES106" s="210"/>
      <c r="UET106" s="209"/>
      <c r="UEU106" s="204"/>
      <c r="UEV106" s="204"/>
      <c r="UEW106" s="204"/>
      <c r="UEX106" s="199"/>
      <c r="UEY106" s="167"/>
      <c r="UEZ106" s="199"/>
      <c r="UFA106" s="200"/>
      <c r="UFB106" s="201"/>
      <c r="UFC106" s="202"/>
      <c r="UFD106" s="202"/>
      <c r="UFE106" s="202"/>
      <c r="UFF106" s="202"/>
      <c r="UFG106" s="203"/>
      <c r="UFH106" s="204"/>
      <c r="UFI106" s="204"/>
      <c r="UFJ106" s="204"/>
      <c r="UFK106" s="205"/>
      <c r="UFL106" s="206"/>
      <c r="UFM106" s="207"/>
      <c r="UFN106" s="207"/>
      <c r="UFO106" s="208"/>
      <c r="UFP106" s="209"/>
      <c r="UFQ106" s="207"/>
      <c r="UFR106" s="210"/>
      <c r="UFS106" s="209"/>
      <c r="UFT106" s="204"/>
      <c r="UFU106" s="204"/>
      <c r="UFV106" s="204"/>
      <c r="UFW106" s="199"/>
      <c r="UFX106" s="167"/>
      <c r="UFY106" s="199"/>
      <c r="UFZ106" s="200"/>
      <c r="UGA106" s="201"/>
      <c r="UGB106" s="202"/>
      <c r="UGC106" s="202"/>
      <c r="UGD106" s="202"/>
      <c r="UGE106" s="202"/>
      <c r="UGF106" s="203"/>
      <c r="UGG106" s="204"/>
      <c r="UGH106" s="204"/>
      <c r="UGI106" s="204"/>
      <c r="UGJ106" s="205"/>
      <c r="UGK106" s="206"/>
      <c r="UGL106" s="207"/>
      <c r="UGM106" s="207"/>
      <c r="UGN106" s="208"/>
      <c r="UGO106" s="209"/>
      <c r="UGP106" s="207"/>
      <c r="UGQ106" s="210"/>
      <c r="UGR106" s="209"/>
      <c r="UGS106" s="204"/>
      <c r="UGT106" s="204"/>
      <c r="UGU106" s="204"/>
      <c r="UGV106" s="199"/>
      <c r="UGW106" s="167"/>
      <c r="UGX106" s="199"/>
      <c r="UGY106" s="200"/>
      <c r="UGZ106" s="201"/>
      <c r="UHA106" s="202"/>
      <c r="UHB106" s="202"/>
      <c r="UHC106" s="202"/>
      <c r="UHD106" s="202"/>
      <c r="UHE106" s="203"/>
      <c r="UHF106" s="204"/>
      <c r="UHG106" s="204"/>
      <c r="UHH106" s="204"/>
      <c r="UHI106" s="205"/>
      <c r="UHJ106" s="206"/>
      <c r="UHK106" s="207"/>
      <c r="UHL106" s="207"/>
      <c r="UHM106" s="208"/>
      <c r="UHN106" s="209"/>
      <c r="UHO106" s="207"/>
      <c r="UHP106" s="210"/>
      <c r="UHQ106" s="209"/>
      <c r="UHR106" s="204"/>
      <c r="UHS106" s="204"/>
      <c r="UHT106" s="204"/>
      <c r="UHU106" s="199"/>
      <c r="UHV106" s="167"/>
      <c r="UHW106" s="199"/>
      <c r="UHX106" s="200"/>
      <c r="UHY106" s="201"/>
      <c r="UHZ106" s="202"/>
      <c r="UIA106" s="202"/>
      <c r="UIB106" s="202"/>
      <c r="UIC106" s="202"/>
      <c r="UID106" s="203"/>
      <c r="UIE106" s="204"/>
      <c r="UIF106" s="204"/>
      <c r="UIG106" s="204"/>
      <c r="UIH106" s="205"/>
      <c r="UII106" s="206"/>
      <c r="UIJ106" s="207"/>
      <c r="UIK106" s="207"/>
      <c r="UIL106" s="208"/>
      <c r="UIM106" s="209"/>
      <c r="UIN106" s="207"/>
      <c r="UIO106" s="210"/>
      <c r="UIP106" s="209"/>
      <c r="UIQ106" s="204"/>
      <c r="UIR106" s="204"/>
      <c r="UIS106" s="204"/>
      <c r="UIT106" s="199"/>
      <c r="UIU106" s="167"/>
      <c r="UIV106" s="199"/>
      <c r="UIW106" s="200"/>
      <c r="UIX106" s="201"/>
      <c r="UIY106" s="202"/>
      <c r="UIZ106" s="202"/>
      <c r="UJA106" s="202"/>
      <c r="UJB106" s="202"/>
      <c r="UJC106" s="203"/>
      <c r="UJD106" s="204"/>
      <c r="UJE106" s="204"/>
      <c r="UJF106" s="204"/>
      <c r="UJG106" s="205"/>
      <c r="UJH106" s="206"/>
      <c r="UJI106" s="207"/>
      <c r="UJJ106" s="207"/>
      <c r="UJK106" s="208"/>
      <c r="UJL106" s="209"/>
      <c r="UJM106" s="207"/>
      <c r="UJN106" s="210"/>
      <c r="UJO106" s="209"/>
      <c r="UJP106" s="204"/>
      <c r="UJQ106" s="204"/>
      <c r="UJR106" s="204"/>
      <c r="UJS106" s="199"/>
      <c r="UJT106" s="167"/>
      <c r="UJU106" s="199"/>
      <c r="UJV106" s="200"/>
      <c r="UJW106" s="201"/>
      <c r="UJX106" s="202"/>
      <c r="UJY106" s="202"/>
      <c r="UJZ106" s="202"/>
      <c r="UKA106" s="202"/>
      <c r="UKB106" s="203"/>
      <c r="UKC106" s="204"/>
      <c r="UKD106" s="204"/>
      <c r="UKE106" s="204"/>
      <c r="UKF106" s="205"/>
      <c r="UKG106" s="206"/>
      <c r="UKH106" s="207"/>
      <c r="UKI106" s="207"/>
      <c r="UKJ106" s="208"/>
      <c r="UKK106" s="209"/>
      <c r="UKL106" s="207"/>
      <c r="UKM106" s="210"/>
      <c r="UKN106" s="209"/>
      <c r="UKO106" s="204"/>
      <c r="UKP106" s="204"/>
      <c r="UKQ106" s="204"/>
      <c r="UKR106" s="199"/>
      <c r="UKS106" s="167"/>
      <c r="UKT106" s="199"/>
      <c r="UKU106" s="200"/>
      <c r="UKV106" s="201"/>
      <c r="UKW106" s="202"/>
      <c r="UKX106" s="202"/>
      <c r="UKY106" s="202"/>
      <c r="UKZ106" s="202"/>
      <c r="ULA106" s="203"/>
      <c r="ULB106" s="204"/>
      <c r="ULC106" s="204"/>
      <c r="ULD106" s="204"/>
      <c r="ULE106" s="205"/>
      <c r="ULF106" s="206"/>
      <c r="ULG106" s="207"/>
      <c r="ULH106" s="207"/>
      <c r="ULI106" s="208"/>
      <c r="ULJ106" s="209"/>
      <c r="ULK106" s="207"/>
      <c r="ULL106" s="210"/>
      <c r="ULM106" s="209"/>
      <c r="ULN106" s="204"/>
      <c r="ULO106" s="204"/>
      <c r="ULP106" s="204"/>
      <c r="ULQ106" s="199"/>
      <c r="ULR106" s="167"/>
      <c r="ULS106" s="199"/>
      <c r="ULT106" s="200"/>
      <c r="ULU106" s="201"/>
      <c r="ULV106" s="202"/>
      <c r="ULW106" s="202"/>
      <c r="ULX106" s="202"/>
      <c r="ULY106" s="202"/>
      <c r="ULZ106" s="203"/>
      <c r="UMA106" s="204"/>
      <c r="UMB106" s="204"/>
      <c r="UMC106" s="204"/>
      <c r="UMD106" s="205"/>
      <c r="UME106" s="206"/>
      <c r="UMF106" s="207"/>
      <c r="UMG106" s="207"/>
      <c r="UMH106" s="208"/>
      <c r="UMI106" s="209"/>
      <c r="UMJ106" s="207"/>
      <c r="UMK106" s="210"/>
      <c r="UML106" s="209"/>
      <c r="UMM106" s="204"/>
      <c r="UMN106" s="204"/>
      <c r="UMO106" s="204"/>
      <c r="UMP106" s="199"/>
      <c r="UMQ106" s="167"/>
      <c r="UMR106" s="199"/>
      <c r="UMS106" s="200"/>
      <c r="UMT106" s="201"/>
      <c r="UMU106" s="202"/>
      <c r="UMV106" s="202"/>
      <c r="UMW106" s="202"/>
      <c r="UMX106" s="202"/>
      <c r="UMY106" s="203"/>
      <c r="UMZ106" s="204"/>
      <c r="UNA106" s="204"/>
      <c r="UNB106" s="204"/>
      <c r="UNC106" s="205"/>
      <c r="UND106" s="206"/>
      <c r="UNE106" s="207"/>
      <c r="UNF106" s="207"/>
      <c r="UNG106" s="208"/>
      <c r="UNH106" s="209"/>
      <c r="UNI106" s="207"/>
      <c r="UNJ106" s="210"/>
      <c r="UNK106" s="209"/>
      <c r="UNL106" s="204"/>
      <c r="UNM106" s="204"/>
      <c r="UNN106" s="204"/>
      <c r="UNO106" s="199"/>
      <c r="UNP106" s="167"/>
      <c r="UNQ106" s="199"/>
      <c r="UNR106" s="200"/>
      <c r="UNS106" s="201"/>
      <c r="UNT106" s="202"/>
      <c r="UNU106" s="202"/>
      <c r="UNV106" s="202"/>
      <c r="UNW106" s="202"/>
      <c r="UNX106" s="203"/>
      <c r="UNY106" s="204"/>
      <c r="UNZ106" s="204"/>
      <c r="UOA106" s="204"/>
      <c r="UOB106" s="205"/>
      <c r="UOC106" s="206"/>
      <c r="UOD106" s="207"/>
      <c r="UOE106" s="207"/>
      <c r="UOF106" s="208"/>
      <c r="UOG106" s="209"/>
      <c r="UOH106" s="207"/>
      <c r="UOI106" s="210"/>
      <c r="UOJ106" s="209"/>
      <c r="UOK106" s="204"/>
      <c r="UOL106" s="204"/>
      <c r="UOM106" s="204"/>
      <c r="UON106" s="199"/>
      <c r="UOO106" s="167"/>
      <c r="UOP106" s="199"/>
      <c r="UOQ106" s="200"/>
      <c r="UOR106" s="201"/>
      <c r="UOS106" s="202"/>
      <c r="UOT106" s="202"/>
      <c r="UOU106" s="202"/>
      <c r="UOV106" s="202"/>
      <c r="UOW106" s="203"/>
      <c r="UOX106" s="204"/>
      <c r="UOY106" s="204"/>
      <c r="UOZ106" s="204"/>
      <c r="UPA106" s="205"/>
      <c r="UPB106" s="206"/>
      <c r="UPC106" s="207"/>
      <c r="UPD106" s="207"/>
      <c r="UPE106" s="208"/>
      <c r="UPF106" s="209"/>
      <c r="UPG106" s="207"/>
      <c r="UPH106" s="210"/>
      <c r="UPI106" s="209"/>
      <c r="UPJ106" s="204"/>
      <c r="UPK106" s="204"/>
      <c r="UPL106" s="204"/>
      <c r="UPM106" s="199"/>
      <c r="UPN106" s="167"/>
      <c r="UPO106" s="199"/>
      <c r="UPP106" s="200"/>
      <c r="UPQ106" s="201"/>
      <c r="UPR106" s="202"/>
      <c r="UPS106" s="202"/>
      <c r="UPT106" s="202"/>
      <c r="UPU106" s="202"/>
      <c r="UPV106" s="203"/>
      <c r="UPW106" s="204"/>
      <c r="UPX106" s="204"/>
      <c r="UPY106" s="204"/>
      <c r="UPZ106" s="205"/>
      <c r="UQA106" s="206"/>
      <c r="UQB106" s="207"/>
      <c r="UQC106" s="207"/>
      <c r="UQD106" s="208"/>
      <c r="UQE106" s="209"/>
      <c r="UQF106" s="207"/>
      <c r="UQG106" s="210"/>
      <c r="UQH106" s="209"/>
      <c r="UQI106" s="204"/>
      <c r="UQJ106" s="204"/>
      <c r="UQK106" s="204"/>
      <c r="UQL106" s="199"/>
      <c r="UQM106" s="167"/>
      <c r="UQN106" s="199"/>
      <c r="UQO106" s="200"/>
      <c r="UQP106" s="201"/>
      <c r="UQQ106" s="202"/>
      <c r="UQR106" s="202"/>
      <c r="UQS106" s="202"/>
      <c r="UQT106" s="202"/>
      <c r="UQU106" s="203"/>
      <c r="UQV106" s="204"/>
      <c r="UQW106" s="204"/>
      <c r="UQX106" s="204"/>
      <c r="UQY106" s="205"/>
      <c r="UQZ106" s="206"/>
      <c r="URA106" s="207"/>
      <c r="URB106" s="207"/>
      <c r="URC106" s="208"/>
      <c r="URD106" s="209"/>
      <c r="URE106" s="207"/>
      <c r="URF106" s="210"/>
      <c r="URG106" s="209"/>
      <c r="URH106" s="204"/>
      <c r="URI106" s="204"/>
      <c r="URJ106" s="204"/>
      <c r="URK106" s="199"/>
      <c r="URL106" s="167"/>
      <c r="URM106" s="199"/>
      <c r="URN106" s="200"/>
      <c r="URO106" s="201"/>
      <c r="URP106" s="202"/>
      <c r="URQ106" s="202"/>
      <c r="URR106" s="202"/>
      <c r="URS106" s="202"/>
      <c r="URT106" s="203"/>
      <c r="URU106" s="204"/>
      <c r="URV106" s="204"/>
      <c r="URW106" s="204"/>
      <c r="URX106" s="205"/>
      <c r="URY106" s="206"/>
      <c r="URZ106" s="207"/>
      <c r="USA106" s="207"/>
      <c r="USB106" s="208"/>
      <c r="USC106" s="209"/>
      <c r="USD106" s="207"/>
      <c r="USE106" s="210"/>
      <c r="USF106" s="209"/>
      <c r="USG106" s="204"/>
      <c r="USH106" s="204"/>
      <c r="USI106" s="204"/>
      <c r="USJ106" s="199"/>
      <c r="USK106" s="167"/>
      <c r="USL106" s="199"/>
      <c r="USM106" s="200"/>
      <c r="USN106" s="201"/>
      <c r="USO106" s="202"/>
      <c r="USP106" s="202"/>
      <c r="USQ106" s="202"/>
      <c r="USR106" s="202"/>
      <c r="USS106" s="203"/>
      <c r="UST106" s="204"/>
      <c r="USU106" s="204"/>
      <c r="USV106" s="204"/>
      <c r="USW106" s="205"/>
      <c r="USX106" s="206"/>
      <c r="USY106" s="207"/>
      <c r="USZ106" s="207"/>
      <c r="UTA106" s="208"/>
      <c r="UTB106" s="209"/>
      <c r="UTC106" s="207"/>
      <c r="UTD106" s="210"/>
      <c r="UTE106" s="209"/>
      <c r="UTF106" s="204"/>
      <c r="UTG106" s="204"/>
      <c r="UTH106" s="204"/>
      <c r="UTI106" s="199"/>
      <c r="UTJ106" s="167"/>
      <c r="UTK106" s="199"/>
      <c r="UTL106" s="200"/>
      <c r="UTM106" s="201"/>
      <c r="UTN106" s="202"/>
      <c r="UTO106" s="202"/>
      <c r="UTP106" s="202"/>
      <c r="UTQ106" s="202"/>
      <c r="UTR106" s="203"/>
      <c r="UTS106" s="204"/>
      <c r="UTT106" s="204"/>
      <c r="UTU106" s="204"/>
      <c r="UTV106" s="205"/>
      <c r="UTW106" s="206"/>
      <c r="UTX106" s="207"/>
      <c r="UTY106" s="207"/>
      <c r="UTZ106" s="208"/>
      <c r="UUA106" s="209"/>
      <c r="UUB106" s="207"/>
      <c r="UUC106" s="210"/>
      <c r="UUD106" s="209"/>
      <c r="UUE106" s="204"/>
      <c r="UUF106" s="204"/>
      <c r="UUG106" s="204"/>
      <c r="UUH106" s="199"/>
      <c r="UUI106" s="167"/>
      <c r="UUJ106" s="199"/>
      <c r="UUK106" s="200"/>
      <c r="UUL106" s="201"/>
      <c r="UUM106" s="202"/>
      <c r="UUN106" s="202"/>
      <c r="UUO106" s="202"/>
      <c r="UUP106" s="202"/>
      <c r="UUQ106" s="203"/>
      <c r="UUR106" s="204"/>
      <c r="UUS106" s="204"/>
      <c r="UUT106" s="204"/>
      <c r="UUU106" s="205"/>
      <c r="UUV106" s="206"/>
      <c r="UUW106" s="207"/>
      <c r="UUX106" s="207"/>
      <c r="UUY106" s="208"/>
      <c r="UUZ106" s="209"/>
      <c r="UVA106" s="207"/>
      <c r="UVB106" s="210"/>
      <c r="UVC106" s="209"/>
      <c r="UVD106" s="204"/>
      <c r="UVE106" s="204"/>
      <c r="UVF106" s="204"/>
      <c r="UVG106" s="199"/>
      <c r="UVH106" s="167"/>
      <c r="UVI106" s="199"/>
      <c r="UVJ106" s="200"/>
      <c r="UVK106" s="201"/>
      <c r="UVL106" s="202"/>
      <c r="UVM106" s="202"/>
      <c r="UVN106" s="202"/>
      <c r="UVO106" s="202"/>
      <c r="UVP106" s="203"/>
      <c r="UVQ106" s="204"/>
      <c r="UVR106" s="204"/>
      <c r="UVS106" s="204"/>
      <c r="UVT106" s="205"/>
      <c r="UVU106" s="206"/>
      <c r="UVV106" s="207"/>
      <c r="UVW106" s="207"/>
      <c r="UVX106" s="208"/>
      <c r="UVY106" s="209"/>
      <c r="UVZ106" s="207"/>
      <c r="UWA106" s="210"/>
      <c r="UWB106" s="209"/>
      <c r="UWC106" s="204"/>
      <c r="UWD106" s="204"/>
      <c r="UWE106" s="204"/>
      <c r="UWF106" s="199"/>
      <c r="UWG106" s="167"/>
      <c r="UWH106" s="199"/>
      <c r="UWI106" s="200"/>
      <c r="UWJ106" s="201"/>
      <c r="UWK106" s="202"/>
      <c r="UWL106" s="202"/>
      <c r="UWM106" s="202"/>
      <c r="UWN106" s="202"/>
      <c r="UWO106" s="203"/>
      <c r="UWP106" s="204"/>
      <c r="UWQ106" s="204"/>
      <c r="UWR106" s="204"/>
      <c r="UWS106" s="205"/>
      <c r="UWT106" s="206"/>
      <c r="UWU106" s="207"/>
      <c r="UWV106" s="207"/>
      <c r="UWW106" s="208"/>
      <c r="UWX106" s="209"/>
      <c r="UWY106" s="207"/>
      <c r="UWZ106" s="210"/>
      <c r="UXA106" s="209"/>
      <c r="UXB106" s="204"/>
      <c r="UXC106" s="204"/>
      <c r="UXD106" s="204"/>
      <c r="UXE106" s="199"/>
      <c r="UXF106" s="167"/>
      <c r="UXG106" s="199"/>
      <c r="UXH106" s="200"/>
      <c r="UXI106" s="201"/>
      <c r="UXJ106" s="202"/>
      <c r="UXK106" s="202"/>
      <c r="UXL106" s="202"/>
      <c r="UXM106" s="202"/>
      <c r="UXN106" s="203"/>
      <c r="UXO106" s="204"/>
      <c r="UXP106" s="204"/>
      <c r="UXQ106" s="204"/>
      <c r="UXR106" s="205"/>
      <c r="UXS106" s="206"/>
      <c r="UXT106" s="207"/>
      <c r="UXU106" s="207"/>
      <c r="UXV106" s="208"/>
      <c r="UXW106" s="209"/>
      <c r="UXX106" s="207"/>
      <c r="UXY106" s="210"/>
      <c r="UXZ106" s="209"/>
      <c r="UYA106" s="204"/>
      <c r="UYB106" s="204"/>
      <c r="UYC106" s="204"/>
      <c r="UYD106" s="199"/>
      <c r="UYE106" s="167"/>
      <c r="UYF106" s="199"/>
      <c r="UYG106" s="200"/>
      <c r="UYH106" s="201"/>
      <c r="UYI106" s="202"/>
      <c r="UYJ106" s="202"/>
      <c r="UYK106" s="202"/>
      <c r="UYL106" s="202"/>
      <c r="UYM106" s="203"/>
      <c r="UYN106" s="204"/>
      <c r="UYO106" s="204"/>
      <c r="UYP106" s="204"/>
      <c r="UYQ106" s="205"/>
      <c r="UYR106" s="206"/>
      <c r="UYS106" s="207"/>
      <c r="UYT106" s="207"/>
      <c r="UYU106" s="208"/>
      <c r="UYV106" s="209"/>
      <c r="UYW106" s="207"/>
      <c r="UYX106" s="210"/>
      <c r="UYY106" s="209"/>
      <c r="UYZ106" s="204"/>
      <c r="UZA106" s="204"/>
      <c r="UZB106" s="204"/>
      <c r="UZC106" s="199"/>
      <c r="UZD106" s="167"/>
      <c r="UZE106" s="199"/>
      <c r="UZF106" s="200"/>
      <c r="UZG106" s="201"/>
      <c r="UZH106" s="202"/>
      <c r="UZI106" s="202"/>
      <c r="UZJ106" s="202"/>
      <c r="UZK106" s="202"/>
      <c r="UZL106" s="203"/>
      <c r="UZM106" s="204"/>
      <c r="UZN106" s="204"/>
      <c r="UZO106" s="204"/>
      <c r="UZP106" s="205"/>
      <c r="UZQ106" s="206"/>
      <c r="UZR106" s="207"/>
      <c r="UZS106" s="207"/>
      <c r="UZT106" s="208"/>
      <c r="UZU106" s="209"/>
      <c r="UZV106" s="207"/>
      <c r="UZW106" s="210"/>
      <c r="UZX106" s="209"/>
      <c r="UZY106" s="204"/>
      <c r="UZZ106" s="204"/>
      <c r="VAA106" s="204"/>
      <c r="VAB106" s="199"/>
      <c r="VAC106" s="167"/>
      <c r="VAD106" s="199"/>
      <c r="VAE106" s="200"/>
      <c r="VAF106" s="201"/>
      <c r="VAG106" s="202"/>
      <c r="VAH106" s="202"/>
      <c r="VAI106" s="202"/>
      <c r="VAJ106" s="202"/>
      <c r="VAK106" s="203"/>
      <c r="VAL106" s="204"/>
      <c r="VAM106" s="204"/>
      <c r="VAN106" s="204"/>
      <c r="VAO106" s="205"/>
      <c r="VAP106" s="206"/>
      <c r="VAQ106" s="207"/>
      <c r="VAR106" s="207"/>
      <c r="VAS106" s="208"/>
      <c r="VAT106" s="209"/>
      <c r="VAU106" s="207"/>
      <c r="VAV106" s="210"/>
      <c r="VAW106" s="209"/>
      <c r="VAX106" s="204"/>
      <c r="VAY106" s="204"/>
      <c r="VAZ106" s="204"/>
      <c r="VBA106" s="199"/>
      <c r="VBB106" s="167"/>
      <c r="VBC106" s="199"/>
      <c r="VBD106" s="200"/>
      <c r="VBE106" s="201"/>
      <c r="VBF106" s="202"/>
      <c r="VBG106" s="202"/>
      <c r="VBH106" s="202"/>
      <c r="VBI106" s="202"/>
      <c r="VBJ106" s="203"/>
      <c r="VBK106" s="204"/>
      <c r="VBL106" s="204"/>
      <c r="VBM106" s="204"/>
      <c r="VBN106" s="205"/>
      <c r="VBO106" s="206"/>
      <c r="VBP106" s="207"/>
      <c r="VBQ106" s="207"/>
      <c r="VBR106" s="208"/>
      <c r="VBS106" s="209"/>
      <c r="VBT106" s="207"/>
      <c r="VBU106" s="210"/>
      <c r="VBV106" s="209"/>
      <c r="VBW106" s="204"/>
      <c r="VBX106" s="204"/>
      <c r="VBY106" s="204"/>
      <c r="VBZ106" s="199"/>
      <c r="VCA106" s="167"/>
      <c r="VCB106" s="199"/>
      <c r="VCC106" s="200"/>
      <c r="VCD106" s="201"/>
      <c r="VCE106" s="202"/>
      <c r="VCF106" s="202"/>
      <c r="VCG106" s="202"/>
      <c r="VCH106" s="202"/>
      <c r="VCI106" s="203"/>
      <c r="VCJ106" s="204"/>
      <c r="VCK106" s="204"/>
      <c r="VCL106" s="204"/>
      <c r="VCM106" s="205"/>
      <c r="VCN106" s="206"/>
      <c r="VCO106" s="207"/>
      <c r="VCP106" s="207"/>
      <c r="VCQ106" s="208"/>
      <c r="VCR106" s="209"/>
      <c r="VCS106" s="207"/>
      <c r="VCT106" s="210"/>
      <c r="VCU106" s="209"/>
      <c r="VCV106" s="204"/>
      <c r="VCW106" s="204"/>
      <c r="VCX106" s="204"/>
      <c r="VCY106" s="199"/>
      <c r="VCZ106" s="167"/>
      <c r="VDA106" s="199"/>
      <c r="VDB106" s="200"/>
      <c r="VDC106" s="201"/>
      <c r="VDD106" s="202"/>
      <c r="VDE106" s="202"/>
      <c r="VDF106" s="202"/>
      <c r="VDG106" s="202"/>
      <c r="VDH106" s="203"/>
      <c r="VDI106" s="204"/>
      <c r="VDJ106" s="204"/>
      <c r="VDK106" s="204"/>
      <c r="VDL106" s="205"/>
      <c r="VDM106" s="206"/>
      <c r="VDN106" s="207"/>
      <c r="VDO106" s="207"/>
      <c r="VDP106" s="208"/>
      <c r="VDQ106" s="209"/>
      <c r="VDR106" s="207"/>
      <c r="VDS106" s="210"/>
      <c r="VDT106" s="209"/>
      <c r="VDU106" s="204"/>
      <c r="VDV106" s="204"/>
      <c r="VDW106" s="204"/>
      <c r="VDX106" s="199"/>
      <c r="VDY106" s="167"/>
      <c r="VDZ106" s="199"/>
      <c r="VEA106" s="200"/>
      <c r="VEB106" s="201"/>
      <c r="VEC106" s="202"/>
      <c r="VED106" s="202"/>
      <c r="VEE106" s="202"/>
      <c r="VEF106" s="202"/>
      <c r="VEG106" s="203"/>
      <c r="VEH106" s="204"/>
      <c r="VEI106" s="204"/>
      <c r="VEJ106" s="204"/>
      <c r="VEK106" s="205"/>
      <c r="VEL106" s="206"/>
      <c r="VEM106" s="207"/>
      <c r="VEN106" s="207"/>
      <c r="VEO106" s="208"/>
      <c r="VEP106" s="209"/>
      <c r="VEQ106" s="207"/>
      <c r="VER106" s="210"/>
      <c r="VES106" s="209"/>
      <c r="VET106" s="204"/>
      <c r="VEU106" s="204"/>
      <c r="VEV106" s="204"/>
      <c r="VEW106" s="199"/>
      <c r="VEX106" s="167"/>
      <c r="VEY106" s="199"/>
      <c r="VEZ106" s="200"/>
      <c r="VFA106" s="201"/>
      <c r="VFB106" s="202"/>
      <c r="VFC106" s="202"/>
      <c r="VFD106" s="202"/>
      <c r="VFE106" s="202"/>
      <c r="VFF106" s="203"/>
      <c r="VFG106" s="204"/>
      <c r="VFH106" s="204"/>
      <c r="VFI106" s="204"/>
      <c r="VFJ106" s="205"/>
      <c r="VFK106" s="206"/>
      <c r="VFL106" s="207"/>
      <c r="VFM106" s="207"/>
      <c r="VFN106" s="208"/>
      <c r="VFO106" s="209"/>
      <c r="VFP106" s="207"/>
      <c r="VFQ106" s="210"/>
      <c r="VFR106" s="209"/>
      <c r="VFS106" s="204"/>
      <c r="VFT106" s="204"/>
      <c r="VFU106" s="204"/>
      <c r="VFV106" s="199"/>
      <c r="VFW106" s="167"/>
      <c r="VFX106" s="199"/>
      <c r="VFY106" s="200"/>
      <c r="VFZ106" s="201"/>
      <c r="VGA106" s="202"/>
      <c r="VGB106" s="202"/>
      <c r="VGC106" s="202"/>
      <c r="VGD106" s="202"/>
      <c r="VGE106" s="203"/>
      <c r="VGF106" s="204"/>
      <c r="VGG106" s="204"/>
      <c r="VGH106" s="204"/>
      <c r="VGI106" s="205"/>
      <c r="VGJ106" s="206"/>
      <c r="VGK106" s="207"/>
      <c r="VGL106" s="207"/>
      <c r="VGM106" s="208"/>
      <c r="VGN106" s="209"/>
      <c r="VGO106" s="207"/>
      <c r="VGP106" s="210"/>
      <c r="VGQ106" s="209"/>
      <c r="VGR106" s="204"/>
      <c r="VGS106" s="204"/>
      <c r="VGT106" s="204"/>
      <c r="VGU106" s="199"/>
      <c r="VGV106" s="167"/>
      <c r="VGW106" s="199"/>
      <c r="VGX106" s="200"/>
      <c r="VGY106" s="201"/>
      <c r="VGZ106" s="202"/>
      <c r="VHA106" s="202"/>
      <c r="VHB106" s="202"/>
      <c r="VHC106" s="202"/>
      <c r="VHD106" s="203"/>
      <c r="VHE106" s="204"/>
      <c r="VHF106" s="204"/>
      <c r="VHG106" s="204"/>
      <c r="VHH106" s="205"/>
      <c r="VHI106" s="206"/>
      <c r="VHJ106" s="207"/>
      <c r="VHK106" s="207"/>
      <c r="VHL106" s="208"/>
      <c r="VHM106" s="209"/>
      <c r="VHN106" s="207"/>
      <c r="VHO106" s="210"/>
      <c r="VHP106" s="209"/>
      <c r="VHQ106" s="204"/>
      <c r="VHR106" s="204"/>
      <c r="VHS106" s="204"/>
      <c r="VHT106" s="199"/>
      <c r="VHU106" s="167"/>
      <c r="VHV106" s="199"/>
      <c r="VHW106" s="200"/>
      <c r="VHX106" s="201"/>
      <c r="VHY106" s="202"/>
      <c r="VHZ106" s="202"/>
      <c r="VIA106" s="202"/>
      <c r="VIB106" s="202"/>
      <c r="VIC106" s="203"/>
      <c r="VID106" s="204"/>
      <c r="VIE106" s="204"/>
      <c r="VIF106" s="204"/>
      <c r="VIG106" s="205"/>
      <c r="VIH106" s="206"/>
      <c r="VII106" s="207"/>
      <c r="VIJ106" s="207"/>
      <c r="VIK106" s="208"/>
      <c r="VIL106" s="209"/>
      <c r="VIM106" s="207"/>
      <c r="VIN106" s="210"/>
      <c r="VIO106" s="209"/>
      <c r="VIP106" s="204"/>
      <c r="VIQ106" s="204"/>
      <c r="VIR106" s="204"/>
      <c r="VIS106" s="199"/>
      <c r="VIT106" s="167"/>
      <c r="VIU106" s="199"/>
      <c r="VIV106" s="200"/>
      <c r="VIW106" s="201"/>
      <c r="VIX106" s="202"/>
      <c r="VIY106" s="202"/>
      <c r="VIZ106" s="202"/>
      <c r="VJA106" s="202"/>
      <c r="VJB106" s="203"/>
      <c r="VJC106" s="204"/>
      <c r="VJD106" s="204"/>
      <c r="VJE106" s="204"/>
      <c r="VJF106" s="205"/>
      <c r="VJG106" s="206"/>
      <c r="VJH106" s="207"/>
      <c r="VJI106" s="207"/>
      <c r="VJJ106" s="208"/>
      <c r="VJK106" s="209"/>
      <c r="VJL106" s="207"/>
      <c r="VJM106" s="210"/>
      <c r="VJN106" s="209"/>
      <c r="VJO106" s="204"/>
      <c r="VJP106" s="204"/>
      <c r="VJQ106" s="204"/>
      <c r="VJR106" s="199"/>
      <c r="VJS106" s="167"/>
      <c r="VJT106" s="199"/>
      <c r="VJU106" s="200"/>
      <c r="VJV106" s="201"/>
      <c r="VJW106" s="202"/>
      <c r="VJX106" s="202"/>
      <c r="VJY106" s="202"/>
      <c r="VJZ106" s="202"/>
      <c r="VKA106" s="203"/>
      <c r="VKB106" s="204"/>
      <c r="VKC106" s="204"/>
      <c r="VKD106" s="204"/>
      <c r="VKE106" s="205"/>
      <c r="VKF106" s="206"/>
      <c r="VKG106" s="207"/>
      <c r="VKH106" s="207"/>
      <c r="VKI106" s="208"/>
      <c r="VKJ106" s="209"/>
      <c r="VKK106" s="207"/>
      <c r="VKL106" s="210"/>
      <c r="VKM106" s="209"/>
      <c r="VKN106" s="204"/>
      <c r="VKO106" s="204"/>
      <c r="VKP106" s="204"/>
      <c r="VKQ106" s="199"/>
      <c r="VKR106" s="167"/>
      <c r="VKS106" s="199"/>
      <c r="VKT106" s="200"/>
      <c r="VKU106" s="201"/>
      <c r="VKV106" s="202"/>
      <c r="VKW106" s="202"/>
      <c r="VKX106" s="202"/>
      <c r="VKY106" s="202"/>
      <c r="VKZ106" s="203"/>
      <c r="VLA106" s="204"/>
      <c r="VLB106" s="204"/>
      <c r="VLC106" s="204"/>
      <c r="VLD106" s="205"/>
      <c r="VLE106" s="206"/>
      <c r="VLF106" s="207"/>
      <c r="VLG106" s="207"/>
      <c r="VLH106" s="208"/>
      <c r="VLI106" s="209"/>
      <c r="VLJ106" s="207"/>
      <c r="VLK106" s="210"/>
      <c r="VLL106" s="209"/>
      <c r="VLM106" s="204"/>
      <c r="VLN106" s="204"/>
      <c r="VLO106" s="204"/>
      <c r="VLP106" s="199"/>
      <c r="VLQ106" s="167"/>
      <c r="VLR106" s="199"/>
      <c r="VLS106" s="200"/>
      <c r="VLT106" s="201"/>
      <c r="VLU106" s="202"/>
      <c r="VLV106" s="202"/>
      <c r="VLW106" s="202"/>
      <c r="VLX106" s="202"/>
      <c r="VLY106" s="203"/>
      <c r="VLZ106" s="204"/>
      <c r="VMA106" s="204"/>
      <c r="VMB106" s="204"/>
      <c r="VMC106" s="205"/>
      <c r="VMD106" s="206"/>
      <c r="VME106" s="207"/>
      <c r="VMF106" s="207"/>
      <c r="VMG106" s="208"/>
      <c r="VMH106" s="209"/>
      <c r="VMI106" s="207"/>
      <c r="VMJ106" s="210"/>
      <c r="VMK106" s="209"/>
      <c r="VML106" s="204"/>
      <c r="VMM106" s="204"/>
      <c r="VMN106" s="204"/>
      <c r="VMO106" s="199"/>
      <c r="VMP106" s="167"/>
      <c r="VMQ106" s="199"/>
      <c r="VMR106" s="200"/>
      <c r="VMS106" s="201"/>
      <c r="VMT106" s="202"/>
      <c r="VMU106" s="202"/>
      <c r="VMV106" s="202"/>
      <c r="VMW106" s="202"/>
      <c r="VMX106" s="203"/>
      <c r="VMY106" s="204"/>
      <c r="VMZ106" s="204"/>
      <c r="VNA106" s="204"/>
      <c r="VNB106" s="205"/>
      <c r="VNC106" s="206"/>
      <c r="VND106" s="207"/>
      <c r="VNE106" s="207"/>
      <c r="VNF106" s="208"/>
      <c r="VNG106" s="209"/>
      <c r="VNH106" s="207"/>
      <c r="VNI106" s="210"/>
      <c r="VNJ106" s="209"/>
      <c r="VNK106" s="204"/>
      <c r="VNL106" s="204"/>
      <c r="VNM106" s="204"/>
      <c r="VNN106" s="199"/>
      <c r="VNO106" s="167"/>
      <c r="VNP106" s="199"/>
      <c r="VNQ106" s="200"/>
      <c r="VNR106" s="201"/>
      <c r="VNS106" s="202"/>
      <c r="VNT106" s="202"/>
      <c r="VNU106" s="202"/>
      <c r="VNV106" s="202"/>
      <c r="VNW106" s="203"/>
      <c r="VNX106" s="204"/>
      <c r="VNY106" s="204"/>
      <c r="VNZ106" s="204"/>
      <c r="VOA106" s="205"/>
      <c r="VOB106" s="206"/>
      <c r="VOC106" s="207"/>
      <c r="VOD106" s="207"/>
      <c r="VOE106" s="208"/>
      <c r="VOF106" s="209"/>
      <c r="VOG106" s="207"/>
      <c r="VOH106" s="210"/>
      <c r="VOI106" s="209"/>
      <c r="VOJ106" s="204"/>
      <c r="VOK106" s="204"/>
      <c r="VOL106" s="204"/>
      <c r="VOM106" s="199"/>
      <c r="VON106" s="167"/>
      <c r="VOO106" s="199"/>
      <c r="VOP106" s="200"/>
      <c r="VOQ106" s="201"/>
      <c r="VOR106" s="202"/>
      <c r="VOS106" s="202"/>
      <c r="VOT106" s="202"/>
      <c r="VOU106" s="202"/>
      <c r="VOV106" s="203"/>
      <c r="VOW106" s="204"/>
      <c r="VOX106" s="204"/>
      <c r="VOY106" s="204"/>
      <c r="VOZ106" s="205"/>
      <c r="VPA106" s="206"/>
      <c r="VPB106" s="207"/>
      <c r="VPC106" s="207"/>
      <c r="VPD106" s="208"/>
      <c r="VPE106" s="209"/>
      <c r="VPF106" s="207"/>
      <c r="VPG106" s="210"/>
      <c r="VPH106" s="209"/>
      <c r="VPI106" s="204"/>
      <c r="VPJ106" s="204"/>
      <c r="VPK106" s="204"/>
      <c r="VPL106" s="199"/>
      <c r="VPM106" s="167"/>
      <c r="VPN106" s="199"/>
      <c r="VPO106" s="200"/>
      <c r="VPP106" s="201"/>
      <c r="VPQ106" s="202"/>
      <c r="VPR106" s="202"/>
      <c r="VPS106" s="202"/>
      <c r="VPT106" s="202"/>
      <c r="VPU106" s="203"/>
      <c r="VPV106" s="204"/>
      <c r="VPW106" s="204"/>
      <c r="VPX106" s="204"/>
      <c r="VPY106" s="205"/>
      <c r="VPZ106" s="206"/>
      <c r="VQA106" s="207"/>
      <c r="VQB106" s="207"/>
      <c r="VQC106" s="208"/>
      <c r="VQD106" s="209"/>
      <c r="VQE106" s="207"/>
      <c r="VQF106" s="210"/>
      <c r="VQG106" s="209"/>
      <c r="VQH106" s="204"/>
      <c r="VQI106" s="204"/>
      <c r="VQJ106" s="204"/>
      <c r="VQK106" s="199"/>
      <c r="VQL106" s="167"/>
      <c r="VQM106" s="199"/>
      <c r="VQN106" s="200"/>
      <c r="VQO106" s="201"/>
      <c r="VQP106" s="202"/>
      <c r="VQQ106" s="202"/>
      <c r="VQR106" s="202"/>
      <c r="VQS106" s="202"/>
      <c r="VQT106" s="203"/>
      <c r="VQU106" s="204"/>
      <c r="VQV106" s="204"/>
      <c r="VQW106" s="204"/>
      <c r="VQX106" s="205"/>
      <c r="VQY106" s="206"/>
      <c r="VQZ106" s="207"/>
      <c r="VRA106" s="207"/>
      <c r="VRB106" s="208"/>
      <c r="VRC106" s="209"/>
      <c r="VRD106" s="207"/>
      <c r="VRE106" s="210"/>
      <c r="VRF106" s="209"/>
      <c r="VRG106" s="204"/>
      <c r="VRH106" s="204"/>
      <c r="VRI106" s="204"/>
      <c r="VRJ106" s="199"/>
      <c r="VRK106" s="167"/>
      <c r="VRL106" s="199"/>
      <c r="VRM106" s="200"/>
      <c r="VRN106" s="201"/>
      <c r="VRO106" s="202"/>
      <c r="VRP106" s="202"/>
      <c r="VRQ106" s="202"/>
      <c r="VRR106" s="202"/>
      <c r="VRS106" s="203"/>
      <c r="VRT106" s="204"/>
      <c r="VRU106" s="204"/>
      <c r="VRV106" s="204"/>
      <c r="VRW106" s="205"/>
      <c r="VRX106" s="206"/>
      <c r="VRY106" s="207"/>
      <c r="VRZ106" s="207"/>
      <c r="VSA106" s="208"/>
      <c r="VSB106" s="209"/>
      <c r="VSC106" s="207"/>
      <c r="VSD106" s="210"/>
      <c r="VSE106" s="209"/>
      <c r="VSF106" s="204"/>
      <c r="VSG106" s="204"/>
      <c r="VSH106" s="204"/>
      <c r="VSI106" s="199"/>
      <c r="VSJ106" s="167"/>
      <c r="VSK106" s="199"/>
      <c r="VSL106" s="200"/>
      <c r="VSM106" s="201"/>
      <c r="VSN106" s="202"/>
      <c r="VSO106" s="202"/>
      <c r="VSP106" s="202"/>
      <c r="VSQ106" s="202"/>
      <c r="VSR106" s="203"/>
      <c r="VSS106" s="204"/>
      <c r="VST106" s="204"/>
      <c r="VSU106" s="204"/>
      <c r="VSV106" s="205"/>
      <c r="VSW106" s="206"/>
      <c r="VSX106" s="207"/>
      <c r="VSY106" s="207"/>
      <c r="VSZ106" s="208"/>
      <c r="VTA106" s="209"/>
      <c r="VTB106" s="207"/>
      <c r="VTC106" s="210"/>
      <c r="VTD106" s="209"/>
      <c r="VTE106" s="204"/>
      <c r="VTF106" s="204"/>
      <c r="VTG106" s="204"/>
      <c r="VTH106" s="199"/>
      <c r="VTI106" s="167"/>
      <c r="VTJ106" s="199"/>
      <c r="VTK106" s="200"/>
      <c r="VTL106" s="201"/>
      <c r="VTM106" s="202"/>
      <c r="VTN106" s="202"/>
      <c r="VTO106" s="202"/>
      <c r="VTP106" s="202"/>
      <c r="VTQ106" s="203"/>
      <c r="VTR106" s="204"/>
      <c r="VTS106" s="204"/>
      <c r="VTT106" s="204"/>
      <c r="VTU106" s="205"/>
      <c r="VTV106" s="206"/>
      <c r="VTW106" s="207"/>
      <c r="VTX106" s="207"/>
      <c r="VTY106" s="208"/>
      <c r="VTZ106" s="209"/>
      <c r="VUA106" s="207"/>
      <c r="VUB106" s="210"/>
      <c r="VUC106" s="209"/>
      <c r="VUD106" s="204"/>
      <c r="VUE106" s="204"/>
      <c r="VUF106" s="204"/>
      <c r="VUG106" s="199"/>
      <c r="VUH106" s="167"/>
      <c r="VUI106" s="199"/>
      <c r="VUJ106" s="200"/>
      <c r="VUK106" s="201"/>
      <c r="VUL106" s="202"/>
      <c r="VUM106" s="202"/>
      <c r="VUN106" s="202"/>
      <c r="VUO106" s="202"/>
      <c r="VUP106" s="203"/>
      <c r="VUQ106" s="204"/>
      <c r="VUR106" s="204"/>
      <c r="VUS106" s="204"/>
      <c r="VUT106" s="205"/>
      <c r="VUU106" s="206"/>
      <c r="VUV106" s="207"/>
      <c r="VUW106" s="207"/>
      <c r="VUX106" s="208"/>
      <c r="VUY106" s="209"/>
      <c r="VUZ106" s="207"/>
      <c r="VVA106" s="210"/>
      <c r="VVB106" s="209"/>
      <c r="VVC106" s="204"/>
      <c r="VVD106" s="204"/>
      <c r="VVE106" s="204"/>
      <c r="VVF106" s="199"/>
      <c r="VVG106" s="167"/>
      <c r="VVH106" s="199"/>
      <c r="VVI106" s="200"/>
      <c r="VVJ106" s="201"/>
      <c r="VVK106" s="202"/>
      <c r="VVL106" s="202"/>
      <c r="VVM106" s="202"/>
      <c r="VVN106" s="202"/>
      <c r="VVO106" s="203"/>
      <c r="VVP106" s="204"/>
      <c r="VVQ106" s="204"/>
      <c r="VVR106" s="204"/>
      <c r="VVS106" s="205"/>
      <c r="VVT106" s="206"/>
      <c r="VVU106" s="207"/>
      <c r="VVV106" s="207"/>
      <c r="VVW106" s="208"/>
      <c r="VVX106" s="209"/>
      <c r="VVY106" s="207"/>
      <c r="VVZ106" s="210"/>
      <c r="VWA106" s="209"/>
      <c r="VWB106" s="204"/>
      <c r="VWC106" s="204"/>
      <c r="VWD106" s="204"/>
      <c r="VWE106" s="199"/>
      <c r="VWF106" s="167"/>
      <c r="VWG106" s="199"/>
      <c r="VWH106" s="200"/>
      <c r="VWI106" s="201"/>
      <c r="VWJ106" s="202"/>
      <c r="VWK106" s="202"/>
      <c r="VWL106" s="202"/>
      <c r="VWM106" s="202"/>
      <c r="VWN106" s="203"/>
      <c r="VWO106" s="204"/>
      <c r="VWP106" s="204"/>
      <c r="VWQ106" s="204"/>
      <c r="VWR106" s="205"/>
      <c r="VWS106" s="206"/>
      <c r="VWT106" s="207"/>
      <c r="VWU106" s="207"/>
      <c r="VWV106" s="208"/>
      <c r="VWW106" s="209"/>
      <c r="VWX106" s="207"/>
      <c r="VWY106" s="210"/>
      <c r="VWZ106" s="209"/>
      <c r="VXA106" s="204"/>
      <c r="VXB106" s="204"/>
      <c r="VXC106" s="204"/>
      <c r="VXD106" s="199"/>
      <c r="VXE106" s="167"/>
      <c r="VXF106" s="199"/>
      <c r="VXG106" s="200"/>
      <c r="VXH106" s="201"/>
      <c r="VXI106" s="202"/>
      <c r="VXJ106" s="202"/>
      <c r="VXK106" s="202"/>
      <c r="VXL106" s="202"/>
      <c r="VXM106" s="203"/>
      <c r="VXN106" s="204"/>
      <c r="VXO106" s="204"/>
      <c r="VXP106" s="204"/>
      <c r="VXQ106" s="205"/>
      <c r="VXR106" s="206"/>
      <c r="VXS106" s="207"/>
      <c r="VXT106" s="207"/>
      <c r="VXU106" s="208"/>
      <c r="VXV106" s="209"/>
      <c r="VXW106" s="207"/>
      <c r="VXX106" s="210"/>
      <c r="VXY106" s="209"/>
      <c r="VXZ106" s="204"/>
      <c r="VYA106" s="204"/>
      <c r="VYB106" s="204"/>
      <c r="VYC106" s="199"/>
      <c r="VYD106" s="167"/>
      <c r="VYE106" s="199"/>
      <c r="VYF106" s="200"/>
      <c r="VYG106" s="201"/>
      <c r="VYH106" s="202"/>
      <c r="VYI106" s="202"/>
      <c r="VYJ106" s="202"/>
      <c r="VYK106" s="202"/>
      <c r="VYL106" s="203"/>
      <c r="VYM106" s="204"/>
      <c r="VYN106" s="204"/>
      <c r="VYO106" s="204"/>
      <c r="VYP106" s="205"/>
      <c r="VYQ106" s="206"/>
      <c r="VYR106" s="207"/>
      <c r="VYS106" s="207"/>
      <c r="VYT106" s="208"/>
      <c r="VYU106" s="209"/>
      <c r="VYV106" s="207"/>
      <c r="VYW106" s="210"/>
      <c r="VYX106" s="209"/>
      <c r="VYY106" s="204"/>
      <c r="VYZ106" s="204"/>
      <c r="VZA106" s="204"/>
      <c r="VZB106" s="199"/>
      <c r="VZC106" s="167"/>
      <c r="VZD106" s="199"/>
      <c r="VZE106" s="200"/>
      <c r="VZF106" s="201"/>
      <c r="VZG106" s="202"/>
      <c r="VZH106" s="202"/>
      <c r="VZI106" s="202"/>
      <c r="VZJ106" s="202"/>
      <c r="VZK106" s="203"/>
      <c r="VZL106" s="204"/>
      <c r="VZM106" s="204"/>
      <c r="VZN106" s="204"/>
      <c r="VZO106" s="205"/>
      <c r="VZP106" s="206"/>
      <c r="VZQ106" s="207"/>
      <c r="VZR106" s="207"/>
      <c r="VZS106" s="208"/>
      <c r="VZT106" s="209"/>
      <c r="VZU106" s="207"/>
      <c r="VZV106" s="210"/>
      <c r="VZW106" s="209"/>
      <c r="VZX106" s="204"/>
      <c r="VZY106" s="204"/>
      <c r="VZZ106" s="204"/>
      <c r="WAA106" s="199"/>
      <c r="WAB106" s="167"/>
      <c r="WAC106" s="199"/>
      <c r="WAD106" s="200"/>
      <c r="WAE106" s="201"/>
      <c r="WAF106" s="202"/>
      <c r="WAG106" s="202"/>
      <c r="WAH106" s="202"/>
      <c r="WAI106" s="202"/>
      <c r="WAJ106" s="203"/>
      <c r="WAK106" s="204"/>
      <c r="WAL106" s="204"/>
      <c r="WAM106" s="204"/>
      <c r="WAN106" s="205"/>
      <c r="WAO106" s="206"/>
      <c r="WAP106" s="207"/>
      <c r="WAQ106" s="207"/>
      <c r="WAR106" s="208"/>
      <c r="WAS106" s="209"/>
      <c r="WAT106" s="207"/>
      <c r="WAU106" s="210"/>
      <c r="WAV106" s="209"/>
      <c r="WAW106" s="204"/>
      <c r="WAX106" s="204"/>
      <c r="WAY106" s="204"/>
      <c r="WAZ106" s="199"/>
      <c r="WBA106" s="167"/>
      <c r="WBB106" s="199"/>
      <c r="WBC106" s="200"/>
      <c r="WBD106" s="201"/>
      <c r="WBE106" s="202"/>
      <c r="WBF106" s="202"/>
      <c r="WBG106" s="202"/>
      <c r="WBH106" s="202"/>
      <c r="WBI106" s="203"/>
      <c r="WBJ106" s="204"/>
      <c r="WBK106" s="204"/>
      <c r="WBL106" s="204"/>
      <c r="WBM106" s="205"/>
      <c r="WBN106" s="206"/>
      <c r="WBO106" s="207"/>
      <c r="WBP106" s="207"/>
      <c r="WBQ106" s="208"/>
      <c r="WBR106" s="209"/>
      <c r="WBS106" s="207"/>
      <c r="WBT106" s="210"/>
      <c r="WBU106" s="209"/>
      <c r="WBV106" s="204"/>
      <c r="WBW106" s="204"/>
      <c r="WBX106" s="204"/>
      <c r="WBY106" s="199"/>
      <c r="WBZ106" s="167"/>
      <c r="WCA106" s="199"/>
      <c r="WCB106" s="200"/>
      <c r="WCC106" s="201"/>
      <c r="WCD106" s="202"/>
      <c r="WCE106" s="202"/>
      <c r="WCF106" s="202"/>
      <c r="WCG106" s="202"/>
      <c r="WCH106" s="203"/>
      <c r="WCI106" s="204"/>
      <c r="WCJ106" s="204"/>
      <c r="WCK106" s="204"/>
      <c r="WCL106" s="205"/>
      <c r="WCM106" s="206"/>
      <c r="WCN106" s="207"/>
      <c r="WCO106" s="207"/>
      <c r="WCP106" s="208"/>
      <c r="WCQ106" s="209"/>
      <c r="WCR106" s="207"/>
      <c r="WCS106" s="210"/>
      <c r="WCT106" s="209"/>
      <c r="WCU106" s="204"/>
      <c r="WCV106" s="204"/>
      <c r="WCW106" s="204"/>
      <c r="WCX106" s="199"/>
      <c r="WCY106" s="167"/>
      <c r="WCZ106" s="199"/>
      <c r="WDA106" s="200"/>
      <c r="WDB106" s="201"/>
      <c r="WDC106" s="202"/>
      <c r="WDD106" s="202"/>
      <c r="WDE106" s="202"/>
      <c r="WDF106" s="202"/>
      <c r="WDG106" s="203"/>
      <c r="WDH106" s="204"/>
      <c r="WDI106" s="204"/>
      <c r="WDJ106" s="204"/>
      <c r="WDK106" s="205"/>
      <c r="WDL106" s="206"/>
      <c r="WDM106" s="207"/>
      <c r="WDN106" s="207"/>
      <c r="WDO106" s="208"/>
      <c r="WDP106" s="209"/>
      <c r="WDQ106" s="207"/>
      <c r="WDR106" s="210"/>
      <c r="WDS106" s="209"/>
      <c r="WDT106" s="204"/>
      <c r="WDU106" s="204"/>
      <c r="WDV106" s="204"/>
      <c r="WDW106" s="199"/>
      <c r="WDX106" s="167"/>
      <c r="WDY106" s="199"/>
      <c r="WDZ106" s="200"/>
      <c r="WEA106" s="201"/>
      <c r="WEB106" s="202"/>
      <c r="WEC106" s="202"/>
      <c r="WED106" s="202"/>
      <c r="WEE106" s="202"/>
      <c r="WEF106" s="203"/>
      <c r="WEG106" s="204"/>
      <c r="WEH106" s="204"/>
      <c r="WEI106" s="204"/>
      <c r="WEJ106" s="205"/>
      <c r="WEK106" s="206"/>
      <c r="WEL106" s="207"/>
      <c r="WEM106" s="207"/>
      <c r="WEN106" s="208"/>
      <c r="WEO106" s="209"/>
      <c r="WEP106" s="207"/>
      <c r="WEQ106" s="210"/>
      <c r="WER106" s="209"/>
      <c r="WES106" s="204"/>
      <c r="WET106" s="204"/>
      <c r="WEU106" s="204"/>
      <c r="WEV106" s="199"/>
      <c r="WEW106" s="167"/>
      <c r="WEX106" s="199"/>
      <c r="WEY106" s="200"/>
      <c r="WEZ106" s="201"/>
      <c r="WFA106" s="202"/>
      <c r="WFB106" s="202"/>
      <c r="WFC106" s="202"/>
      <c r="WFD106" s="202"/>
      <c r="WFE106" s="203"/>
      <c r="WFF106" s="204"/>
      <c r="WFG106" s="204"/>
      <c r="WFH106" s="204"/>
      <c r="WFI106" s="205"/>
      <c r="WFJ106" s="206"/>
      <c r="WFK106" s="207"/>
      <c r="WFL106" s="207"/>
      <c r="WFM106" s="208"/>
      <c r="WFN106" s="209"/>
      <c r="WFO106" s="207"/>
      <c r="WFP106" s="210"/>
      <c r="WFQ106" s="209"/>
      <c r="WFR106" s="204"/>
      <c r="WFS106" s="204"/>
      <c r="WFT106" s="204"/>
      <c r="WFU106" s="199"/>
      <c r="WFV106" s="167"/>
      <c r="WFW106" s="199"/>
      <c r="WFX106" s="200"/>
      <c r="WFY106" s="201"/>
      <c r="WFZ106" s="202"/>
      <c r="WGA106" s="202"/>
      <c r="WGB106" s="202"/>
      <c r="WGC106" s="202"/>
      <c r="WGD106" s="203"/>
      <c r="WGE106" s="204"/>
      <c r="WGF106" s="204"/>
      <c r="WGG106" s="204"/>
      <c r="WGH106" s="205"/>
      <c r="WGI106" s="206"/>
      <c r="WGJ106" s="207"/>
      <c r="WGK106" s="207"/>
      <c r="WGL106" s="208"/>
      <c r="WGM106" s="209"/>
      <c r="WGN106" s="207"/>
      <c r="WGO106" s="210"/>
      <c r="WGP106" s="209"/>
      <c r="WGQ106" s="204"/>
      <c r="WGR106" s="204"/>
      <c r="WGS106" s="204"/>
      <c r="WGT106" s="199"/>
      <c r="WGU106" s="167"/>
      <c r="WGV106" s="199"/>
      <c r="WGW106" s="200"/>
      <c r="WGX106" s="201"/>
      <c r="WGY106" s="202"/>
      <c r="WGZ106" s="202"/>
      <c r="WHA106" s="202"/>
      <c r="WHB106" s="202"/>
      <c r="WHC106" s="203"/>
      <c r="WHD106" s="204"/>
      <c r="WHE106" s="204"/>
      <c r="WHF106" s="204"/>
      <c r="WHG106" s="205"/>
      <c r="WHH106" s="206"/>
      <c r="WHI106" s="207"/>
      <c r="WHJ106" s="207"/>
      <c r="WHK106" s="208"/>
      <c r="WHL106" s="209"/>
      <c r="WHM106" s="207"/>
      <c r="WHN106" s="210"/>
      <c r="WHO106" s="209"/>
      <c r="WHP106" s="204"/>
      <c r="WHQ106" s="204"/>
      <c r="WHR106" s="204"/>
      <c r="WHS106" s="199"/>
      <c r="WHT106" s="167"/>
      <c r="WHU106" s="199"/>
      <c r="WHV106" s="200"/>
      <c r="WHW106" s="201"/>
      <c r="WHX106" s="202"/>
      <c r="WHY106" s="202"/>
      <c r="WHZ106" s="202"/>
      <c r="WIA106" s="202"/>
      <c r="WIB106" s="203"/>
      <c r="WIC106" s="204"/>
      <c r="WID106" s="204"/>
      <c r="WIE106" s="204"/>
      <c r="WIF106" s="205"/>
      <c r="WIG106" s="206"/>
      <c r="WIH106" s="207"/>
      <c r="WII106" s="207"/>
      <c r="WIJ106" s="208"/>
      <c r="WIK106" s="209"/>
      <c r="WIL106" s="207"/>
      <c r="WIM106" s="210"/>
      <c r="WIN106" s="209"/>
      <c r="WIO106" s="204"/>
      <c r="WIP106" s="204"/>
      <c r="WIQ106" s="204"/>
      <c r="WIR106" s="199"/>
      <c r="WIS106" s="167"/>
      <c r="WIT106" s="199"/>
      <c r="WIU106" s="200"/>
      <c r="WIV106" s="201"/>
      <c r="WIW106" s="202"/>
      <c r="WIX106" s="202"/>
      <c r="WIY106" s="202"/>
      <c r="WIZ106" s="202"/>
      <c r="WJA106" s="203"/>
      <c r="WJB106" s="204"/>
      <c r="WJC106" s="204"/>
      <c r="WJD106" s="204"/>
      <c r="WJE106" s="205"/>
      <c r="WJF106" s="206"/>
      <c r="WJG106" s="207"/>
      <c r="WJH106" s="207"/>
      <c r="WJI106" s="208"/>
      <c r="WJJ106" s="209"/>
      <c r="WJK106" s="207"/>
      <c r="WJL106" s="210"/>
      <c r="WJM106" s="209"/>
      <c r="WJN106" s="204"/>
      <c r="WJO106" s="204"/>
      <c r="WJP106" s="204"/>
      <c r="WJQ106" s="199"/>
      <c r="WJR106" s="167"/>
      <c r="WJS106" s="199"/>
      <c r="WJT106" s="200"/>
      <c r="WJU106" s="201"/>
      <c r="WJV106" s="202"/>
      <c r="WJW106" s="202"/>
      <c r="WJX106" s="202"/>
      <c r="WJY106" s="202"/>
      <c r="WJZ106" s="203"/>
      <c r="WKA106" s="204"/>
      <c r="WKB106" s="204"/>
      <c r="WKC106" s="204"/>
      <c r="WKD106" s="205"/>
      <c r="WKE106" s="206"/>
      <c r="WKF106" s="207"/>
      <c r="WKG106" s="207"/>
      <c r="WKH106" s="208"/>
      <c r="WKI106" s="209"/>
      <c r="WKJ106" s="207"/>
      <c r="WKK106" s="210"/>
      <c r="WKL106" s="209"/>
      <c r="WKM106" s="204"/>
      <c r="WKN106" s="204"/>
      <c r="WKO106" s="204"/>
      <c r="WKP106" s="199"/>
      <c r="WKQ106" s="167"/>
      <c r="WKR106" s="199"/>
      <c r="WKS106" s="200"/>
      <c r="WKT106" s="201"/>
      <c r="WKU106" s="202"/>
      <c r="WKV106" s="202"/>
      <c r="WKW106" s="202"/>
      <c r="WKX106" s="202"/>
      <c r="WKY106" s="203"/>
      <c r="WKZ106" s="204"/>
      <c r="WLA106" s="204"/>
      <c r="WLB106" s="204"/>
      <c r="WLC106" s="205"/>
      <c r="WLD106" s="206"/>
      <c r="WLE106" s="207"/>
      <c r="WLF106" s="207"/>
      <c r="WLG106" s="208"/>
      <c r="WLH106" s="209"/>
      <c r="WLI106" s="207"/>
      <c r="WLJ106" s="210"/>
      <c r="WLK106" s="209"/>
      <c r="WLL106" s="204"/>
      <c r="WLM106" s="204"/>
      <c r="WLN106" s="204"/>
      <c r="WLO106" s="199"/>
      <c r="WLP106" s="167"/>
      <c r="WLQ106" s="199"/>
      <c r="WLR106" s="200"/>
      <c r="WLS106" s="201"/>
      <c r="WLT106" s="202"/>
      <c r="WLU106" s="202"/>
      <c r="WLV106" s="202"/>
      <c r="WLW106" s="202"/>
      <c r="WLX106" s="203"/>
      <c r="WLY106" s="204"/>
      <c r="WLZ106" s="204"/>
      <c r="WMA106" s="204"/>
      <c r="WMB106" s="205"/>
      <c r="WMC106" s="206"/>
      <c r="WMD106" s="207"/>
      <c r="WME106" s="207"/>
      <c r="WMF106" s="208"/>
      <c r="WMG106" s="209"/>
      <c r="WMH106" s="207"/>
      <c r="WMI106" s="210"/>
      <c r="WMJ106" s="209"/>
      <c r="WMK106" s="204"/>
      <c r="WML106" s="204"/>
      <c r="WMM106" s="204"/>
      <c r="WMN106" s="199"/>
      <c r="WMO106" s="167"/>
      <c r="WMP106" s="199"/>
      <c r="WMQ106" s="200"/>
      <c r="WMR106" s="201"/>
      <c r="WMS106" s="202"/>
      <c r="WMT106" s="202"/>
      <c r="WMU106" s="202"/>
      <c r="WMV106" s="202"/>
      <c r="WMW106" s="203"/>
      <c r="WMX106" s="204"/>
      <c r="WMY106" s="204"/>
      <c r="WMZ106" s="204"/>
      <c r="WNA106" s="205"/>
      <c r="WNB106" s="206"/>
      <c r="WNC106" s="207"/>
      <c r="WND106" s="207"/>
      <c r="WNE106" s="208"/>
      <c r="WNF106" s="209"/>
      <c r="WNG106" s="207"/>
      <c r="WNH106" s="210"/>
      <c r="WNI106" s="209"/>
      <c r="WNJ106" s="204"/>
      <c r="WNK106" s="204"/>
      <c r="WNL106" s="204"/>
      <c r="WNM106" s="199"/>
      <c r="WNN106" s="167"/>
      <c r="WNO106" s="199"/>
      <c r="WNP106" s="200"/>
      <c r="WNQ106" s="201"/>
      <c r="WNR106" s="202"/>
      <c r="WNS106" s="202"/>
      <c r="WNT106" s="202"/>
      <c r="WNU106" s="202"/>
      <c r="WNV106" s="203"/>
      <c r="WNW106" s="204"/>
      <c r="WNX106" s="204"/>
      <c r="WNY106" s="204"/>
      <c r="WNZ106" s="205"/>
      <c r="WOA106" s="206"/>
      <c r="WOB106" s="207"/>
      <c r="WOC106" s="207"/>
      <c r="WOD106" s="208"/>
      <c r="WOE106" s="209"/>
      <c r="WOF106" s="207"/>
      <c r="WOG106" s="210"/>
      <c r="WOH106" s="209"/>
      <c r="WOI106" s="204"/>
      <c r="WOJ106" s="204"/>
      <c r="WOK106" s="204"/>
      <c r="WOL106" s="199"/>
      <c r="WOM106" s="167"/>
      <c r="WON106" s="199"/>
      <c r="WOO106" s="200"/>
      <c r="WOP106" s="201"/>
      <c r="WOQ106" s="202"/>
      <c r="WOR106" s="202"/>
      <c r="WOS106" s="202"/>
      <c r="WOT106" s="202"/>
      <c r="WOU106" s="203"/>
      <c r="WOV106" s="204"/>
      <c r="WOW106" s="204"/>
      <c r="WOX106" s="204"/>
      <c r="WOY106" s="205"/>
      <c r="WOZ106" s="206"/>
      <c r="WPA106" s="207"/>
      <c r="WPB106" s="207"/>
      <c r="WPC106" s="208"/>
      <c r="WPD106" s="209"/>
      <c r="WPE106" s="207"/>
      <c r="WPF106" s="210"/>
      <c r="WPG106" s="209"/>
      <c r="WPH106" s="204"/>
      <c r="WPI106" s="204"/>
      <c r="WPJ106" s="204"/>
      <c r="WPK106" s="199"/>
      <c r="WPL106" s="167"/>
      <c r="WPM106" s="199"/>
      <c r="WPN106" s="200"/>
      <c r="WPO106" s="201"/>
      <c r="WPP106" s="202"/>
      <c r="WPQ106" s="202"/>
      <c r="WPR106" s="202"/>
      <c r="WPS106" s="202"/>
      <c r="WPT106" s="203"/>
      <c r="WPU106" s="204"/>
      <c r="WPV106" s="204"/>
      <c r="WPW106" s="204"/>
      <c r="WPX106" s="205"/>
      <c r="WPY106" s="206"/>
      <c r="WPZ106" s="207"/>
      <c r="WQA106" s="207"/>
      <c r="WQB106" s="208"/>
      <c r="WQC106" s="209"/>
      <c r="WQD106" s="207"/>
      <c r="WQE106" s="210"/>
      <c r="WQF106" s="209"/>
      <c r="WQG106" s="204"/>
      <c r="WQH106" s="204"/>
      <c r="WQI106" s="204"/>
      <c r="WQJ106" s="199"/>
      <c r="WQK106" s="167"/>
      <c r="WQL106" s="199"/>
      <c r="WQM106" s="200"/>
      <c r="WQN106" s="201"/>
      <c r="WQO106" s="202"/>
      <c r="WQP106" s="202"/>
      <c r="WQQ106" s="202"/>
      <c r="WQR106" s="202"/>
      <c r="WQS106" s="203"/>
      <c r="WQT106" s="204"/>
      <c r="WQU106" s="204"/>
      <c r="WQV106" s="204"/>
      <c r="WQW106" s="205"/>
      <c r="WQX106" s="206"/>
      <c r="WQY106" s="207"/>
      <c r="WQZ106" s="207"/>
      <c r="WRA106" s="208"/>
      <c r="WRB106" s="209"/>
      <c r="WRC106" s="207"/>
      <c r="WRD106" s="210"/>
      <c r="WRE106" s="209"/>
      <c r="WRF106" s="204"/>
      <c r="WRG106" s="204"/>
      <c r="WRH106" s="204"/>
      <c r="WRI106" s="199"/>
      <c r="WRJ106" s="167"/>
      <c r="WRK106" s="199"/>
      <c r="WRL106" s="200"/>
      <c r="WRM106" s="201"/>
      <c r="WRN106" s="202"/>
      <c r="WRO106" s="202"/>
      <c r="WRP106" s="202"/>
      <c r="WRQ106" s="202"/>
      <c r="WRR106" s="203"/>
      <c r="WRS106" s="204"/>
      <c r="WRT106" s="204"/>
      <c r="WRU106" s="204"/>
      <c r="WRV106" s="205"/>
      <c r="WRW106" s="206"/>
      <c r="WRX106" s="207"/>
      <c r="WRY106" s="207"/>
      <c r="WRZ106" s="208"/>
      <c r="WSA106" s="209"/>
      <c r="WSB106" s="207"/>
      <c r="WSC106" s="210"/>
      <c r="WSD106" s="209"/>
      <c r="WSE106" s="204"/>
      <c r="WSF106" s="204"/>
      <c r="WSG106" s="204"/>
      <c r="WSH106" s="199"/>
      <c r="WSI106" s="167"/>
      <c r="WSJ106" s="199"/>
      <c r="WSK106" s="200"/>
      <c r="WSL106" s="201"/>
      <c r="WSM106" s="202"/>
      <c r="WSN106" s="202"/>
      <c r="WSO106" s="202"/>
      <c r="WSP106" s="202"/>
      <c r="WSQ106" s="203"/>
      <c r="WSR106" s="204"/>
      <c r="WSS106" s="204"/>
      <c r="WST106" s="204"/>
      <c r="WSU106" s="205"/>
      <c r="WSV106" s="206"/>
      <c r="WSW106" s="207"/>
      <c r="WSX106" s="207"/>
      <c r="WSY106" s="208"/>
      <c r="WSZ106" s="209"/>
      <c r="WTA106" s="207"/>
      <c r="WTB106" s="210"/>
      <c r="WTC106" s="209"/>
      <c r="WTD106" s="204"/>
      <c r="WTE106" s="204"/>
      <c r="WTF106" s="204"/>
      <c r="WTG106" s="199"/>
      <c r="WTH106" s="167"/>
      <c r="WTI106" s="199"/>
      <c r="WTJ106" s="200"/>
      <c r="WTK106" s="201"/>
      <c r="WTL106" s="202"/>
      <c r="WTM106" s="202"/>
      <c r="WTN106" s="202"/>
      <c r="WTO106" s="202"/>
      <c r="WTP106" s="203"/>
      <c r="WTQ106" s="204"/>
      <c r="WTR106" s="204"/>
      <c r="WTS106" s="204"/>
      <c r="WTT106" s="205"/>
      <c r="WTU106" s="206"/>
      <c r="WTV106" s="207"/>
      <c r="WTW106" s="207"/>
      <c r="WTX106" s="208"/>
      <c r="WTY106" s="209"/>
      <c r="WTZ106" s="207"/>
      <c r="WUA106" s="210"/>
      <c r="WUB106" s="209"/>
      <c r="WUC106" s="204"/>
      <c r="WUD106" s="204"/>
      <c r="WUE106" s="204"/>
      <c r="WUF106" s="199"/>
      <c r="WUG106" s="167"/>
      <c r="WUH106" s="199"/>
      <c r="WUI106" s="200"/>
      <c r="WUJ106" s="201"/>
      <c r="WUK106" s="202"/>
      <c r="WUL106" s="202"/>
      <c r="WUM106" s="202"/>
      <c r="WUN106" s="202"/>
      <c r="WUO106" s="203"/>
      <c r="WUP106" s="204"/>
      <c r="WUQ106" s="204"/>
      <c r="WUR106" s="204"/>
      <c r="WUS106" s="205"/>
      <c r="WUT106" s="206"/>
      <c r="WUU106" s="207"/>
      <c r="WUV106" s="207"/>
      <c r="WUW106" s="208"/>
      <c r="WUX106" s="209"/>
      <c r="WUY106" s="207"/>
      <c r="WUZ106" s="210"/>
      <c r="WVA106" s="209"/>
      <c r="WVB106" s="204"/>
      <c r="WVC106" s="204"/>
      <c r="WVD106" s="204"/>
      <c r="WVE106" s="199"/>
      <c r="WVF106" s="167"/>
      <c r="WVG106" s="199"/>
      <c r="WVH106" s="200"/>
      <c r="WVI106" s="201"/>
      <c r="WVJ106" s="202"/>
      <c r="WVK106" s="202"/>
      <c r="WVL106" s="202"/>
      <c r="WVM106" s="202"/>
      <c r="WVN106" s="203"/>
      <c r="WVO106" s="204"/>
      <c r="WVP106" s="204"/>
      <c r="WVQ106" s="204"/>
      <c r="WVR106" s="205"/>
      <c r="WVS106" s="206"/>
      <c r="WVT106" s="207"/>
      <c r="WVU106" s="207"/>
      <c r="WVV106" s="208"/>
      <c r="WVW106" s="209"/>
      <c r="WVX106" s="207"/>
      <c r="WVY106" s="210"/>
      <c r="WVZ106" s="209"/>
      <c r="WWA106" s="204"/>
      <c r="WWB106" s="204"/>
      <c r="WWC106" s="204"/>
      <c r="WWD106" s="199"/>
      <c r="WWE106" s="167"/>
      <c r="WWF106" s="199"/>
      <c r="WWG106" s="200"/>
      <c r="WWH106" s="201"/>
      <c r="WWI106" s="202"/>
      <c r="WWJ106" s="202"/>
      <c r="WWK106" s="202"/>
      <c r="WWL106" s="202"/>
      <c r="WWM106" s="203"/>
      <c r="WWN106" s="204"/>
      <c r="WWO106" s="204"/>
      <c r="WWP106" s="204"/>
      <c r="WWQ106" s="205"/>
      <c r="WWR106" s="206"/>
      <c r="WWS106" s="207"/>
      <c r="WWT106" s="207"/>
      <c r="WWU106" s="208"/>
      <c r="WWV106" s="209"/>
      <c r="WWW106" s="207"/>
      <c r="WWX106" s="210"/>
      <c r="WWY106" s="209"/>
      <c r="WWZ106" s="204"/>
      <c r="WXA106" s="204"/>
      <c r="WXB106" s="204"/>
      <c r="WXC106" s="199"/>
      <c r="WXD106" s="167"/>
      <c r="WXE106" s="199"/>
      <c r="WXF106" s="200"/>
      <c r="WXG106" s="201"/>
      <c r="WXH106" s="202"/>
      <c r="WXI106" s="202"/>
      <c r="WXJ106" s="202"/>
      <c r="WXK106" s="202"/>
      <c r="WXL106" s="203"/>
      <c r="WXM106" s="204"/>
      <c r="WXN106" s="204"/>
      <c r="WXO106" s="204"/>
      <c r="WXP106" s="205"/>
      <c r="WXQ106" s="206"/>
      <c r="WXR106" s="207"/>
      <c r="WXS106" s="207"/>
      <c r="WXT106" s="208"/>
      <c r="WXU106" s="209"/>
      <c r="WXV106" s="207"/>
      <c r="WXW106" s="210"/>
      <c r="WXX106" s="209"/>
      <c r="WXY106" s="204"/>
      <c r="WXZ106" s="204"/>
      <c r="WYA106" s="204"/>
      <c r="WYB106" s="199"/>
      <c r="WYC106" s="167"/>
      <c r="WYD106" s="199"/>
      <c r="WYE106" s="200"/>
      <c r="WYF106" s="201"/>
      <c r="WYG106" s="202"/>
      <c r="WYH106" s="202"/>
      <c r="WYI106" s="202"/>
      <c r="WYJ106" s="202"/>
      <c r="WYK106" s="203"/>
      <c r="WYL106" s="204"/>
      <c r="WYM106" s="204"/>
      <c r="WYN106" s="204"/>
      <c r="WYO106" s="205"/>
      <c r="WYP106" s="206"/>
      <c r="WYQ106" s="207"/>
      <c r="WYR106" s="207"/>
      <c r="WYS106" s="208"/>
      <c r="WYT106" s="209"/>
      <c r="WYU106" s="207"/>
      <c r="WYV106" s="210"/>
      <c r="WYW106" s="209"/>
      <c r="WYX106" s="204"/>
      <c r="WYY106" s="204"/>
      <c r="WYZ106" s="204"/>
      <c r="WZA106" s="199"/>
      <c r="WZB106" s="167"/>
      <c r="WZC106" s="199"/>
      <c r="WZD106" s="200"/>
      <c r="WZE106" s="201"/>
      <c r="WZF106" s="202"/>
      <c r="WZG106" s="202"/>
      <c r="WZH106" s="202"/>
      <c r="WZI106" s="202"/>
      <c r="WZJ106" s="203"/>
      <c r="WZK106" s="204"/>
      <c r="WZL106" s="204"/>
      <c r="WZM106" s="204"/>
      <c r="WZN106" s="205"/>
      <c r="WZO106" s="206"/>
      <c r="WZP106" s="207"/>
      <c r="WZQ106" s="207"/>
      <c r="WZR106" s="208"/>
      <c r="WZS106" s="209"/>
      <c r="WZT106" s="207"/>
      <c r="WZU106" s="210"/>
      <c r="WZV106" s="209"/>
      <c r="WZW106" s="204"/>
      <c r="WZX106" s="204"/>
      <c r="WZY106" s="204"/>
      <c r="WZZ106" s="199"/>
      <c r="XAA106" s="167"/>
      <c r="XAB106" s="199"/>
      <c r="XAC106" s="200"/>
      <c r="XAD106" s="201"/>
      <c r="XAE106" s="202"/>
      <c r="XAF106" s="202"/>
      <c r="XAG106" s="202"/>
      <c r="XAH106" s="202"/>
      <c r="XAI106" s="203"/>
      <c r="XAJ106" s="204"/>
      <c r="XAK106" s="204"/>
      <c r="XAL106" s="204"/>
      <c r="XAM106" s="205"/>
      <c r="XAN106" s="206"/>
      <c r="XAO106" s="207"/>
      <c r="XAP106" s="207"/>
      <c r="XAQ106" s="208"/>
      <c r="XAR106" s="209"/>
      <c r="XAS106" s="207"/>
      <c r="XAT106" s="210"/>
      <c r="XAU106" s="209"/>
      <c r="XAV106" s="204"/>
      <c r="XAW106" s="204"/>
      <c r="XAX106" s="204"/>
      <c r="XAY106" s="199"/>
      <c r="XAZ106" s="167"/>
      <c r="XBA106" s="199"/>
      <c r="XBB106" s="200"/>
      <c r="XBC106" s="201"/>
      <c r="XBD106" s="202"/>
      <c r="XBE106" s="202"/>
      <c r="XBF106" s="202"/>
      <c r="XBG106" s="202"/>
      <c r="XBH106" s="203"/>
      <c r="XBI106" s="204"/>
      <c r="XBJ106" s="204"/>
      <c r="XBK106" s="204"/>
      <c r="XBL106" s="205"/>
      <c r="XBM106" s="206"/>
      <c r="XBN106" s="207"/>
      <c r="XBO106" s="207"/>
      <c r="XBP106" s="208"/>
      <c r="XBQ106" s="209"/>
      <c r="XBR106" s="207"/>
      <c r="XBS106" s="210"/>
      <c r="XBT106" s="209"/>
      <c r="XBU106" s="204"/>
      <c r="XBV106" s="204"/>
      <c r="XBW106" s="204"/>
      <c r="XBX106" s="199"/>
      <c r="XBY106" s="167"/>
      <c r="XBZ106" s="199"/>
      <c r="XCA106" s="200"/>
      <c r="XCB106" s="201"/>
      <c r="XCC106" s="202"/>
      <c r="XCD106" s="202"/>
      <c r="XCE106" s="202"/>
      <c r="XCF106" s="202"/>
      <c r="XCG106" s="203"/>
      <c r="XCH106" s="204"/>
      <c r="XCI106" s="204"/>
      <c r="XCJ106" s="204"/>
      <c r="XCK106" s="205"/>
      <c r="XCL106" s="206"/>
      <c r="XCM106" s="207"/>
      <c r="XCN106" s="207"/>
      <c r="XCO106" s="208"/>
      <c r="XCP106" s="209"/>
      <c r="XCQ106" s="207"/>
      <c r="XCR106" s="210"/>
      <c r="XCS106" s="209"/>
      <c r="XCT106" s="204"/>
      <c r="XCU106" s="204"/>
      <c r="XCV106" s="204"/>
      <c r="XCW106" s="199"/>
      <c r="XCX106" s="167"/>
      <c r="XCY106" s="199"/>
      <c r="XCZ106" s="200"/>
      <c r="XDA106" s="201"/>
      <c r="XDB106" s="202"/>
      <c r="XDC106" s="202"/>
      <c r="XDD106" s="202"/>
      <c r="XDE106" s="202"/>
      <c r="XDF106" s="203"/>
      <c r="XDG106" s="204"/>
      <c r="XDH106" s="204"/>
      <c r="XDI106" s="204"/>
      <c r="XDJ106" s="205"/>
      <c r="XDK106" s="206"/>
      <c r="XDL106" s="207"/>
      <c r="XDM106" s="207"/>
      <c r="XDN106" s="208"/>
      <c r="XDO106" s="209"/>
      <c r="XDP106" s="207"/>
      <c r="XDQ106" s="210"/>
      <c r="XDR106" s="209"/>
      <c r="XDS106" s="204"/>
      <c r="XDT106" s="204"/>
      <c r="XDU106" s="204"/>
      <c r="XDV106" s="199"/>
      <c r="XDW106" s="167"/>
      <c r="XDX106" s="199"/>
      <c r="XDY106" s="200"/>
      <c r="XDZ106" s="201"/>
      <c r="XEA106" s="202"/>
      <c r="XEB106" s="202"/>
      <c r="XEC106" s="202"/>
      <c r="XED106" s="202"/>
      <c r="XEE106" s="203"/>
      <c r="XEF106" s="204"/>
      <c r="XEG106" s="204"/>
      <c r="XEH106" s="204"/>
      <c r="XEI106" s="205"/>
      <c r="XEJ106" s="206"/>
      <c r="XEK106" s="207"/>
      <c r="XEL106" s="207"/>
      <c r="XEM106" s="208"/>
      <c r="XEN106" s="209"/>
      <c r="XEO106" s="207"/>
      <c r="XEP106" s="210"/>
      <c r="XEQ106" s="209"/>
      <c r="XER106" s="204"/>
      <c r="XES106" s="204"/>
      <c r="XET106" s="204"/>
      <c r="XEU106" s="199"/>
      <c r="XEV106" s="167"/>
      <c r="XEW106" s="199"/>
      <c r="XEX106" s="200"/>
      <c r="XEY106" s="201"/>
      <c r="XEZ106" s="202"/>
      <c r="XFA106" s="202"/>
      <c r="XFB106" s="202"/>
      <c r="XFC106" s="202"/>
    </row>
    <row r="107" spans="1:16383" ht="195" x14ac:dyDescent="0.2">
      <c r="A107" s="38" t="s">
        <v>20</v>
      </c>
      <c r="B107" s="66">
        <f t="shared" si="91"/>
        <v>1</v>
      </c>
      <c r="C107" s="66">
        <v>91</v>
      </c>
      <c r="D107" s="70">
        <v>91</v>
      </c>
      <c r="E107" s="51" t="s">
        <v>134</v>
      </c>
      <c r="F107" s="7" t="s">
        <v>269</v>
      </c>
      <c r="G107" s="15">
        <v>2</v>
      </c>
      <c r="H107" s="28" t="s">
        <v>23</v>
      </c>
      <c r="I107" s="10">
        <v>10</v>
      </c>
      <c r="J107" s="11" t="s">
        <v>64</v>
      </c>
      <c r="K107" s="105">
        <v>3224001</v>
      </c>
      <c r="L107" s="106">
        <f>+K107*G107*I107</f>
        <v>64480020</v>
      </c>
      <c r="M107" s="122"/>
      <c r="N107" s="123"/>
      <c r="O107" s="122"/>
      <c r="P107" s="123"/>
      <c r="Q107" s="165">
        <f>+AVERAGE(K107,M107,O107)</f>
        <v>3224001</v>
      </c>
      <c r="R107" s="166">
        <f>+Q107*G107*I107</f>
        <v>64480020</v>
      </c>
      <c r="S107" s="222">
        <f>_xlfn.STDEV.P(K107,M107,O107)</f>
        <v>0</v>
      </c>
      <c r="T107" s="223">
        <f t="shared" ref="T107:T132" si="109">+S107/Q107</f>
        <v>0</v>
      </c>
      <c r="U107" s="224">
        <f>+MEDIAN(K107,M107,O107)</f>
        <v>3224001</v>
      </c>
      <c r="V107" s="225">
        <f>+U107*G107*I107</f>
        <v>64480020</v>
      </c>
      <c r="W107" s="149">
        <f t="shared" ref="W107:W130" si="110">+S107/U107</f>
        <v>0</v>
      </c>
      <c r="X107" s="316" t="s">
        <v>819</v>
      </c>
      <c r="Y107" s="137"/>
      <c r="Z107" s="138"/>
    </row>
    <row r="108" spans="1:16383" ht="60" x14ac:dyDescent="0.2">
      <c r="A108" s="38" t="s">
        <v>54</v>
      </c>
      <c r="B108" s="66">
        <f t="shared" si="91"/>
        <v>2</v>
      </c>
      <c r="C108" s="66">
        <v>92</v>
      </c>
      <c r="D108" s="70">
        <v>92</v>
      </c>
      <c r="E108" s="51" t="s">
        <v>270</v>
      </c>
      <c r="F108" s="395" t="s">
        <v>722</v>
      </c>
      <c r="G108" s="15">
        <v>7</v>
      </c>
      <c r="H108" s="12" t="s">
        <v>271</v>
      </c>
      <c r="I108" s="10">
        <v>5</v>
      </c>
      <c r="J108" s="16" t="s">
        <v>67</v>
      </c>
      <c r="K108" s="105"/>
      <c r="L108" s="146"/>
      <c r="M108" s="105">
        <v>300000</v>
      </c>
      <c r="N108" s="148">
        <f>+M108*I108*G108</f>
        <v>10500000</v>
      </c>
      <c r="O108" s="105">
        <v>350000</v>
      </c>
      <c r="P108" s="148">
        <f>+O108*I108*G108</f>
        <v>12250000</v>
      </c>
      <c r="Q108" s="165">
        <f>+AVERAGE(M108,O108)</f>
        <v>325000</v>
      </c>
      <c r="R108" s="166">
        <f>+Q108*G108*I108</f>
        <v>11375000</v>
      </c>
      <c r="S108" s="222">
        <f>_xlfn.STDEV.P(M108,O108)</f>
        <v>25000</v>
      </c>
      <c r="T108" s="223">
        <f>+S108/Q108</f>
        <v>7.6923076923076927E-2</v>
      </c>
      <c r="U108" s="224">
        <f>+MEDIAN(M108,O108)</f>
        <v>325000</v>
      </c>
      <c r="V108" s="225">
        <f>+U108*G108*I108</f>
        <v>11375000</v>
      </c>
      <c r="W108" s="149">
        <f>+S108/U108</f>
        <v>7.6923076923076927E-2</v>
      </c>
      <c r="X108" s="139"/>
      <c r="Y108" s="137" t="s">
        <v>759</v>
      </c>
      <c r="Z108" s="138" t="s">
        <v>752</v>
      </c>
    </row>
    <row r="109" spans="1:16383" ht="150" x14ac:dyDescent="0.2">
      <c r="A109" s="38" t="s">
        <v>54</v>
      </c>
      <c r="B109" s="66">
        <f t="shared" si="91"/>
        <v>3</v>
      </c>
      <c r="C109" s="66">
        <v>93</v>
      </c>
      <c r="D109" s="70">
        <v>93</v>
      </c>
      <c r="E109" s="51" t="s">
        <v>272</v>
      </c>
      <c r="F109" s="7" t="s">
        <v>273</v>
      </c>
      <c r="G109" s="15">
        <v>140</v>
      </c>
      <c r="H109" s="12" t="s">
        <v>57</v>
      </c>
      <c r="I109" s="10"/>
      <c r="J109" s="11"/>
      <c r="K109" s="105">
        <f>+(12879*100)/119</f>
        <v>10822.689075630253</v>
      </c>
      <c r="L109" s="121">
        <f t="shared" ref="L109:L119" si="111">K109*G109</f>
        <v>1515176.4705882354</v>
      </c>
      <c r="M109" s="105">
        <f>+(18633*100)/119</f>
        <v>15657.98319327731</v>
      </c>
      <c r="N109" s="121">
        <f t="shared" ref="N109:N119" si="112">G109*M109</f>
        <v>2192117.6470588236</v>
      </c>
      <c r="O109" s="105">
        <f>+(19000*100)/119</f>
        <v>15966.386554621849</v>
      </c>
      <c r="P109" s="121">
        <f t="shared" ref="P109:P119" si="113">G109*O109</f>
        <v>2235294.1176470588</v>
      </c>
      <c r="Q109" s="165">
        <f t="shared" ref="Q109:Q130" si="114">+AVERAGE(K109,M109,O109)</f>
        <v>14149.019607843138</v>
      </c>
      <c r="R109" s="166">
        <f t="shared" ref="R109:R119" si="115">+Q109*G109</f>
        <v>1980862.7450980393</v>
      </c>
      <c r="S109" s="222">
        <f t="shared" ref="S109:S130" si="116">_xlfn.STDEV.P(K109,M109,O109)</f>
        <v>2355.4382841233464</v>
      </c>
      <c r="T109" s="223">
        <f t="shared" si="109"/>
        <v>0.16647360378366222</v>
      </c>
      <c r="U109" s="224">
        <f t="shared" ref="U109:U132" si="117">+MEDIAN(K109,M109,O109)</f>
        <v>15657.98319327731</v>
      </c>
      <c r="V109" s="225">
        <f t="shared" ref="V109:V119" si="118">+U109*G109</f>
        <v>2192117.6470588236</v>
      </c>
      <c r="W109" s="149">
        <f t="shared" si="110"/>
        <v>0.15043050276964431</v>
      </c>
      <c r="X109" s="570" t="s">
        <v>104</v>
      </c>
      <c r="Y109" s="137" t="s">
        <v>892</v>
      </c>
      <c r="Z109" s="571" t="s">
        <v>897</v>
      </c>
    </row>
    <row r="110" spans="1:16383" ht="34" x14ac:dyDescent="0.2">
      <c r="A110" s="38" t="s">
        <v>54</v>
      </c>
      <c r="B110" s="66">
        <f t="shared" si="91"/>
        <v>3</v>
      </c>
      <c r="C110" s="66">
        <v>94</v>
      </c>
      <c r="D110" s="70">
        <v>94</v>
      </c>
      <c r="E110" s="51" t="s">
        <v>275</v>
      </c>
      <c r="F110" s="7" t="s">
        <v>276</v>
      </c>
      <c r="G110" s="15">
        <v>56</v>
      </c>
      <c r="H110" s="12" t="s">
        <v>57</v>
      </c>
      <c r="I110" s="10"/>
      <c r="J110" s="11"/>
      <c r="K110" s="105">
        <f>+(70000*100)/119</f>
        <v>58823.529411764706</v>
      </c>
      <c r="L110" s="121">
        <f t="shared" si="111"/>
        <v>3294117.6470588236</v>
      </c>
      <c r="M110" s="105">
        <f>+(65000*100)/119</f>
        <v>54621.848739495799</v>
      </c>
      <c r="N110" s="121">
        <f t="shared" si="112"/>
        <v>3058823.5294117648</v>
      </c>
      <c r="O110" s="105">
        <f>+(64000*100)/119</f>
        <v>53781.512605042015</v>
      </c>
      <c r="P110" s="121">
        <f t="shared" si="113"/>
        <v>3011764.7058823528</v>
      </c>
      <c r="Q110" s="165">
        <f t="shared" si="114"/>
        <v>55742.296918767504</v>
      </c>
      <c r="R110" s="166">
        <f t="shared" si="115"/>
        <v>3121568.6274509802</v>
      </c>
      <c r="S110" s="222">
        <f t="shared" si="116"/>
        <v>2205.6044465019086</v>
      </c>
      <c r="T110" s="223">
        <f t="shared" si="109"/>
        <v>3.9567878763878461E-2</v>
      </c>
      <c r="U110" s="224">
        <f t="shared" si="117"/>
        <v>54621.848739495799</v>
      </c>
      <c r="V110" s="225">
        <f t="shared" si="118"/>
        <v>3058823.5294117648</v>
      </c>
      <c r="W110" s="149">
        <f t="shared" si="110"/>
        <v>4.0379527559034942E-2</v>
      </c>
      <c r="X110" s="570" t="s">
        <v>277</v>
      </c>
      <c r="Y110" s="576" t="s">
        <v>278</v>
      </c>
      <c r="Z110" s="571" t="s">
        <v>279</v>
      </c>
    </row>
    <row r="111" spans="1:16383" ht="34" x14ac:dyDescent="0.2">
      <c r="A111" s="38" t="s">
        <v>54</v>
      </c>
      <c r="B111" s="66">
        <f t="shared" si="91"/>
        <v>3</v>
      </c>
      <c r="C111" s="66">
        <v>95</v>
      </c>
      <c r="D111" s="70">
        <v>95</v>
      </c>
      <c r="E111" s="51" t="s">
        <v>275</v>
      </c>
      <c r="F111" s="7" t="s">
        <v>280</v>
      </c>
      <c r="G111" s="15">
        <v>56</v>
      </c>
      <c r="H111" s="12" t="s">
        <v>57</v>
      </c>
      <c r="I111" s="10"/>
      <c r="J111" s="11"/>
      <c r="K111" s="105">
        <f t="shared" ref="K111:K116" si="119">+(70000*100)/119</f>
        <v>58823.529411764706</v>
      </c>
      <c r="L111" s="121">
        <f t="shared" si="111"/>
        <v>3294117.6470588236</v>
      </c>
      <c r="M111" s="105">
        <f t="shared" ref="M111:M116" si="120">+(65000*100)/119</f>
        <v>54621.848739495799</v>
      </c>
      <c r="N111" s="121">
        <f t="shared" si="112"/>
        <v>3058823.5294117648</v>
      </c>
      <c r="O111" s="105">
        <f t="shared" ref="O111:O116" si="121">+(64000*100)/119</f>
        <v>53781.512605042015</v>
      </c>
      <c r="P111" s="121">
        <f t="shared" si="113"/>
        <v>3011764.7058823528</v>
      </c>
      <c r="Q111" s="165">
        <f t="shared" si="114"/>
        <v>55742.296918767504</v>
      </c>
      <c r="R111" s="166">
        <f t="shared" si="115"/>
        <v>3121568.6274509802</v>
      </c>
      <c r="S111" s="222">
        <f t="shared" si="116"/>
        <v>2205.6044465019086</v>
      </c>
      <c r="T111" s="223">
        <f t="shared" si="109"/>
        <v>3.9567878763878461E-2</v>
      </c>
      <c r="U111" s="224">
        <f t="shared" si="117"/>
        <v>54621.848739495799</v>
      </c>
      <c r="V111" s="225">
        <f t="shared" si="118"/>
        <v>3058823.5294117648</v>
      </c>
      <c r="W111" s="149">
        <f t="shared" si="110"/>
        <v>4.0379527559034942E-2</v>
      </c>
      <c r="X111" s="570" t="s">
        <v>277</v>
      </c>
      <c r="Y111" s="576" t="s">
        <v>278</v>
      </c>
      <c r="Z111" s="571" t="s">
        <v>279</v>
      </c>
    </row>
    <row r="112" spans="1:16383" ht="34" x14ac:dyDescent="0.2">
      <c r="A112" s="38" t="s">
        <v>54</v>
      </c>
      <c r="B112" s="66">
        <f t="shared" si="91"/>
        <v>3</v>
      </c>
      <c r="C112" s="66">
        <v>96</v>
      </c>
      <c r="D112" s="70">
        <v>96</v>
      </c>
      <c r="E112" s="51" t="s">
        <v>275</v>
      </c>
      <c r="F112" s="7" t="s">
        <v>281</v>
      </c>
      <c r="G112" s="15">
        <v>56</v>
      </c>
      <c r="H112" s="12" t="s">
        <v>57</v>
      </c>
      <c r="I112" s="10"/>
      <c r="J112" s="11"/>
      <c r="K112" s="105">
        <f t="shared" si="119"/>
        <v>58823.529411764706</v>
      </c>
      <c r="L112" s="121">
        <f t="shared" si="111"/>
        <v>3294117.6470588236</v>
      </c>
      <c r="M112" s="105">
        <f t="shared" si="120"/>
        <v>54621.848739495799</v>
      </c>
      <c r="N112" s="121">
        <f t="shared" si="112"/>
        <v>3058823.5294117648</v>
      </c>
      <c r="O112" s="105">
        <f t="shared" si="121"/>
        <v>53781.512605042015</v>
      </c>
      <c r="P112" s="121">
        <f t="shared" si="113"/>
        <v>3011764.7058823528</v>
      </c>
      <c r="Q112" s="165">
        <f t="shared" si="114"/>
        <v>55742.296918767504</v>
      </c>
      <c r="R112" s="166">
        <f t="shared" si="115"/>
        <v>3121568.6274509802</v>
      </c>
      <c r="S112" s="222">
        <f t="shared" si="116"/>
        <v>2205.6044465019086</v>
      </c>
      <c r="T112" s="223">
        <f t="shared" si="109"/>
        <v>3.9567878763878461E-2</v>
      </c>
      <c r="U112" s="224">
        <f t="shared" si="117"/>
        <v>54621.848739495799</v>
      </c>
      <c r="V112" s="225">
        <f t="shared" si="118"/>
        <v>3058823.5294117648</v>
      </c>
      <c r="W112" s="149">
        <f t="shared" si="110"/>
        <v>4.0379527559034942E-2</v>
      </c>
      <c r="X112" s="570" t="s">
        <v>277</v>
      </c>
      <c r="Y112" s="576" t="s">
        <v>278</v>
      </c>
      <c r="Z112" s="571" t="s">
        <v>279</v>
      </c>
    </row>
    <row r="113" spans="1:26" ht="34" x14ac:dyDescent="0.2">
      <c r="A113" s="38" t="s">
        <v>54</v>
      </c>
      <c r="B113" s="66">
        <f t="shared" si="91"/>
        <v>3</v>
      </c>
      <c r="C113" s="66">
        <v>97</v>
      </c>
      <c r="D113" s="70">
        <v>97</v>
      </c>
      <c r="E113" s="51" t="s">
        <v>275</v>
      </c>
      <c r="F113" s="7" t="s">
        <v>282</v>
      </c>
      <c r="G113" s="15">
        <v>56</v>
      </c>
      <c r="H113" s="12" t="s">
        <v>57</v>
      </c>
      <c r="I113" s="10"/>
      <c r="J113" s="11"/>
      <c r="K113" s="105">
        <f t="shared" si="119"/>
        <v>58823.529411764706</v>
      </c>
      <c r="L113" s="121">
        <f t="shared" si="111"/>
        <v>3294117.6470588236</v>
      </c>
      <c r="M113" s="105">
        <f t="shared" si="120"/>
        <v>54621.848739495799</v>
      </c>
      <c r="N113" s="121">
        <f t="shared" si="112"/>
        <v>3058823.5294117648</v>
      </c>
      <c r="O113" s="105">
        <f t="shared" si="121"/>
        <v>53781.512605042015</v>
      </c>
      <c r="P113" s="121">
        <f t="shared" si="113"/>
        <v>3011764.7058823528</v>
      </c>
      <c r="Q113" s="165">
        <f t="shared" si="114"/>
        <v>55742.296918767504</v>
      </c>
      <c r="R113" s="166">
        <f t="shared" si="115"/>
        <v>3121568.6274509802</v>
      </c>
      <c r="S113" s="222">
        <f t="shared" si="116"/>
        <v>2205.6044465019086</v>
      </c>
      <c r="T113" s="223">
        <f t="shared" si="109"/>
        <v>3.9567878763878461E-2</v>
      </c>
      <c r="U113" s="224">
        <f t="shared" si="117"/>
        <v>54621.848739495799</v>
      </c>
      <c r="V113" s="225">
        <f t="shared" si="118"/>
        <v>3058823.5294117648</v>
      </c>
      <c r="W113" s="149">
        <f t="shared" si="110"/>
        <v>4.0379527559034942E-2</v>
      </c>
      <c r="X113" s="570" t="s">
        <v>277</v>
      </c>
      <c r="Y113" s="576" t="s">
        <v>278</v>
      </c>
      <c r="Z113" s="571" t="s">
        <v>279</v>
      </c>
    </row>
    <row r="114" spans="1:26" ht="34" x14ac:dyDescent="0.2">
      <c r="A114" s="38" t="s">
        <v>54</v>
      </c>
      <c r="B114" s="66">
        <f t="shared" si="91"/>
        <v>3</v>
      </c>
      <c r="C114" s="66">
        <v>98</v>
      </c>
      <c r="D114" s="70">
        <v>98</v>
      </c>
      <c r="E114" s="51" t="s">
        <v>275</v>
      </c>
      <c r="F114" s="7" t="s">
        <v>283</v>
      </c>
      <c r="G114" s="15">
        <v>56</v>
      </c>
      <c r="H114" s="12" t="s">
        <v>57</v>
      </c>
      <c r="I114" s="10"/>
      <c r="J114" s="11"/>
      <c r="K114" s="105">
        <f t="shared" si="119"/>
        <v>58823.529411764706</v>
      </c>
      <c r="L114" s="121">
        <f t="shared" si="111"/>
        <v>3294117.6470588236</v>
      </c>
      <c r="M114" s="105">
        <f t="shared" si="120"/>
        <v>54621.848739495799</v>
      </c>
      <c r="N114" s="121">
        <f t="shared" si="112"/>
        <v>3058823.5294117648</v>
      </c>
      <c r="O114" s="105">
        <f t="shared" si="121"/>
        <v>53781.512605042015</v>
      </c>
      <c r="P114" s="121">
        <f t="shared" si="113"/>
        <v>3011764.7058823528</v>
      </c>
      <c r="Q114" s="165">
        <f t="shared" si="114"/>
        <v>55742.296918767504</v>
      </c>
      <c r="R114" s="166">
        <f t="shared" si="115"/>
        <v>3121568.6274509802</v>
      </c>
      <c r="S114" s="222">
        <f t="shared" si="116"/>
        <v>2205.6044465019086</v>
      </c>
      <c r="T114" s="223">
        <f t="shared" si="109"/>
        <v>3.9567878763878461E-2</v>
      </c>
      <c r="U114" s="224">
        <f t="shared" si="117"/>
        <v>54621.848739495799</v>
      </c>
      <c r="V114" s="225">
        <f t="shared" si="118"/>
        <v>3058823.5294117648</v>
      </c>
      <c r="W114" s="149">
        <f t="shared" si="110"/>
        <v>4.0379527559034942E-2</v>
      </c>
      <c r="X114" s="570" t="s">
        <v>277</v>
      </c>
      <c r="Y114" s="576" t="s">
        <v>278</v>
      </c>
      <c r="Z114" s="571" t="s">
        <v>279</v>
      </c>
    </row>
    <row r="115" spans="1:26" ht="34" x14ac:dyDescent="0.2">
      <c r="A115" s="38" t="s">
        <v>54</v>
      </c>
      <c r="B115" s="66">
        <f t="shared" si="91"/>
        <v>3</v>
      </c>
      <c r="C115" s="66">
        <v>99</v>
      </c>
      <c r="D115" s="70">
        <v>99</v>
      </c>
      <c r="E115" s="51" t="s">
        <v>275</v>
      </c>
      <c r="F115" s="7" t="s">
        <v>284</v>
      </c>
      <c r="G115" s="15">
        <v>56</v>
      </c>
      <c r="H115" s="12" t="s">
        <v>57</v>
      </c>
      <c r="I115" s="10"/>
      <c r="J115" s="11"/>
      <c r="K115" s="105">
        <f t="shared" si="119"/>
        <v>58823.529411764706</v>
      </c>
      <c r="L115" s="121">
        <f t="shared" si="111"/>
        <v>3294117.6470588236</v>
      </c>
      <c r="M115" s="105">
        <f t="shared" si="120"/>
        <v>54621.848739495799</v>
      </c>
      <c r="N115" s="121">
        <f t="shared" si="112"/>
        <v>3058823.5294117648</v>
      </c>
      <c r="O115" s="105">
        <f t="shared" si="121"/>
        <v>53781.512605042015</v>
      </c>
      <c r="P115" s="121">
        <f t="shared" si="113"/>
        <v>3011764.7058823528</v>
      </c>
      <c r="Q115" s="165">
        <f t="shared" si="114"/>
        <v>55742.296918767504</v>
      </c>
      <c r="R115" s="166">
        <f t="shared" si="115"/>
        <v>3121568.6274509802</v>
      </c>
      <c r="S115" s="222">
        <f t="shared" si="116"/>
        <v>2205.6044465019086</v>
      </c>
      <c r="T115" s="223">
        <f t="shared" si="109"/>
        <v>3.9567878763878461E-2</v>
      </c>
      <c r="U115" s="224">
        <f t="shared" si="117"/>
        <v>54621.848739495799</v>
      </c>
      <c r="V115" s="225">
        <f t="shared" si="118"/>
        <v>3058823.5294117648</v>
      </c>
      <c r="W115" s="149">
        <f t="shared" si="110"/>
        <v>4.0379527559034942E-2</v>
      </c>
      <c r="X115" s="570" t="s">
        <v>277</v>
      </c>
      <c r="Y115" s="576" t="s">
        <v>278</v>
      </c>
      <c r="Z115" s="571" t="s">
        <v>279</v>
      </c>
    </row>
    <row r="116" spans="1:26" ht="34" x14ac:dyDescent="0.2">
      <c r="A116" s="38" t="s">
        <v>54</v>
      </c>
      <c r="B116" s="66">
        <f t="shared" si="91"/>
        <v>3</v>
      </c>
      <c r="C116" s="66">
        <v>100</v>
      </c>
      <c r="D116" s="70">
        <v>100</v>
      </c>
      <c r="E116" s="51" t="s">
        <v>275</v>
      </c>
      <c r="F116" s="7" t="s">
        <v>285</v>
      </c>
      <c r="G116" s="15">
        <v>56</v>
      </c>
      <c r="H116" s="14" t="s">
        <v>57</v>
      </c>
      <c r="I116" s="10"/>
      <c r="J116" s="11"/>
      <c r="K116" s="105">
        <f t="shared" si="119"/>
        <v>58823.529411764706</v>
      </c>
      <c r="L116" s="121">
        <f t="shared" si="111"/>
        <v>3294117.6470588236</v>
      </c>
      <c r="M116" s="105">
        <f t="shared" si="120"/>
        <v>54621.848739495799</v>
      </c>
      <c r="N116" s="121">
        <f t="shared" si="112"/>
        <v>3058823.5294117648</v>
      </c>
      <c r="O116" s="105">
        <f t="shared" si="121"/>
        <v>53781.512605042015</v>
      </c>
      <c r="P116" s="121">
        <f t="shared" si="113"/>
        <v>3011764.7058823528</v>
      </c>
      <c r="Q116" s="165">
        <f t="shared" si="114"/>
        <v>55742.296918767504</v>
      </c>
      <c r="R116" s="166">
        <f t="shared" si="115"/>
        <v>3121568.6274509802</v>
      </c>
      <c r="S116" s="222">
        <f t="shared" si="116"/>
        <v>2205.6044465019086</v>
      </c>
      <c r="T116" s="223">
        <f t="shared" si="109"/>
        <v>3.9567878763878461E-2</v>
      </c>
      <c r="U116" s="224">
        <f t="shared" si="117"/>
        <v>54621.848739495799</v>
      </c>
      <c r="V116" s="225">
        <f t="shared" si="118"/>
        <v>3058823.5294117648</v>
      </c>
      <c r="W116" s="149">
        <f t="shared" si="110"/>
        <v>4.0379527559034942E-2</v>
      </c>
      <c r="X116" s="570" t="s">
        <v>277</v>
      </c>
      <c r="Y116" s="576" t="s">
        <v>278</v>
      </c>
      <c r="Z116" s="571" t="s">
        <v>279</v>
      </c>
    </row>
    <row r="117" spans="1:26" ht="75" x14ac:dyDescent="0.2">
      <c r="A117" s="38" t="s">
        <v>54</v>
      </c>
      <c r="B117" s="66">
        <f t="shared" si="91"/>
        <v>3</v>
      </c>
      <c r="C117" s="66">
        <v>101</v>
      </c>
      <c r="D117" s="70">
        <v>101</v>
      </c>
      <c r="E117" s="51" t="s">
        <v>286</v>
      </c>
      <c r="F117" s="7" t="s">
        <v>287</v>
      </c>
      <c r="G117" s="15">
        <v>140</v>
      </c>
      <c r="H117" s="14" t="s">
        <v>57</v>
      </c>
      <c r="I117" s="10"/>
      <c r="J117" s="11"/>
      <c r="K117" s="105">
        <f>+(4000*100)/119</f>
        <v>3361.3445378151259</v>
      </c>
      <c r="L117" s="121">
        <f t="shared" si="111"/>
        <v>470588.23529411765</v>
      </c>
      <c r="M117" s="105">
        <f>+(3500*100)/119</f>
        <v>2941.1764705882351</v>
      </c>
      <c r="N117" s="121">
        <f t="shared" si="112"/>
        <v>411764.70588235289</v>
      </c>
      <c r="O117" s="105">
        <f>+(2000*100)/119</f>
        <v>1680.672268907563</v>
      </c>
      <c r="P117" s="121">
        <f t="shared" si="113"/>
        <v>235294.11764705883</v>
      </c>
      <c r="Q117" s="165">
        <f t="shared" si="114"/>
        <v>2661.0644257703079</v>
      </c>
      <c r="R117" s="166">
        <f t="shared" si="115"/>
        <v>372549.01960784313</v>
      </c>
      <c r="S117" s="222">
        <f t="shared" si="116"/>
        <v>714.14839125949322</v>
      </c>
      <c r="T117" s="223">
        <f t="shared" si="109"/>
        <v>0.26836944808383062</v>
      </c>
      <c r="U117" s="224">
        <f t="shared" si="117"/>
        <v>2941.1764705882351</v>
      </c>
      <c r="V117" s="225">
        <f t="shared" si="118"/>
        <v>411764.70588235289</v>
      </c>
      <c r="W117" s="149">
        <f t="shared" si="110"/>
        <v>0.24281045302822771</v>
      </c>
      <c r="X117" s="570" t="s">
        <v>277</v>
      </c>
      <c r="Y117" s="576" t="s">
        <v>278</v>
      </c>
      <c r="Z117" s="571" t="s">
        <v>279</v>
      </c>
    </row>
    <row r="118" spans="1:26" ht="105" x14ac:dyDescent="0.2">
      <c r="A118" s="38" t="s">
        <v>54</v>
      </c>
      <c r="B118" s="66">
        <f t="shared" si="91"/>
        <v>3</v>
      </c>
      <c r="C118" s="66">
        <v>102</v>
      </c>
      <c r="D118" s="70">
        <v>102</v>
      </c>
      <c r="E118" s="51" t="s">
        <v>288</v>
      </c>
      <c r="F118" s="7" t="s">
        <v>289</v>
      </c>
      <c r="G118" s="15">
        <v>140</v>
      </c>
      <c r="H118" s="14" t="s">
        <v>57</v>
      </c>
      <c r="I118" s="10"/>
      <c r="J118" s="11"/>
      <c r="K118" s="105">
        <f>+(5000*100)/119</f>
        <v>4201.680672268908</v>
      </c>
      <c r="L118" s="121">
        <f t="shared" si="111"/>
        <v>588235.29411764711</v>
      </c>
      <c r="M118" s="105">
        <f>+(3500*100)/119</f>
        <v>2941.1764705882351</v>
      </c>
      <c r="N118" s="121">
        <f t="shared" si="112"/>
        <v>411764.70588235289</v>
      </c>
      <c r="O118" s="105">
        <f>+(3500*100)/119</f>
        <v>2941.1764705882351</v>
      </c>
      <c r="P118" s="121">
        <f t="shared" si="113"/>
        <v>411764.70588235289</v>
      </c>
      <c r="Q118" s="165">
        <f t="shared" si="114"/>
        <v>3361.3445378151264</v>
      </c>
      <c r="R118" s="166">
        <f t="shared" si="115"/>
        <v>470588.23529411771</v>
      </c>
      <c r="S118" s="222">
        <f t="shared" si="116"/>
        <v>594.207379148359</v>
      </c>
      <c r="T118" s="223">
        <f t="shared" si="109"/>
        <v>0.17677669529663678</v>
      </c>
      <c r="U118" s="224">
        <f t="shared" si="117"/>
        <v>2941.1764705882351</v>
      </c>
      <c r="V118" s="225">
        <f t="shared" si="118"/>
        <v>411764.70588235289</v>
      </c>
      <c r="W118" s="149">
        <f t="shared" si="110"/>
        <v>0.20203050891044208</v>
      </c>
      <c r="X118" s="570" t="s">
        <v>277</v>
      </c>
      <c r="Y118" s="576" t="s">
        <v>278</v>
      </c>
      <c r="Z118" s="571" t="s">
        <v>279</v>
      </c>
    </row>
    <row r="119" spans="1:26" ht="105" x14ac:dyDescent="0.2">
      <c r="A119" s="38" t="s">
        <v>54</v>
      </c>
      <c r="B119" s="66">
        <f t="shared" si="91"/>
        <v>3</v>
      </c>
      <c r="C119" s="66">
        <v>103</v>
      </c>
      <c r="D119" s="70">
        <v>103</v>
      </c>
      <c r="E119" s="51" t="s">
        <v>288</v>
      </c>
      <c r="F119" s="7" t="s">
        <v>290</v>
      </c>
      <c r="G119" s="15">
        <v>140</v>
      </c>
      <c r="H119" s="14" t="s">
        <v>57</v>
      </c>
      <c r="I119" s="10"/>
      <c r="J119" s="11"/>
      <c r="K119" s="105">
        <f t="shared" ref="K119:K120" si="122">+(5000*100)/119</f>
        <v>4201.680672268908</v>
      </c>
      <c r="L119" s="121">
        <f t="shared" si="111"/>
        <v>588235.29411764711</v>
      </c>
      <c r="M119" s="105">
        <f t="shared" ref="M119:M120" si="123">+(3500*100)/119</f>
        <v>2941.1764705882351</v>
      </c>
      <c r="N119" s="121">
        <f t="shared" si="112"/>
        <v>411764.70588235289</v>
      </c>
      <c r="O119" s="105">
        <f t="shared" ref="O119:O120" si="124">+(3500*100)/119</f>
        <v>2941.1764705882351</v>
      </c>
      <c r="P119" s="121">
        <f t="shared" si="113"/>
        <v>411764.70588235289</v>
      </c>
      <c r="Q119" s="165">
        <f t="shared" si="114"/>
        <v>3361.3445378151264</v>
      </c>
      <c r="R119" s="166">
        <f t="shared" si="115"/>
        <v>470588.23529411771</v>
      </c>
      <c r="S119" s="222">
        <f t="shared" si="116"/>
        <v>594.207379148359</v>
      </c>
      <c r="T119" s="223">
        <f t="shared" si="109"/>
        <v>0.17677669529663678</v>
      </c>
      <c r="U119" s="224">
        <f t="shared" si="117"/>
        <v>2941.1764705882351</v>
      </c>
      <c r="V119" s="225">
        <f t="shared" si="118"/>
        <v>411764.70588235289</v>
      </c>
      <c r="W119" s="149">
        <f t="shared" si="110"/>
        <v>0.20203050891044208</v>
      </c>
      <c r="X119" s="570" t="s">
        <v>277</v>
      </c>
      <c r="Y119" s="576" t="s">
        <v>278</v>
      </c>
      <c r="Z119" s="571" t="s">
        <v>279</v>
      </c>
    </row>
    <row r="120" spans="1:26" ht="105" x14ac:dyDescent="0.2">
      <c r="A120" s="38" t="s">
        <v>54</v>
      </c>
      <c r="B120" s="66">
        <f t="shared" si="91"/>
        <v>3</v>
      </c>
      <c r="C120" s="66">
        <v>104</v>
      </c>
      <c r="D120" s="70">
        <v>104</v>
      </c>
      <c r="E120" s="51" t="s">
        <v>288</v>
      </c>
      <c r="F120" s="7" t="s">
        <v>291</v>
      </c>
      <c r="G120" s="15">
        <v>140</v>
      </c>
      <c r="H120" s="14" t="s">
        <v>57</v>
      </c>
      <c r="I120" s="10">
        <v>140</v>
      </c>
      <c r="J120" s="11" t="s">
        <v>292</v>
      </c>
      <c r="K120" s="105">
        <f t="shared" si="122"/>
        <v>4201.680672268908</v>
      </c>
      <c r="L120" s="146">
        <f t="shared" ref="L120" si="125">+K120*G120*I120</f>
        <v>82352941.176470593</v>
      </c>
      <c r="M120" s="105">
        <f t="shared" si="123"/>
        <v>2941.1764705882351</v>
      </c>
      <c r="N120" s="148">
        <f>+M120*I120*G120</f>
        <v>57647058.823529407</v>
      </c>
      <c r="O120" s="105">
        <f t="shared" si="124"/>
        <v>2941.1764705882351</v>
      </c>
      <c r="P120" s="148">
        <f>+O120*I120*G120</f>
        <v>57647058.823529407</v>
      </c>
      <c r="Q120" s="165">
        <f t="shared" si="114"/>
        <v>3361.3445378151264</v>
      </c>
      <c r="R120" s="166">
        <f t="shared" ref="R120:R130" si="126">+Q120*G120*I120</f>
        <v>65882352.941176482</v>
      </c>
      <c r="S120" s="222">
        <f t="shared" si="116"/>
        <v>594.207379148359</v>
      </c>
      <c r="T120" s="223">
        <f t="shared" si="109"/>
        <v>0.17677669529663678</v>
      </c>
      <c r="U120" s="224">
        <f t="shared" si="117"/>
        <v>2941.1764705882351</v>
      </c>
      <c r="V120" s="225">
        <f t="shared" ref="V120:V130" si="127">+U120*G120*I120</f>
        <v>57647058.823529407</v>
      </c>
      <c r="W120" s="149">
        <f t="shared" si="110"/>
        <v>0.20203050891044208</v>
      </c>
      <c r="X120" s="570" t="s">
        <v>277</v>
      </c>
      <c r="Y120" s="576" t="s">
        <v>278</v>
      </c>
      <c r="Z120" s="571" t="s">
        <v>279</v>
      </c>
    </row>
    <row r="121" spans="1:26" ht="90" x14ac:dyDescent="0.2">
      <c r="A121" s="38" t="s">
        <v>54</v>
      </c>
      <c r="B121" s="66">
        <f t="shared" si="91"/>
        <v>3</v>
      </c>
      <c r="C121" s="66">
        <v>105</v>
      </c>
      <c r="D121" s="70">
        <v>105</v>
      </c>
      <c r="E121" s="51" t="s">
        <v>293</v>
      </c>
      <c r="F121" s="7" t="s">
        <v>294</v>
      </c>
      <c r="G121" s="15">
        <v>140</v>
      </c>
      <c r="H121" s="14" t="s">
        <v>57</v>
      </c>
      <c r="I121" s="10"/>
      <c r="J121" s="11"/>
      <c r="K121" s="105">
        <f>+(24201*100)/119</f>
        <v>20336.974789915967</v>
      </c>
      <c r="L121" s="121">
        <f>K121*G121</f>
        <v>2847176.4705882352</v>
      </c>
      <c r="M121" s="105">
        <v>27311</v>
      </c>
      <c r="N121" s="121">
        <f>G121*M121</f>
        <v>3823540</v>
      </c>
      <c r="O121" s="105">
        <f>+(35000*100)/119</f>
        <v>29411.764705882353</v>
      </c>
      <c r="P121" s="121">
        <f>G121*O121</f>
        <v>4117647.0588235296</v>
      </c>
      <c r="Q121" s="165">
        <f t="shared" si="114"/>
        <v>25686.579831932773</v>
      </c>
      <c r="R121" s="166">
        <f>+Q121*G121</f>
        <v>3596121.1764705884</v>
      </c>
      <c r="S121" s="222">
        <f t="shared" si="116"/>
        <v>3878.7462464520709</v>
      </c>
      <c r="T121" s="223">
        <f t="shared" si="109"/>
        <v>0.15100282995364497</v>
      </c>
      <c r="U121" s="224">
        <f t="shared" si="117"/>
        <v>27311</v>
      </c>
      <c r="V121" s="225">
        <f>+U121*G121</f>
        <v>3823540</v>
      </c>
      <c r="W121" s="149">
        <f t="shared" si="110"/>
        <v>0.14202139234931241</v>
      </c>
      <c r="X121" s="570" t="s">
        <v>295</v>
      </c>
      <c r="Y121" s="576" t="s">
        <v>920</v>
      </c>
      <c r="Z121" s="571" t="s">
        <v>274</v>
      </c>
    </row>
    <row r="122" spans="1:26" ht="90" x14ac:dyDescent="0.2">
      <c r="A122" s="38" t="s">
        <v>54</v>
      </c>
      <c r="B122" s="66">
        <f t="shared" si="91"/>
        <v>3</v>
      </c>
      <c r="C122" s="66">
        <v>106</v>
      </c>
      <c r="D122" s="70">
        <v>106</v>
      </c>
      <c r="E122" s="51" t="s">
        <v>296</v>
      </c>
      <c r="F122" s="7" t="s">
        <v>297</v>
      </c>
      <c r="G122" s="15">
        <v>10</v>
      </c>
      <c r="H122" s="14" t="s">
        <v>57</v>
      </c>
      <c r="I122" s="10">
        <v>140</v>
      </c>
      <c r="J122" s="11" t="s">
        <v>292</v>
      </c>
      <c r="K122" s="105">
        <v>1429</v>
      </c>
      <c r="L122" s="146">
        <f t="shared" ref="L122" si="128">+K122*G122*I122</f>
        <v>2000600</v>
      </c>
      <c r="M122" s="105">
        <f>+(1410*100)/119</f>
        <v>1184.873949579832</v>
      </c>
      <c r="N122" s="148">
        <f>+M122*I122*G122</f>
        <v>1658823.5294117648</v>
      </c>
      <c r="O122" s="105">
        <f>+(2200*100)/119</f>
        <v>1848.7394957983192</v>
      </c>
      <c r="P122" s="148">
        <f>+O122*I122*G122</f>
        <v>2588235.2941176472</v>
      </c>
      <c r="Q122" s="165">
        <f t="shared" si="114"/>
        <v>1487.5378151260502</v>
      </c>
      <c r="R122" s="166">
        <f t="shared" si="126"/>
        <v>2082552.9411764704</v>
      </c>
      <c r="S122" s="222">
        <f t="shared" si="116"/>
        <v>274.16463753712225</v>
      </c>
      <c r="T122" s="223">
        <f t="shared" si="109"/>
        <v>0.18430767591201722</v>
      </c>
      <c r="U122" s="224">
        <f t="shared" si="117"/>
        <v>1429</v>
      </c>
      <c r="V122" s="225">
        <f t="shared" si="127"/>
        <v>2000600</v>
      </c>
      <c r="W122" s="149">
        <f t="shared" si="110"/>
        <v>0.19185768896929478</v>
      </c>
      <c r="X122" s="570" t="s">
        <v>919</v>
      </c>
      <c r="Y122" s="576" t="s">
        <v>295</v>
      </c>
      <c r="Z122" s="571" t="s">
        <v>741</v>
      </c>
    </row>
    <row r="123" spans="1:26" ht="45" x14ac:dyDescent="0.2">
      <c r="A123" s="38" t="s">
        <v>54</v>
      </c>
      <c r="B123" s="66">
        <f t="shared" si="91"/>
        <v>3</v>
      </c>
      <c r="C123" s="66">
        <v>107</v>
      </c>
      <c r="D123" s="70">
        <v>107</v>
      </c>
      <c r="E123" s="51" t="s">
        <v>298</v>
      </c>
      <c r="F123" s="7" t="s">
        <v>299</v>
      </c>
      <c r="G123" s="15">
        <v>420</v>
      </c>
      <c r="H123" s="14" t="s">
        <v>57</v>
      </c>
      <c r="I123" s="10"/>
      <c r="J123" s="11"/>
      <c r="K123" s="105">
        <f>+(4000*100)/119</f>
        <v>3361.3445378151259</v>
      </c>
      <c r="L123" s="121">
        <f t="shared" ref="L123:L129" si="129">K123*G123</f>
        <v>1411764.7058823528</v>
      </c>
      <c r="M123" s="105">
        <f>+(3500*100)/119</f>
        <v>2941.1764705882351</v>
      </c>
      <c r="N123" s="121">
        <f t="shared" ref="N123:N129" si="130">G123*M123</f>
        <v>1235294.1176470588</v>
      </c>
      <c r="O123" s="105">
        <f>+(2000*100)/119</f>
        <v>1680.672268907563</v>
      </c>
      <c r="P123" s="121">
        <f t="shared" ref="P123:P129" si="131">G123*O123</f>
        <v>705882.35294117639</v>
      </c>
      <c r="Q123" s="165">
        <f t="shared" si="114"/>
        <v>2661.0644257703079</v>
      </c>
      <c r="R123" s="166">
        <f t="shared" ref="R123:R129" si="132">+Q123*G123</f>
        <v>1117647.0588235294</v>
      </c>
      <c r="S123" s="222">
        <f t="shared" si="116"/>
        <v>714.14839125949322</v>
      </c>
      <c r="T123" s="223">
        <f t="shared" si="109"/>
        <v>0.26836944808383062</v>
      </c>
      <c r="U123" s="224">
        <f t="shared" si="117"/>
        <v>2941.1764705882351</v>
      </c>
      <c r="V123" s="225">
        <f t="shared" ref="V123:V129" si="133">+U123*G123</f>
        <v>1235294.1176470588</v>
      </c>
      <c r="W123" s="149">
        <f t="shared" si="110"/>
        <v>0.24281045302822771</v>
      </c>
      <c r="X123" s="570" t="s">
        <v>277</v>
      </c>
      <c r="Y123" s="576" t="s">
        <v>278</v>
      </c>
      <c r="Z123" s="571" t="s">
        <v>279</v>
      </c>
    </row>
    <row r="124" spans="1:26" ht="45" x14ac:dyDescent="0.2">
      <c r="A124" s="38" t="s">
        <v>54</v>
      </c>
      <c r="B124" s="66">
        <f t="shared" si="91"/>
        <v>3</v>
      </c>
      <c r="C124" s="66">
        <v>108</v>
      </c>
      <c r="D124" s="70">
        <v>108</v>
      </c>
      <c r="E124" s="51" t="s">
        <v>300</v>
      </c>
      <c r="F124" s="7" t="s">
        <v>301</v>
      </c>
      <c r="G124" s="15">
        <v>140</v>
      </c>
      <c r="H124" s="14" t="s">
        <v>57</v>
      </c>
      <c r="I124" s="10"/>
      <c r="J124" s="11"/>
      <c r="K124" s="105">
        <f>+(8000*100)/119</f>
        <v>6722.6890756302519</v>
      </c>
      <c r="L124" s="121">
        <f t="shared" si="129"/>
        <v>941176.4705882353</v>
      </c>
      <c r="M124" s="105">
        <f>+(4500*100)/119</f>
        <v>3781.5126050420167</v>
      </c>
      <c r="N124" s="121">
        <f t="shared" si="130"/>
        <v>529411.76470588229</v>
      </c>
      <c r="O124" s="105">
        <f>+(6500*100)/119</f>
        <v>5462.1848739495799</v>
      </c>
      <c r="P124" s="121">
        <f t="shared" si="131"/>
        <v>764705.8823529412</v>
      </c>
      <c r="Q124" s="165">
        <f t="shared" si="114"/>
        <v>5322.1288515406159</v>
      </c>
      <c r="R124" s="166">
        <f t="shared" si="132"/>
        <v>745098.03921568627</v>
      </c>
      <c r="S124" s="222">
        <f t="shared" si="116"/>
        <v>1204.8074603701186</v>
      </c>
      <c r="T124" s="223">
        <f t="shared" si="109"/>
        <v>0.22637698071164863</v>
      </c>
      <c r="U124" s="224">
        <f t="shared" si="117"/>
        <v>5462.1848739495799</v>
      </c>
      <c r="V124" s="225">
        <f t="shared" si="133"/>
        <v>764705.8823529412</v>
      </c>
      <c r="W124" s="149">
        <f t="shared" si="110"/>
        <v>0.22057244274468327</v>
      </c>
      <c r="X124" s="570" t="s">
        <v>277</v>
      </c>
      <c r="Y124" s="576" t="s">
        <v>278</v>
      </c>
      <c r="Z124" s="571" t="s">
        <v>279</v>
      </c>
    </row>
    <row r="125" spans="1:26" ht="75" x14ac:dyDescent="0.2">
      <c r="A125" s="38" t="s">
        <v>54</v>
      </c>
      <c r="B125" s="66">
        <f t="shared" si="91"/>
        <v>3</v>
      </c>
      <c r="C125" s="66">
        <v>109</v>
      </c>
      <c r="D125" s="70" t="s">
        <v>302</v>
      </c>
      <c r="E125" s="51" t="s">
        <v>303</v>
      </c>
      <c r="F125" s="7" t="s">
        <v>304</v>
      </c>
      <c r="G125" s="15">
        <v>140</v>
      </c>
      <c r="H125" s="14" t="s">
        <v>57</v>
      </c>
      <c r="I125" s="10"/>
      <c r="J125" s="11"/>
      <c r="K125" s="105">
        <f>+(20000*100)/119</f>
        <v>16806.722689075632</v>
      </c>
      <c r="L125" s="121">
        <f t="shared" si="129"/>
        <v>2352941.1764705884</v>
      </c>
      <c r="M125" s="105">
        <f>+(33000*100)/119</f>
        <v>27731.092436974788</v>
      </c>
      <c r="N125" s="121">
        <f t="shared" si="130"/>
        <v>3882352.9411764704</v>
      </c>
      <c r="O125" s="105">
        <f>+(36000*100)/119</f>
        <v>30252.100840336134</v>
      </c>
      <c r="P125" s="121">
        <f t="shared" si="131"/>
        <v>4235294.1176470583</v>
      </c>
      <c r="Q125" s="165">
        <f t="shared" si="114"/>
        <v>24929.971988795518</v>
      </c>
      <c r="R125" s="166">
        <f t="shared" si="132"/>
        <v>3490196.0784313725</v>
      </c>
      <c r="S125" s="222">
        <f t="shared" si="116"/>
        <v>5835.4808560223</v>
      </c>
      <c r="T125" s="223">
        <f t="shared" si="109"/>
        <v>0.23407490624718663</v>
      </c>
      <c r="U125" s="224">
        <f t="shared" si="117"/>
        <v>27731.092436974788</v>
      </c>
      <c r="V125" s="225">
        <f t="shared" si="133"/>
        <v>3882352.9411764704</v>
      </c>
      <c r="W125" s="149">
        <f t="shared" si="110"/>
        <v>0.21043097632322841</v>
      </c>
      <c r="X125" s="570" t="s">
        <v>305</v>
      </c>
      <c r="Y125" s="576" t="s">
        <v>306</v>
      </c>
      <c r="Z125" s="571" t="s">
        <v>307</v>
      </c>
    </row>
    <row r="126" spans="1:26" ht="75" x14ac:dyDescent="0.2">
      <c r="A126" s="38" t="s">
        <v>54</v>
      </c>
      <c r="B126" s="66">
        <f t="shared" si="91"/>
        <v>3</v>
      </c>
      <c r="C126" s="66">
        <v>110</v>
      </c>
      <c r="D126" s="70">
        <v>112</v>
      </c>
      <c r="E126" s="51" t="s">
        <v>309</v>
      </c>
      <c r="F126" s="7" t="s">
        <v>310</v>
      </c>
      <c r="G126" s="15">
        <v>140</v>
      </c>
      <c r="H126" s="14" t="s">
        <v>57</v>
      </c>
      <c r="I126" s="10"/>
      <c r="J126" s="11"/>
      <c r="K126" s="105">
        <f>+(14300*100)/119</f>
        <v>12016.806722689076</v>
      </c>
      <c r="L126" s="121">
        <f t="shared" si="129"/>
        <v>1682352.9411764706</v>
      </c>
      <c r="M126" s="105">
        <v>12605</v>
      </c>
      <c r="N126" s="121">
        <f t="shared" si="130"/>
        <v>1764700</v>
      </c>
      <c r="O126" s="105">
        <f>+(10799*100)/119</f>
        <v>9074.7899159663866</v>
      </c>
      <c r="P126" s="121">
        <f t="shared" si="131"/>
        <v>1270470.5882352942</v>
      </c>
      <c r="Q126" s="165">
        <f t="shared" si="114"/>
        <v>11232.198879551821</v>
      </c>
      <c r="R126" s="166">
        <f t="shared" si="132"/>
        <v>1572507.8431372549</v>
      </c>
      <c r="S126" s="222">
        <f t="shared" si="116"/>
        <v>1544.3019803970747</v>
      </c>
      <c r="T126" s="223">
        <f t="shared" si="109"/>
        <v>0.13748883873561668</v>
      </c>
      <c r="U126" s="224">
        <f t="shared" si="117"/>
        <v>12016.806722689076</v>
      </c>
      <c r="V126" s="225">
        <f t="shared" si="133"/>
        <v>1682352.9411764706</v>
      </c>
      <c r="W126" s="149">
        <f t="shared" si="110"/>
        <v>0.12851184312395236</v>
      </c>
      <c r="X126" s="570" t="s">
        <v>311</v>
      </c>
      <c r="Y126" s="576" t="s">
        <v>918</v>
      </c>
      <c r="Z126" s="571" t="s">
        <v>295</v>
      </c>
    </row>
    <row r="127" spans="1:26" ht="165" x14ac:dyDescent="0.2">
      <c r="A127" s="38" t="s">
        <v>54</v>
      </c>
      <c r="B127" s="66">
        <f t="shared" si="91"/>
        <v>3</v>
      </c>
      <c r="C127" s="66">
        <v>111</v>
      </c>
      <c r="D127" s="70">
        <v>113</v>
      </c>
      <c r="E127" s="51" t="s">
        <v>312</v>
      </c>
      <c r="F127" s="7" t="s">
        <v>313</v>
      </c>
      <c r="G127" s="15">
        <v>140</v>
      </c>
      <c r="H127" s="14" t="s">
        <v>57</v>
      </c>
      <c r="I127" s="10"/>
      <c r="J127" s="11"/>
      <c r="K127" s="105">
        <f>+(3843*100)/119</f>
        <v>3229.4117647058824</v>
      </c>
      <c r="L127" s="121">
        <f t="shared" si="129"/>
        <v>452117.64705882355</v>
      </c>
      <c r="M127" s="105">
        <f>+(2154*100)/119</f>
        <v>1810.0840336134454</v>
      </c>
      <c r="N127" s="121">
        <f t="shared" si="130"/>
        <v>253411.76470588235</v>
      </c>
      <c r="O127" s="105">
        <f>+(2487*100)/119</f>
        <v>2089.9159663865548</v>
      </c>
      <c r="P127" s="121">
        <f t="shared" si="131"/>
        <v>292588.23529411765</v>
      </c>
      <c r="Q127" s="165">
        <f t="shared" si="114"/>
        <v>2376.4705882352941</v>
      </c>
      <c r="R127" s="166">
        <f t="shared" si="132"/>
        <v>332705.8823529412</v>
      </c>
      <c r="S127" s="222">
        <f t="shared" si="116"/>
        <v>613.84469563517234</v>
      </c>
      <c r="T127" s="223">
        <f t="shared" si="109"/>
        <v>0.25830098578707744</v>
      </c>
      <c r="U127" s="224">
        <f t="shared" si="117"/>
        <v>2089.9159663865548</v>
      </c>
      <c r="V127" s="225">
        <f t="shared" si="133"/>
        <v>292588.23529411765</v>
      </c>
      <c r="W127" s="149">
        <f t="shared" si="110"/>
        <v>0.29371740563162646</v>
      </c>
      <c r="X127" s="570" t="s">
        <v>314</v>
      </c>
      <c r="Y127" s="576" t="s">
        <v>315</v>
      </c>
      <c r="Z127" s="571" t="s">
        <v>316</v>
      </c>
    </row>
    <row r="128" spans="1:26" ht="120" x14ac:dyDescent="0.2">
      <c r="A128" s="38" t="s">
        <v>54</v>
      </c>
      <c r="B128" s="66">
        <f t="shared" si="91"/>
        <v>3</v>
      </c>
      <c r="C128" s="66">
        <v>112</v>
      </c>
      <c r="D128" s="70">
        <v>114</v>
      </c>
      <c r="E128" s="51" t="s">
        <v>317</v>
      </c>
      <c r="F128" s="7" t="s">
        <v>318</v>
      </c>
      <c r="G128" s="15">
        <v>140</v>
      </c>
      <c r="H128" s="14" t="s">
        <v>57</v>
      </c>
      <c r="I128" s="10"/>
      <c r="J128" s="11"/>
      <c r="K128" s="105">
        <f>12605</f>
        <v>12605</v>
      </c>
      <c r="L128" s="121">
        <f t="shared" si="129"/>
        <v>1764700</v>
      </c>
      <c r="M128" s="105">
        <f>+(7900*100)/119</f>
        <v>6638.6554621848736</v>
      </c>
      <c r="N128" s="121">
        <f t="shared" si="130"/>
        <v>929411.76470588229</v>
      </c>
      <c r="O128" s="105">
        <f>+(14000*100)/119</f>
        <v>11764.705882352941</v>
      </c>
      <c r="P128" s="121">
        <f t="shared" si="131"/>
        <v>1647058.8235294116</v>
      </c>
      <c r="Q128" s="165">
        <f t="shared" si="114"/>
        <v>10336.120448179272</v>
      </c>
      <c r="R128" s="166">
        <f t="shared" si="132"/>
        <v>1447056.8627450981</v>
      </c>
      <c r="S128" s="222">
        <f t="shared" si="116"/>
        <v>2636.9122148236147</v>
      </c>
      <c r="T128" s="223">
        <f t="shared" si="109"/>
        <v>0.25511624289247831</v>
      </c>
      <c r="U128" s="224">
        <f t="shared" si="117"/>
        <v>11764.705882352941</v>
      </c>
      <c r="V128" s="225">
        <f t="shared" si="133"/>
        <v>1647058.8235294116</v>
      </c>
      <c r="W128" s="149">
        <f t="shared" si="110"/>
        <v>0.22413753826000726</v>
      </c>
      <c r="X128" s="570" t="s">
        <v>921</v>
      </c>
      <c r="Y128" s="576" t="s">
        <v>319</v>
      </c>
      <c r="Z128" s="571" t="s">
        <v>295</v>
      </c>
    </row>
    <row r="129" spans="1:16383" ht="105" x14ac:dyDescent="0.2">
      <c r="A129" s="38" t="s">
        <v>54</v>
      </c>
      <c r="B129" s="66">
        <f t="shared" si="91"/>
        <v>3</v>
      </c>
      <c r="C129" s="66">
        <v>113</v>
      </c>
      <c r="D129" s="70">
        <v>115</v>
      </c>
      <c r="E129" s="51" t="s">
        <v>320</v>
      </c>
      <c r="F129" s="7" t="s">
        <v>321</v>
      </c>
      <c r="G129" s="15">
        <v>140</v>
      </c>
      <c r="H129" s="14" t="s">
        <v>57</v>
      </c>
      <c r="I129" s="10"/>
      <c r="J129" s="11"/>
      <c r="K129" s="105">
        <f>+(18000*100)/119</f>
        <v>15126.050420168067</v>
      </c>
      <c r="L129" s="121">
        <f t="shared" si="129"/>
        <v>2117647.0588235292</v>
      </c>
      <c r="M129" s="105">
        <f>+(20900*100)/119</f>
        <v>17563.025210084033</v>
      </c>
      <c r="N129" s="121">
        <f t="shared" si="130"/>
        <v>2458823.5294117648</v>
      </c>
      <c r="O129" s="105">
        <f>+(18000*100)/119</f>
        <v>15126.050420168067</v>
      </c>
      <c r="P129" s="121">
        <f t="shared" si="131"/>
        <v>2117647.0588235292</v>
      </c>
      <c r="Q129" s="165">
        <f t="shared" si="114"/>
        <v>15938.375350140055</v>
      </c>
      <c r="R129" s="166">
        <f t="shared" si="132"/>
        <v>2231372.5490196077</v>
      </c>
      <c r="S129" s="222">
        <f t="shared" si="116"/>
        <v>1148.8009330201612</v>
      </c>
      <c r="T129" s="223">
        <f t="shared" si="109"/>
        <v>7.2077668381054061E-2</v>
      </c>
      <c r="U129" s="224">
        <f t="shared" si="117"/>
        <v>15126.050420168067</v>
      </c>
      <c r="V129" s="225">
        <f t="shared" si="133"/>
        <v>2117647.0588235292</v>
      </c>
      <c r="W129" s="149">
        <f t="shared" si="110"/>
        <v>7.5948506127443999E-2</v>
      </c>
      <c r="X129" s="570" t="s">
        <v>277</v>
      </c>
      <c r="Y129" s="576" t="s">
        <v>322</v>
      </c>
      <c r="Z129" s="571" t="s">
        <v>311</v>
      </c>
    </row>
    <row r="130" spans="1:16383" ht="76" thickBot="1" x14ac:dyDescent="0.25">
      <c r="A130" s="38" t="s">
        <v>54</v>
      </c>
      <c r="B130" s="66">
        <f t="shared" si="91"/>
        <v>3</v>
      </c>
      <c r="C130" s="66">
        <v>114</v>
      </c>
      <c r="D130" s="70">
        <v>116</v>
      </c>
      <c r="E130" s="51" t="s">
        <v>323</v>
      </c>
      <c r="F130" s="7" t="s">
        <v>76</v>
      </c>
      <c r="G130" s="15">
        <v>7</v>
      </c>
      <c r="H130" s="12" t="s">
        <v>271</v>
      </c>
      <c r="I130" s="10">
        <v>5</v>
      </c>
      <c r="J130" s="16" t="s">
        <v>67</v>
      </c>
      <c r="K130" s="105">
        <f>+(1180050*100)/119</f>
        <v>991638.65546218492</v>
      </c>
      <c r="L130" s="146">
        <f t="shared" ref="L130" si="134">+K130*G130*I130</f>
        <v>34707352.941176474</v>
      </c>
      <c r="M130" s="105">
        <f>+(2553120*100)/119</f>
        <v>2145478.9915966387</v>
      </c>
      <c r="N130" s="148">
        <f>+M130*I130*G130</f>
        <v>75091764.705882356</v>
      </c>
      <c r="O130" s="105">
        <f>+(2680000*100)/119</f>
        <v>2252100.8403361347</v>
      </c>
      <c r="P130" s="148">
        <f>+O130*I130*G130</f>
        <v>78823529.411764711</v>
      </c>
      <c r="Q130" s="165">
        <f t="shared" si="114"/>
        <v>1796406.1624649863</v>
      </c>
      <c r="R130" s="166">
        <f t="shared" si="126"/>
        <v>62874215.686274529</v>
      </c>
      <c r="S130" s="222">
        <f t="shared" si="116"/>
        <v>570718.90915626951</v>
      </c>
      <c r="T130" s="223">
        <f t="shared" si="109"/>
        <v>0.31770037371344934</v>
      </c>
      <c r="U130" s="224">
        <f t="shared" si="117"/>
        <v>2145478.9915966387</v>
      </c>
      <c r="V130" s="225">
        <f t="shared" si="127"/>
        <v>75091764.705882356</v>
      </c>
      <c r="W130" s="149">
        <f t="shared" si="110"/>
        <v>0.26601001985647393</v>
      </c>
      <c r="X130" s="139" t="s">
        <v>913</v>
      </c>
      <c r="Y130" s="138" t="s">
        <v>72</v>
      </c>
      <c r="Z130" s="138" t="s">
        <v>725</v>
      </c>
    </row>
    <row r="131" spans="1:16383" ht="20" thickBot="1" x14ac:dyDescent="0.25">
      <c r="A131" s="49">
        <v>1</v>
      </c>
      <c r="B131" s="193"/>
      <c r="C131" s="193"/>
      <c r="D131" s="69"/>
      <c r="E131" s="50"/>
      <c r="F131" s="400" t="s">
        <v>890</v>
      </c>
      <c r="G131" s="30"/>
      <c r="H131" s="30"/>
      <c r="I131" s="30"/>
      <c r="J131" s="30"/>
      <c r="K131" s="109"/>
      <c r="L131" s="110"/>
      <c r="M131" s="110"/>
      <c r="N131" s="110"/>
      <c r="O131" s="109"/>
      <c r="P131" s="110"/>
      <c r="Q131" s="194"/>
      <c r="R131" s="194"/>
      <c r="S131" s="195"/>
      <c r="T131" s="196"/>
      <c r="U131" s="194"/>
      <c r="V131" s="197"/>
      <c r="W131" s="196"/>
      <c r="X131" s="593"/>
      <c r="Y131" s="593"/>
      <c r="Z131" s="594"/>
      <c r="AA131" s="199"/>
      <c r="AB131" s="200"/>
      <c r="AC131" s="201"/>
      <c r="AD131" s="202"/>
      <c r="AE131" s="202"/>
      <c r="AF131" s="202"/>
      <c r="AG131" s="202"/>
      <c r="AH131" s="203"/>
      <c r="AI131" s="204"/>
      <c r="AJ131" s="204"/>
      <c r="AK131" s="204"/>
      <c r="AL131" s="205"/>
      <c r="AM131" s="206"/>
      <c r="AN131" s="207"/>
      <c r="AO131" s="207"/>
      <c r="AP131" s="208"/>
      <c r="AQ131" s="209"/>
      <c r="AR131" s="207"/>
      <c r="AS131" s="210"/>
      <c r="AT131" s="209"/>
      <c r="AU131" s="204"/>
      <c r="AV131" s="204"/>
      <c r="AW131" s="204"/>
      <c r="AX131" s="199"/>
      <c r="AY131" s="167"/>
      <c r="AZ131" s="199"/>
      <c r="BA131" s="200"/>
      <c r="BB131" s="201"/>
      <c r="BC131" s="202"/>
      <c r="BD131" s="202"/>
      <c r="BE131" s="202"/>
      <c r="BF131" s="202"/>
      <c r="BG131" s="203"/>
      <c r="BH131" s="204"/>
      <c r="BI131" s="204"/>
      <c r="BJ131" s="204"/>
      <c r="BK131" s="205"/>
      <c r="BL131" s="206"/>
      <c r="BM131" s="207"/>
      <c r="BN131" s="207"/>
      <c r="BO131" s="208"/>
      <c r="BP131" s="209"/>
      <c r="BQ131" s="207"/>
      <c r="BR131" s="210"/>
      <c r="BS131" s="209"/>
      <c r="BT131" s="204"/>
      <c r="BU131" s="204"/>
      <c r="BV131" s="204"/>
      <c r="BW131" s="199"/>
      <c r="BX131" s="167"/>
      <c r="BY131" s="199"/>
      <c r="BZ131" s="200"/>
      <c r="CA131" s="201"/>
      <c r="CB131" s="202"/>
      <c r="CC131" s="202"/>
      <c r="CD131" s="202"/>
      <c r="CE131" s="202"/>
      <c r="CF131" s="203"/>
      <c r="CG131" s="204"/>
      <c r="CH131" s="204"/>
      <c r="CI131" s="204"/>
      <c r="CJ131" s="205"/>
      <c r="CK131" s="206"/>
      <c r="CL131" s="207"/>
      <c r="CM131" s="207"/>
      <c r="CN131" s="208"/>
      <c r="CO131" s="209"/>
      <c r="CP131" s="207"/>
      <c r="CQ131" s="210"/>
      <c r="CR131" s="209"/>
      <c r="CS131" s="204"/>
      <c r="CT131" s="204"/>
      <c r="CU131" s="204"/>
      <c r="CV131" s="199"/>
      <c r="CW131" s="167"/>
      <c r="CX131" s="199"/>
      <c r="CY131" s="200"/>
      <c r="CZ131" s="201"/>
      <c r="DA131" s="202"/>
      <c r="DB131" s="202"/>
      <c r="DC131" s="202"/>
      <c r="DD131" s="202"/>
      <c r="DE131" s="203"/>
      <c r="DF131" s="204"/>
      <c r="DG131" s="204"/>
      <c r="DH131" s="204"/>
      <c r="DI131" s="205"/>
      <c r="DJ131" s="206"/>
      <c r="DK131" s="207"/>
      <c r="DL131" s="207"/>
      <c r="DM131" s="208"/>
      <c r="DN131" s="209"/>
      <c r="DO131" s="207"/>
      <c r="DP131" s="210"/>
      <c r="DQ131" s="209"/>
      <c r="DR131" s="204"/>
      <c r="DS131" s="204"/>
      <c r="DT131" s="204"/>
      <c r="DU131" s="199"/>
      <c r="DV131" s="167"/>
      <c r="DW131" s="199"/>
      <c r="DX131" s="200"/>
      <c r="DY131" s="201"/>
      <c r="DZ131" s="202"/>
      <c r="EA131" s="202"/>
      <c r="EB131" s="202"/>
      <c r="EC131" s="202"/>
      <c r="ED131" s="203"/>
      <c r="EE131" s="204"/>
      <c r="EF131" s="204"/>
      <c r="EG131" s="204"/>
      <c r="EH131" s="205"/>
      <c r="EI131" s="206"/>
      <c r="EJ131" s="207"/>
      <c r="EK131" s="207"/>
      <c r="EL131" s="208"/>
      <c r="EM131" s="209"/>
      <c r="EN131" s="207"/>
      <c r="EO131" s="210"/>
      <c r="EP131" s="209"/>
      <c r="EQ131" s="204"/>
      <c r="ER131" s="204"/>
      <c r="ES131" s="204"/>
      <c r="ET131" s="199"/>
      <c r="EU131" s="167"/>
      <c r="EV131" s="199"/>
      <c r="EW131" s="200"/>
      <c r="EX131" s="201"/>
      <c r="EY131" s="202"/>
      <c r="EZ131" s="202"/>
      <c r="FA131" s="202"/>
      <c r="FB131" s="202"/>
      <c r="FC131" s="203"/>
      <c r="FD131" s="204"/>
      <c r="FE131" s="204"/>
      <c r="FF131" s="204"/>
      <c r="FG131" s="205"/>
      <c r="FH131" s="206"/>
      <c r="FI131" s="207"/>
      <c r="FJ131" s="207"/>
      <c r="FK131" s="208"/>
      <c r="FL131" s="209"/>
      <c r="FM131" s="207"/>
      <c r="FN131" s="210"/>
      <c r="FO131" s="209"/>
      <c r="FP131" s="204"/>
      <c r="FQ131" s="204"/>
      <c r="FR131" s="204"/>
      <c r="FS131" s="199"/>
      <c r="FT131" s="167"/>
      <c r="FU131" s="199"/>
      <c r="FV131" s="200"/>
      <c r="FW131" s="201"/>
      <c r="FX131" s="202"/>
      <c r="FY131" s="202"/>
      <c r="FZ131" s="202"/>
      <c r="GA131" s="202"/>
      <c r="GB131" s="203"/>
      <c r="GC131" s="204"/>
      <c r="GD131" s="204"/>
      <c r="GE131" s="204"/>
      <c r="GF131" s="205"/>
      <c r="GG131" s="206"/>
      <c r="GH131" s="207"/>
      <c r="GI131" s="207"/>
      <c r="GJ131" s="208"/>
      <c r="GK131" s="209"/>
      <c r="GL131" s="207"/>
      <c r="GM131" s="210"/>
      <c r="GN131" s="209"/>
      <c r="GO131" s="204"/>
      <c r="GP131" s="204"/>
      <c r="GQ131" s="204"/>
      <c r="GR131" s="199"/>
      <c r="GS131" s="167"/>
      <c r="GT131" s="199"/>
      <c r="GU131" s="200"/>
      <c r="GV131" s="201"/>
      <c r="GW131" s="202"/>
      <c r="GX131" s="202"/>
      <c r="GY131" s="202"/>
      <c r="GZ131" s="202"/>
      <c r="HA131" s="203"/>
      <c r="HB131" s="204"/>
      <c r="HC131" s="204"/>
      <c r="HD131" s="204"/>
      <c r="HE131" s="205"/>
      <c r="HF131" s="206"/>
      <c r="HG131" s="207"/>
      <c r="HH131" s="207"/>
      <c r="HI131" s="208"/>
      <c r="HJ131" s="209"/>
      <c r="HK131" s="207"/>
      <c r="HL131" s="210"/>
      <c r="HM131" s="209"/>
      <c r="HN131" s="204"/>
      <c r="HO131" s="204"/>
      <c r="HP131" s="204"/>
      <c r="HQ131" s="199"/>
      <c r="HR131" s="167"/>
      <c r="HS131" s="199"/>
      <c r="HT131" s="200"/>
      <c r="HU131" s="201"/>
      <c r="HV131" s="202"/>
      <c r="HW131" s="202"/>
      <c r="HX131" s="202"/>
      <c r="HY131" s="202"/>
      <c r="HZ131" s="203"/>
      <c r="IA131" s="204"/>
      <c r="IB131" s="204"/>
      <c r="IC131" s="204"/>
      <c r="ID131" s="205"/>
      <c r="IE131" s="206"/>
      <c r="IF131" s="207"/>
      <c r="IG131" s="207"/>
      <c r="IH131" s="208"/>
      <c r="II131" s="209"/>
      <c r="IJ131" s="207"/>
      <c r="IK131" s="210"/>
      <c r="IL131" s="209"/>
      <c r="IM131" s="204"/>
      <c r="IN131" s="204"/>
      <c r="IO131" s="204"/>
      <c r="IP131" s="199"/>
      <c r="IQ131" s="167"/>
      <c r="IR131" s="199"/>
      <c r="IS131" s="200"/>
      <c r="IT131" s="201"/>
      <c r="IU131" s="202"/>
      <c r="IV131" s="202"/>
      <c r="IW131" s="202"/>
      <c r="IX131" s="202"/>
      <c r="IY131" s="203"/>
      <c r="IZ131" s="204"/>
      <c r="JA131" s="204"/>
      <c r="JB131" s="204"/>
      <c r="JC131" s="205"/>
      <c r="JD131" s="206"/>
      <c r="JE131" s="207"/>
      <c r="JF131" s="207"/>
      <c r="JG131" s="208"/>
      <c r="JH131" s="209"/>
      <c r="JI131" s="207"/>
      <c r="JJ131" s="210"/>
      <c r="JK131" s="209"/>
      <c r="JL131" s="204"/>
      <c r="JM131" s="204"/>
      <c r="JN131" s="204"/>
      <c r="JO131" s="199"/>
      <c r="JP131" s="167"/>
      <c r="JQ131" s="199"/>
      <c r="JR131" s="200"/>
      <c r="JS131" s="201"/>
      <c r="JT131" s="202"/>
      <c r="JU131" s="202"/>
      <c r="JV131" s="202"/>
      <c r="JW131" s="202"/>
      <c r="JX131" s="203"/>
      <c r="JY131" s="204"/>
      <c r="JZ131" s="204"/>
      <c r="KA131" s="204"/>
      <c r="KB131" s="205"/>
      <c r="KC131" s="206"/>
      <c r="KD131" s="207"/>
      <c r="KE131" s="207"/>
      <c r="KF131" s="208"/>
      <c r="KG131" s="209"/>
      <c r="KH131" s="207"/>
      <c r="KI131" s="210"/>
      <c r="KJ131" s="209"/>
      <c r="KK131" s="204"/>
      <c r="KL131" s="204"/>
      <c r="KM131" s="204"/>
      <c r="KN131" s="199"/>
      <c r="KO131" s="167"/>
      <c r="KP131" s="199"/>
      <c r="KQ131" s="200"/>
      <c r="KR131" s="201"/>
      <c r="KS131" s="202"/>
      <c r="KT131" s="202"/>
      <c r="KU131" s="202"/>
      <c r="KV131" s="202"/>
      <c r="KW131" s="203"/>
      <c r="KX131" s="204"/>
      <c r="KY131" s="204"/>
      <c r="KZ131" s="204"/>
      <c r="LA131" s="205"/>
      <c r="LB131" s="206"/>
      <c r="LC131" s="207"/>
      <c r="LD131" s="207"/>
      <c r="LE131" s="208"/>
      <c r="LF131" s="209"/>
      <c r="LG131" s="207"/>
      <c r="LH131" s="210"/>
      <c r="LI131" s="209"/>
      <c r="LJ131" s="204"/>
      <c r="LK131" s="204"/>
      <c r="LL131" s="204"/>
      <c r="LM131" s="199"/>
      <c r="LN131" s="167"/>
      <c r="LO131" s="199"/>
      <c r="LP131" s="200"/>
      <c r="LQ131" s="201"/>
      <c r="LR131" s="202"/>
      <c r="LS131" s="202"/>
      <c r="LT131" s="202"/>
      <c r="LU131" s="202"/>
      <c r="LV131" s="203"/>
      <c r="LW131" s="204"/>
      <c r="LX131" s="204"/>
      <c r="LY131" s="204"/>
      <c r="LZ131" s="205"/>
      <c r="MA131" s="206"/>
      <c r="MB131" s="207"/>
      <c r="MC131" s="207"/>
      <c r="MD131" s="208"/>
      <c r="ME131" s="209"/>
      <c r="MF131" s="207"/>
      <c r="MG131" s="210"/>
      <c r="MH131" s="209"/>
      <c r="MI131" s="204"/>
      <c r="MJ131" s="204"/>
      <c r="MK131" s="204"/>
      <c r="ML131" s="199"/>
      <c r="MM131" s="167"/>
      <c r="MN131" s="199"/>
      <c r="MO131" s="200"/>
      <c r="MP131" s="201"/>
      <c r="MQ131" s="202"/>
      <c r="MR131" s="202"/>
      <c r="MS131" s="202"/>
      <c r="MT131" s="202"/>
      <c r="MU131" s="203"/>
      <c r="MV131" s="204"/>
      <c r="MW131" s="204"/>
      <c r="MX131" s="204"/>
      <c r="MY131" s="205"/>
      <c r="MZ131" s="206"/>
      <c r="NA131" s="207"/>
      <c r="NB131" s="207"/>
      <c r="NC131" s="208"/>
      <c r="ND131" s="209"/>
      <c r="NE131" s="207"/>
      <c r="NF131" s="210"/>
      <c r="NG131" s="209"/>
      <c r="NH131" s="204"/>
      <c r="NI131" s="204"/>
      <c r="NJ131" s="204"/>
      <c r="NK131" s="199"/>
      <c r="NL131" s="167"/>
      <c r="NM131" s="199"/>
      <c r="NN131" s="200"/>
      <c r="NO131" s="201"/>
      <c r="NP131" s="202"/>
      <c r="NQ131" s="202"/>
      <c r="NR131" s="202"/>
      <c r="NS131" s="202"/>
      <c r="NT131" s="203"/>
      <c r="NU131" s="204"/>
      <c r="NV131" s="204"/>
      <c r="NW131" s="204"/>
      <c r="NX131" s="205"/>
      <c r="NY131" s="206"/>
      <c r="NZ131" s="207"/>
      <c r="OA131" s="207"/>
      <c r="OB131" s="208"/>
      <c r="OC131" s="209"/>
      <c r="OD131" s="207"/>
      <c r="OE131" s="210"/>
      <c r="OF131" s="209"/>
      <c r="OG131" s="204"/>
      <c r="OH131" s="204"/>
      <c r="OI131" s="204"/>
      <c r="OJ131" s="199"/>
      <c r="OK131" s="167"/>
      <c r="OL131" s="199"/>
      <c r="OM131" s="200"/>
      <c r="ON131" s="201"/>
      <c r="OO131" s="202"/>
      <c r="OP131" s="202"/>
      <c r="OQ131" s="202"/>
      <c r="OR131" s="202"/>
      <c r="OS131" s="203"/>
      <c r="OT131" s="204"/>
      <c r="OU131" s="204"/>
      <c r="OV131" s="204"/>
      <c r="OW131" s="205"/>
      <c r="OX131" s="206"/>
      <c r="OY131" s="207"/>
      <c r="OZ131" s="207"/>
      <c r="PA131" s="208"/>
      <c r="PB131" s="209"/>
      <c r="PC131" s="207"/>
      <c r="PD131" s="210"/>
      <c r="PE131" s="209"/>
      <c r="PF131" s="204"/>
      <c r="PG131" s="204"/>
      <c r="PH131" s="204"/>
      <c r="PI131" s="199"/>
      <c r="PJ131" s="167"/>
      <c r="PK131" s="199"/>
      <c r="PL131" s="200"/>
      <c r="PM131" s="201"/>
      <c r="PN131" s="202"/>
      <c r="PO131" s="202"/>
      <c r="PP131" s="202"/>
      <c r="PQ131" s="202"/>
      <c r="PR131" s="203"/>
      <c r="PS131" s="204"/>
      <c r="PT131" s="204"/>
      <c r="PU131" s="204"/>
      <c r="PV131" s="205"/>
      <c r="PW131" s="206"/>
      <c r="PX131" s="207"/>
      <c r="PY131" s="207"/>
      <c r="PZ131" s="208"/>
      <c r="QA131" s="209"/>
      <c r="QB131" s="207"/>
      <c r="QC131" s="210"/>
      <c r="QD131" s="209"/>
      <c r="QE131" s="204"/>
      <c r="QF131" s="204"/>
      <c r="QG131" s="204"/>
      <c r="QH131" s="199"/>
      <c r="QI131" s="167"/>
      <c r="QJ131" s="199"/>
      <c r="QK131" s="200"/>
      <c r="QL131" s="201"/>
      <c r="QM131" s="202"/>
      <c r="QN131" s="202"/>
      <c r="QO131" s="202"/>
      <c r="QP131" s="202"/>
      <c r="QQ131" s="203"/>
      <c r="QR131" s="204"/>
      <c r="QS131" s="204"/>
      <c r="QT131" s="204"/>
      <c r="QU131" s="205"/>
      <c r="QV131" s="206"/>
      <c r="QW131" s="207"/>
      <c r="QX131" s="207"/>
      <c r="QY131" s="208"/>
      <c r="QZ131" s="209"/>
      <c r="RA131" s="207"/>
      <c r="RB131" s="210"/>
      <c r="RC131" s="209"/>
      <c r="RD131" s="204"/>
      <c r="RE131" s="204"/>
      <c r="RF131" s="204"/>
      <c r="RG131" s="199"/>
      <c r="RH131" s="167"/>
      <c r="RI131" s="199"/>
      <c r="RJ131" s="200"/>
      <c r="RK131" s="201"/>
      <c r="RL131" s="202"/>
      <c r="RM131" s="202"/>
      <c r="RN131" s="202"/>
      <c r="RO131" s="202"/>
      <c r="RP131" s="203"/>
      <c r="RQ131" s="204"/>
      <c r="RR131" s="204"/>
      <c r="RS131" s="204"/>
      <c r="RT131" s="205"/>
      <c r="RU131" s="206"/>
      <c r="RV131" s="207"/>
      <c r="RW131" s="207"/>
      <c r="RX131" s="208"/>
      <c r="RY131" s="209"/>
      <c r="RZ131" s="207"/>
      <c r="SA131" s="210"/>
      <c r="SB131" s="209"/>
      <c r="SC131" s="204"/>
      <c r="SD131" s="204"/>
      <c r="SE131" s="204"/>
      <c r="SF131" s="199"/>
      <c r="SG131" s="167"/>
      <c r="SH131" s="199"/>
      <c r="SI131" s="200"/>
      <c r="SJ131" s="201"/>
      <c r="SK131" s="202"/>
      <c r="SL131" s="202"/>
      <c r="SM131" s="202"/>
      <c r="SN131" s="202"/>
      <c r="SO131" s="203"/>
      <c r="SP131" s="204"/>
      <c r="SQ131" s="204"/>
      <c r="SR131" s="204"/>
      <c r="SS131" s="205"/>
      <c r="ST131" s="206"/>
      <c r="SU131" s="207"/>
      <c r="SV131" s="207"/>
      <c r="SW131" s="208"/>
      <c r="SX131" s="209"/>
      <c r="SY131" s="207"/>
      <c r="SZ131" s="210"/>
      <c r="TA131" s="209"/>
      <c r="TB131" s="204"/>
      <c r="TC131" s="204"/>
      <c r="TD131" s="204"/>
      <c r="TE131" s="199"/>
      <c r="TF131" s="167"/>
      <c r="TG131" s="199"/>
      <c r="TH131" s="200"/>
      <c r="TI131" s="201"/>
      <c r="TJ131" s="202"/>
      <c r="TK131" s="202"/>
      <c r="TL131" s="202"/>
      <c r="TM131" s="202"/>
      <c r="TN131" s="203"/>
      <c r="TO131" s="204"/>
      <c r="TP131" s="204"/>
      <c r="TQ131" s="204"/>
      <c r="TR131" s="205"/>
      <c r="TS131" s="206"/>
      <c r="TT131" s="207"/>
      <c r="TU131" s="207"/>
      <c r="TV131" s="208"/>
      <c r="TW131" s="209"/>
      <c r="TX131" s="207"/>
      <c r="TY131" s="210"/>
      <c r="TZ131" s="209"/>
      <c r="UA131" s="204"/>
      <c r="UB131" s="204"/>
      <c r="UC131" s="204"/>
      <c r="UD131" s="199"/>
      <c r="UE131" s="167"/>
      <c r="UF131" s="199"/>
      <c r="UG131" s="200"/>
      <c r="UH131" s="201"/>
      <c r="UI131" s="202"/>
      <c r="UJ131" s="202"/>
      <c r="UK131" s="202"/>
      <c r="UL131" s="202"/>
      <c r="UM131" s="203"/>
      <c r="UN131" s="204"/>
      <c r="UO131" s="204"/>
      <c r="UP131" s="204"/>
      <c r="UQ131" s="205"/>
      <c r="UR131" s="206"/>
      <c r="US131" s="207"/>
      <c r="UT131" s="207"/>
      <c r="UU131" s="208"/>
      <c r="UV131" s="209"/>
      <c r="UW131" s="207"/>
      <c r="UX131" s="210"/>
      <c r="UY131" s="209"/>
      <c r="UZ131" s="204"/>
      <c r="VA131" s="204"/>
      <c r="VB131" s="204"/>
      <c r="VC131" s="199"/>
      <c r="VD131" s="167"/>
      <c r="VE131" s="199"/>
      <c r="VF131" s="200"/>
      <c r="VG131" s="201"/>
      <c r="VH131" s="202"/>
      <c r="VI131" s="202"/>
      <c r="VJ131" s="202"/>
      <c r="VK131" s="202"/>
      <c r="VL131" s="203"/>
      <c r="VM131" s="204"/>
      <c r="VN131" s="204"/>
      <c r="VO131" s="204"/>
      <c r="VP131" s="205"/>
      <c r="VQ131" s="206"/>
      <c r="VR131" s="207"/>
      <c r="VS131" s="207"/>
      <c r="VT131" s="208"/>
      <c r="VU131" s="209"/>
      <c r="VV131" s="207"/>
      <c r="VW131" s="210"/>
      <c r="VX131" s="209"/>
      <c r="VY131" s="204"/>
      <c r="VZ131" s="204"/>
      <c r="WA131" s="204"/>
      <c r="WB131" s="199"/>
      <c r="WC131" s="167"/>
      <c r="WD131" s="199"/>
      <c r="WE131" s="200"/>
      <c r="WF131" s="201"/>
      <c r="WG131" s="202"/>
      <c r="WH131" s="202"/>
      <c r="WI131" s="202"/>
      <c r="WJ131" s="202"/>
      <c r="WK131" s="203"/>
      <c r="WL131" s="204"/>
      <c r="WM131" s="204"/>
      <c r="WN131" s="204"/>
      <c r="WO131" s="205"/>
      <c r="WP131" s="206"/>
      <c r="WQ131" s="207"/>
      <c r="WR131" s="207"/>
      <c r="WS131" s="208"/>
      <c r="WT131" s="209"/>
      <c r="WU131" s="207"/>
      <c r="WV131" s="210"/>
      <c r="WW131" s="209"/>
      <c r="WX131" s="204"/>
      <c r="WY131" s="204"/>
      <c r="WZ131" s="204"/>
      <c r="XA131" s="199"/>
      <c r="XB131" s="167"/>
      <c r="XC131" s="199"/>
      <c r="XD131" s="200"/>
      <c r="XE131" s="201"/>
      <c r="XF131" s="202"/>
      <c r="XG131" s="202"/>
      <c r="XH131" s="202"/>
      <c r="XI131" s="202"/>
      <c r="XJ131" s="203"/>
      <c r="XK131" s="204"/>
      <c r="XL131" s="204"/>
      <c r="XM131" s="204"/>
      <c r="XN131" s="205"/>
      <c r="XO131" s="206"/>
      <c r="XP131" s="207"/>
      <c r="XQ131" s="207"/>
      <c r="XR131" s="208"/>
      <c r="XS131" s="209"/>
      <c r="XT131" s="207"/>
      <c r="XU131" s="210"/>
      <c r="XV131" s="209"/>
      <c r="XW131" s="204"/>
      <c r="XX131" s="204"/>
      <c r="XY131" s="204"/>
      <c r="XZ131" s="199"/>
      <c r="YA131" s="167"/>
      <c r="YB131" s="199"/>
      <c r="YC131" s="200"/>
      <c r="YD131" s="201"/>
      <c r="YE131" s="202"/>
      <c r="YF131" s="202"/>
      <c r="YG131" s="202"/>
      <c r="YH131" s="202"/>
      <c r="YI131" s="203"/>
      <c r="YJ131" s="204"/>
      <c r="YK131" s="204"/>
      <c r="YL131" s="204"/>
      <c r="YM131" s="205"/>
      <c r="YN131" s="206"/>
      <c r="YO131" s="207"/>
      <c r="YP131" s="207"/>
      <c r="YQ131" s="208"/>
      <c r="YR131" s="209"/>
      <c r="YS131" s="207"/>
      <c r="YT131" s="210"/>
      <c r="YU131" s="209"/>
      <c r="YV131" s="204"/>
      <c r="YW131" s="204"/>
      <c r="YX131" s="204"/>
      <c r="YY131" s="199"/>
      <c r="YZ131" s="167"/>
      <c r="ZA131" s="199"/>
      <c r="ZB131" s="200"/>
      <c r="ZC131" s="201"/>
      <c r="ZD131" s="202"/>
      <c r="ZE131" s="202"/>
      <c r="ZF131" s="202"/>
      <c r="ZG131" s="202"/>
      <c r="ZH131" s="203"/>
      <c r="ZI131" s="204"/>
      <c r="ZJ131" s="204"/>
      <c r="ZK131" s="204"/>
      <c r="ZL131" s="205"/>
      <c r="ZM131" s="206"/>
      <c r="ZN131" s="207"/>
      <c r="ZO131" s="207"/>
      <c r="ZP131" s="208"/>
      <c r="ZQ131" s="209"/>
      <c r="ZR131" s="207"/>
      <c r="ZS131" s="210"/>
      <c r="ZT131" s="209"/>
      <c r="ZU131" s="204"/>
      <c r="ZV131" s="204"/>
      <c r="ZW131" s="204"/>
      <c r="ZX131" s="199"/>
      <c r="ZY131" s="167"/>
      <c r="ZZ131" s="199"/>
      <c r="AAA131" s="200"/>
      <c r="AAB131" s="201"/>
      <c r="AAC131" s="202"/>
      <c r="AAD131" s="202"/>
      <c r="AAE131" s="202"/>
      <c r="AAF131" s="202"/>
      <c r="AAG131" s="203"/>
      <c r="AAH131" s="204"/>
      <c r="AAI131" s="204"/>
      <c r="AAJ131" s="204"/>
      <c r="AAK131" s="205"/>
      <c r="AAL131" s="206"/>
      <c r="AAM131" s="207"/>
      <c r="AAN131" s="207"/>
      <c r="AAO131" s="208"/>
      <c r="AAP131" s="209"/>
      <c r="AAQ131" s="207"/>
      <c r="AAR131" s="210"/>
      <c r="AAS131" s="209"/>
      <c r="AAT131" s="204"/>
      <c r="AAU131" s="204"/>
      <c r="AAV131" s="204"/>
      <c r="AAW131" s="199"/>
      <c r="AAX131" s="167"/>
      <c r="AAY131" s="199"/>
      <c r="AAZ131" s="200"/>
      <c r="ABA131" s="201"/>
      <c r="ABB131" s="202"/>
      <c r="ABC131" s="202"/>
      <c r="ABD131" s="202"/>
      <c r="ABE131" s="202"/>
      <c r="ABF131" s="203"/>
      <c r="ABG131" s="204"/>
      <c r="ABH131" s="204"/>
      <c r="ABI131" s="204"/>
      <c r="ABJ131" s="205"/>
      <c r="ABK131" s="206"/>
      <c r="ABL131" s="207"/>
      <c r="ABM131" s="207"/>
      <c r="ABN131" s="208"/>
      <c r="ABO131" s="209"/>
      <c r="ABP131" s="207"/>
      <c r="ABQ131" s="210"/>
      <c r="ABR131" s="209"/>
      <c r="ABS131" s="204"/>
      <c r="ABT131" s="204"/>
      <c r="ABU131" s="204"/>
      <c r="ABV131" s="199"/>
      <c r="ABW131" s="167"/>
      <c r="ABX131" s="199"/>
      <c r="ABY131" s="200"/>
      <c r="ABZ131" s="201"/>
      <c r="ACA131" s="202"/>
      <c r="ACB131" s="202"/>
      <c r="ACC131" s="202"/>
      <c r="ACD131" s="202"/>
      <c r="ACE131" s="203"/>
      <c r="ACF131" s="204"/>
      <c r="ACG131" s="204"/>
      <c r="ACH131" s="204"/>
      <c r="ACI131" s="205"/>
      <c r="ACJ131" s="206"/>
      <c r="ACK131" s="207"/>
      <c r="ACL131" s="207"/>
      <c r="ACM131" s="208"/>
      <c r="ACN131" s="209"/>
      <c r="ACO131" s="207"/>
      <c r="ACP131" s="210"/>
      <c r="ACQ131" s="209"/>
      <c r="ACR131" s="204"/>
      <c r="ACS131" s="204"/>
      <c r="ACT131" s="204"/>
      <c r="ACU131" s="199"/>
      <c r="ACV131" s="167"/>
      <c r="ACW131" s="199"/>
      <c r="ACX131" s="200"/>
      <c r="ACY131" s="201"/>
      <c r="ACZ131" s="202"/>
      <c r="ADA131" s="202"/>
      <c r="ADB131" s="202"/>
      <c r="ADC131" s="202"/>
      <c r="ADD131" s="203"/>
      <c r="ADE131" s="204"/>
      <c r="ADF131" s="204"/>
      <c r="ADG131" s="204"/>
      <c r="ADH131" s="205"/>
      <c r="ADI131" s="206"/>
      <c r="ADJ131" s="207"/>
      <c r="ADK131" s="207"/>
      <c r="ADL131" s="208"/>
      <c r="ADM131" s="209"/>
      <c r="ADN131" s="207"/>
      <c r="ADO131" s="210"/>
      <c r="ADP131" s="209"/>
      <c r="ADQ131" s="204"/>
      <c r="ADR131" s="204"/>
      <c r="ADS131" s="204"/>
      <c r="ADT131" s="199"/>
      <c r="ADU131" s="167"/>
      <c r="ADV131" s="199"/>
      <c r="ADW131" s="200"/>
      <c r="ADX131" s="201"/>
      <c r="ADY131" s="202"/>
      <c r="ADZ131" s="202"/>
      <c r="AEA131" s="202"/>
      <c r="AEB131" s="202"/>
      <c r="AEC131" s="203"/>
      <c r="AED131" s="204"/>
      <c r="AEE131" s="204"/>
      <c r="AEF131" s="204"/>
      <c r="AEG131" s="205"/>
      <c r="AEH131" s="206"/>
      <c r="AEI131" s="207"/>
      <c r="AEJ131" s="207"/>
      <c r="AEK131" s="208"/>
      <c r="AEL131" s="209"/>
      <c r="AEM131" s="207"/>
      <c r="AEN131" s="210"/>
      <c r="AEO131" s="209"/>
      <c r="AEP131" s="204"/>
      <c r="AEQ131" s="204"/>
      <c r="AER131" s="204"/>
      <c r="AES131" s="199"/>
      <c r="AET131" s="167"/>
      <c r="AEU131" s="199"/>
      <c r="AEV131" s="200"/>
      <c r="AEW131" s="201"/>
      <c r="AEX131" s="202"/>
      <c r="AEY131" s="202"/>
      <c r="AEZ131" s="202"/>
      <c r="AFA131" s="202"/>
      <c r="AFB131" s="203"/>
      <c r="AFC131" s="204"/>
      <c r="AFD131" s="204"/>
      <c r="AFE131" s="204"/>
      <c r="AFF131" s="205"/>
      <c r="AFG131" s="206"/>
      <c r="AFH131" s="207"/>
      <c r="AFI131" s="207"/>
      <c r="AFJ131" s="208"/>
      <c r="AFK131" s="209"/>
      <c r="AFL131" s="207"/>
      <c r="AFM131" s="210"/>
      <c r="AFN131" s="209"/>
      <c r="AFO131" s="204"/>
      <c r="AFP131" s="204"/>
      <c r="AFQ131" s="204"/>
      <c r="AFR131" s="199"/>
      <c r="AFS131" s="167"/>
      <c r="AFT131" s="199"/>
      <c r="AFU131" s="200"/>
      <c r="AFV131" s="201"/>
      <c r="AFW131" s="202"/>
      <c r="AFX131" s="202"/>
      <c r="AFY131" s="202"/>
      <c r="AFZ131" s="202"/>
      <c r="AGA131" s="203"/>
      <c r="AGB131" s="204"/>
      <c r="AGC131" s="204"/>
      <c r="AGD131" s="204"/>
      <c r="AGE131" s="205"/>
      <c r="AGF131" s="206"/>
      <c r="AGG131" s="207"/>
      <c r="AGH131" s="207"/>
      <c r="AGI131" s="208"/>
      <c r="AGJ131" s="209"/>
      <c r="AGK131" s="207"/>
      <c r="AGL131" s="210"/>
      <c r="AGM131" s="209"/>
      <c r="AGN131" s="204"/>
      <c r="AGO131" s="204"/>
      <c r="AGP131" s="204"/>
      <c r="AGQ131" s="199"/>
      <c r="AGR131" s="167"/>
      <c r="AGS131" s="199"/>
      <c r="AGT131" s="200"/>
      <c r="AGU131" s="201"/>
      <c r="AGV131" s="202"/>
      <c r="AGW131" s="202"/>
      <c r="AGX131" s="202"/>
      <c r="AGY131" s="202"/>
      <c r="AGZ131" s="203"/>
      <c r="AHA131" s="204"/>
      <c r="AHB131" s="204"/>
      <c r="AHC131" s="204"/>
      <c r="AHD131" s="205"/>
      <c r="AHE131" s="206"/>
      <c r="AHF131" s="207"/>
      <c r="AHG131" s="207"/>
      <c r="AHH131" s="208"/>
      <c r="AHI131" s="209"/>
      <c r="AHJ131" s="207"/>
      <c r="AHK131" s="210"/>
      <c r="AHL131" s="209"/>
      <c r="AHM131" s="204"/>
      <c r="AHN131" s="204"/>
      <c r="AHO131" s="204"/>
      <c r="AHP131" s="199"/>
      <c r="AHQ131" s="167"/>
      <c r="AHR131" s="199"/>
      <c r="AHS131" s="200"/>
      <c r="AHT131" s="201"/>
      <c r="AHU131" s="202"/>
      <c r="AHV131" s="202"/>
      <c r="AHW131" s="202"/>
      <c r="AHX131" s="202"/>
      <c r="AHY131" s="203"/>
      <c r="AHZ131" s="204"/>
      <c r="AIA131" s="204"/>
      <c r="AIB131" s="204"/>
      <c r="AIC131" s="205"/>
      <c r="AID131" s="206"/>
      <c r="AIE131" s="207"/>
      <c r="AIF131" s="207"/>
      <c r="AIG131" s="208"/>
      <c r="AIH131" s="209"/>
      <c r="AII131" s="207"/>
      <c r="AIJ131" s="210"/>
      <c r="AIK131" s="209"/>
      <c r="AIL131" s="204"/>
      <c r="AIM131" s="204"/>
      <c r="AIN131" s="204"/>
      <c r="AIO131" s="199"/>
      <c r="AIP131" s="167"/>
      <c r="AIQ131" s="199"/>
      <c r="AIR131" s="200"/>
      <c r="AIS131" s="201"/>
      <c r="AIT131" s="202"/>
      <c r="AIU131" s="202"/>
      <c r="AIV131" s="202"/>
      <c r="AIW131" s="202"/>
      <c r="AIX131" s="203"/>
      <c r="AIY131" s="204"/>
      <c r="AIZ131" s="204"/>
      <c r="AJA131" s="204"/>
      <c r="AJB131" s="205"/>
      <c r="AJC131" s="206"/>
      <c r="AJD131" s="207"/>
      <c r="AJE131" s="207"/>
      <c r="AJF131" s="208"/>
      <c r="AJG131" s="209"/>
      <c r="AJH131" s="207"/>
      <c r="AJI131" s="210"/>
      <c r="AJJ131" s="209"/>
      <c r="AJK131" s="204"/>
      <c r="AJL131" s="204"/>
      <c r="AJM131" s="204"/>
      <c r="AJN131" s="199"/>
      <c r="AJO131" s="167"/>
      <c r="AJP131" s="199"/>
      <c r="AJQ131" s="200"/>
      <c r="AJR131" s="201"/>
      <c r="AJS131" s="202"/>
      <c r="AJT131" s="202"/>
      <c r="AJU131" s="202"/>
      <c r="AJV131" s="202"/>
      <c r="AJW131" s="203"/>
      <c r="AJX131" s="204"/>
      <c r="AJY131" s="204"/>
      <c r="AJZ131" s="204"/>
      <c r="AKA131" s="205"/>
      <c r="AKB131" s="206"/>
      <c r="AKC131" s="207"/>
      <c r="AKD131" s="207"/>
      <c r="AKE131" s="208"/>
      <c r="AKF131" s="209"/>
      <c r="AKG131" s="207"/>
      <c r="AKH131" s="210"/>
      <c r="AKI131" s="209"/>
      <c r="AKJ131" s="204"/>
      <c r="AKK131" s="204"/>
      <c r="AKL131" s="204"/>
      <c r="AKM131" s="199"/>
      <c r="AKN131" s="167"/>
      <c r="AKO131" s="199"/>
      <c r="AKP131" s="200"/>
      <c r="AKQ131" s="201"/>
      <c r="AKR131" s="202"/>
      <c r="AKS131" s="202"/>
      <c r="AKT131" s="202"/>
      <c r="AKU131" s="202"/>
      <c r="AKV131" s="203"/>
      <c r="AKW131" s="204"/>
      <c r="AKX131" s="204"/>
      <c r="AKY131" s="204"/>
      <c r="AKZ131" s="205"/>
      <c r="ALA131" s="206"/>
      <c r="ALB131" s="207"/>
      <c r="ALC131" s="207"/>
      <c r="ALD131" s="208"/>
      <c r="ALE131" s="209"/>
      <c r="ALF131" s="207"/>
      <c r="ALG131" s="210"/>
      <c r="ALH131" s="209"/>
      <c r="ALI131" s="204"/>
      <c r="ALJ131" s="204"/>
      <c r="ALK131" s="204"/>
      <c r="ALL131" s="199"/>
      <c r="ALM131" s="167"/>
      <c r="ALN131" s="199"/>
      <c r="ALO131" s="200"/>
      <c r="ALP131" s="201"/>
      <c r="ALQ131" s="202"/>
      <c r="ALR131" s="202"/>
      <c r="ALS131" s="202"/>
      <c r="ALT131" s="202"/>
      <c r="ALU131" s="203"/>
      <c r="ALV131" s="204"/>
      <c r="ALW131" s="204"/>
      <c r="ALX131" s="204"/>
      <c r="ALY131" s="205"/>
      <c r="ALZ131" s="206"/>
      <c r="AMA131" s="207"/>
      <c r="AMB131" s="207"/>
      <c r="AMC131" s="208"/>
      <c r="AMD131" s="209"/>
      <c r="AME131" s="207"/>
      <c r="AMF131" s="210"/>
      <c r="AMG131" s="209"/>
      <c r="AMH131" s="204"/>
      <c r="AMI131" s="204"/>
      <c r="AMJ131" s="204"/>
      <c r="AMK131" s="199"/>
      <c r="AML131" s="167"/>
      <c r="AMM131" s="199"/>
      <c r="AMN131" s="200"/>
      <c r="AMO131" s="201"/>
      <c r="AMP131" s="202"/>
      <c r="AMQ131" s="202"/>
      <c r="AMR131" s="202"/>
      <c r="AMS131" s="202"/>
      <c r="AMT131" s="203"/>
      <c r="AMU131" s="204"/>
      <c r="AMV131" s="204"/>
      <c r="AMW131" s="204"/>
      <c r="AMX131" s="205"/>
      <c r="AMY131" s="206"/>
      <c r="AMZ131" s="207"/>
      <c r="ANA131" s="207"/>
      <c r="ANB131" s="208"/>
      <c r="ANC131" s="209"/>
      <c r="AND131" s="207"/>
      <c r="ANE131" s="210"/>
      <c r="ANF131" s="209"/>
      <c r="ANG131" s="204"/>
      <c r="ANH131" s="204"/>
      <c r="ANI131" s="204"/>
      <c r="ANJ131" s="199"/>
      <c r="ANK131" s="167"/>
      <c r="ANL131" s="199"/>
      <c r="ANM131" s="200"/>
      <c r="ANN131" s="201"/>
      <c r="ANO131" s="202"/>
      <c r="ANP131" s="202"/>
      <c r="ANQ131" s="202"/>
      <c r="ANR131" s="202"/>
      <c r="ANS131" s="203"/>
      <c r="ANT131" s="204"/>
      <c r="ANU131" s="204"/>
      <c r="ANV131" s="204"/>
      <c r="ANW131" s="205"/>
      <c r="ANX131" s="206"/>
      <c r="ANY131" s="207"/>
      <c r="ANZ131" s="207"/>
      <c r="AOA131" s="208"/>
      <c r="AOB131" s="209"/>
      <c r="AOC131" s="207"/>
      <c r="AOD131" s="210"/>
      <c r="AOE131" s="209"/>
      <c r="AOF131" s="204"/>
      <c r="AOG131" s="204"/>
      <c r="AOH131" s="204"/>
      <c r="AOI131" s="199"/>
      <c r="AOJ131" s="167"/>
      <c r="AOK131" s="199"/>
      <c r="AOL131" s="200"/>
      <c r="AOM131" s="201"/>
      <c r="AON131" s="202"/>
      <c r="AOO131" s="202"/>
      <c r="AOP131" s="202"/>
      <c r="AOQ131" s="202"/>
      <c r="AOR131" s="203"/>
      <c r="AOS131" s="204"/>
      <c r="AOT131" s="204"/>
      <c r="AOU131" s="204"/>
      <c r="AOV131" s="205"/>
      <c r="AOW131" s="206"/>
      <c r="AOX131" s="207"/>
      <c r="AOY131" s="207"/>
      <c r="AOZ131" s="208"/>
      <c r="APA131" s="209"/>
      <c r="APB131" s="207"/>
      <c r="APC131" s="210"/>
      <c r="APD131" s="209"/>
      <c r="APE131" s="204"/>
      <c r="APF131" s="204"/>
      <c r="APG131" s="204"/>
      <c r="APH131" s="199"/>
      <c r="API131" s="167"/>
      <c r="APJ131" s="199"/>
      <c r="APK131" s="200"/>
      <c r="APL131" s="201"/>
      <c r="APM131" s="202"/>
      <c r="APN131" s="202"/>
      <c r="APO131" s="202"/>
      <c r="APP131" s="202"/>
      <c r="APQ131" s="203"/>
      <c r="APR131" s="204"/>
      <c r="APS131" s="204"/>
      <c r="APT131" s="204"/>
      <c r="APU131" s="205"/>
      <c r="APV131" s="206"/>
      <c r="APW131" s="207"/>
      <c r="APX131" s="207"/>
      <c r="APY131" s="208"/>
      <c r="APZ131" s="209"/>
      <c r="AQA131" s="207"/>
      <c r="AQB131" s="210"/>
      <c r="AQC131" s="209"/>
      <c r="AQD131" s="204"/>
      <c r="AQE131" s="204"/>
      <c r="AQF131" s="204"/>
      <c r="AQG131" s="199"/>
      <c r="AQH131" s="167"/>
      <c r="AQI131" s="199"/>
      <c r="AQJ131" s="200"/>
      <c r="AQK131" s="201"/>
      <c r="AQL131" s="202"/>
      <c r="AQM131" s="202"/>
      <c r="AQN131" s="202"/>
      <c r="AQO131" s="202"/>
      <c r="AQP131" s="203"/>
      <c r="AQQ131" s="204"/>
      <c r="AQR131" s="204"/>
      <c r="AQS131" s="204"/>
      <c r="AQT131" s="205"/>
      <c r="AQU131" s="206"/>
      <c r="AQV131" s="207"/>
      <c r="AQW131" s="207"/>
      <c r="AQX131" s="208"/>
      <c r="AQY131" s="209"/>
      <c r="AQZ131" s="207"/>
      <c r="ARA131" s="210"/>
      <c r="ARB131" s="209"/>
      <c r="ARC131" s="204"/>
      <c r="ARD131" s="204"/>
      <c r="ARE131" s="204"/>
      <c r="ARF131" s="199"/>
      <c r="ARG131" s="167"/>
      <c r="ARH131" s="199"/>
      <c r="ARI131" s="200"/>
      <c r="ARJ131" s="201"/>
      <c r="ARK131" s="202"/>
      <c r="ARL131" s="202"/>
      <c r="ARM131" s="202"/>
      <c r="ARN131" s="202"/>
      <c r="ARO131" s="203"/>
      <c r="ARP131" s="204"/>
      <c r="ARQ131" s="204"/>
      <c r="ARR131" s="204"/>
      <c r="ARS131" s="205"/>
      <c r="ART131" s="206"/>
      <c r="ARU131" s="207"/>
      <c r="ARV131" s="207"/>
      <c r="ARW131" s="208"/>
      <c r="ARX131" s="209"/>
      <c r="ARY131" s="207"/>
      <c r="ARZ131" s="210"/>
      <c r="ASA131" s="209"/>
      <c r="ASB131" s="204"/>
      <c r="ASC131" s="204"/>
      <c r="ASD131" s="204"/>
      <c r="ASE131" s="199"/>
      <c r="ASF131" s="167"/>
      <c r="ASG131" s="199"/>
      <c r="ASH131" s="200"/>
      <c r="ASI131" s="201"/>
      <c r="ASJ131" s="202"/>
      <c r="ASK131" s="202"/>
      <c r="ASL131" s="202"/>
      <c r="ASM131" s="202"/>
      <c r="ASN131" s="203"/>
      <c r="ASO131" s="204"/>
      <c r="ASP131" s="204"/>
      <c r="ASQ131" s="204"/>
      <c r="ASR131" s="205"/>
      <c r="ASS131" s="206"/>
      <c r="AST131" s="207"/>
      <c r="ASU131" s="207"/>
      <c r="ASV131" s="208"/>
      <c r="ASW131" s="209"/>
      <c r="ASX131" s="207"/>
      <c r="ASY131" s="210"/>
      <c r="ASZ131" s="209"/>
      <c r="ATA131" s="204"/>
      <c r="ATB131" s="204"/>
      <c r="ATC131" s="204"/>
      <c r="ATD131" s="199"/>
      <c r="ATE131" s="167"/>
      <c r="ATF131" s="199"/>
      <c r="ATG131" s="200"/>
      <c r="ATH131" s="201"/>
      <c r="ATI131" s="202"/>
      <c r="ATJ131" s="202"/>
      <c r="ATK131" s="202"/>
      <c r="ATL131" s="202"/>
      <c r="ATM131" s="203"/>
      <c r="ATN131" s="204"/>
      <c r="ATO131" s="204"/>
      <c r="ATP131" s="204"/>
      <c r="ATQ131" s="205"/>
      <c r="ATR131" s="206"/>
      <c r="ATS131" s="207"/>
      <c r="ATT131" s="207"/>
      <c r="ATU131" s="208"/>
      <c r="ATV131" s="209"/>
      <c r="ATW131" s="207"/>
      <c r="ATX131" s="210"/>
      <c r="ATY131" s="209"/>
      <c r="ATZ131" s="204"/>
      <c r="AUA131" s="204"/>
      <c r="AUB131" s="204"/>
      <c r="AUC131" s="199"/>
      <c r="AUD131" s="167"/>
      <c r="AUE131" s="199"/>
      <c r="AUF131" s="200"/>
      <c r="AUG131" s="201"/>
      <c r="AUH131" s="202"/>
      <c r="AUI131" s="202"/>
      <c r="AUJ131" s="202"/>
      <c r="AUK131" s="202"/>
      <c r="AUL131" s="203"/>
      <c r="AUM131" s="204"/>
      <c r="AUN131" s="204"/>
      <c r="AUO131" s="204"/>
      <c r="AUP131" s="205"/>
      <c r="AUQ131" s="206"/>
      <c r="AUR131" s="207"/>
      <c r="AUS131" s="207"/>
      <c r="AUT131" s="208"/>
      <c r="AUU131" s="209"/>
      <c r="AUV131" s="207"/>
      <c r="AUW131" s="210"/>
      <c r="AUX131" s="209"/>
      <c r="AUY131" s="204"/>
      <c r="AUZ131" s="204"/>
      <c r="AVA131" s="204"/>
      <c r="AVB131" s="199"/>
      <c r="AVC131" s="167"/>
      <c r="AVD131" s="199"/>
      <c r="AVE131" s="200"/>
      <c r="AVF131" s="201"/>
      <c r="AVG131" s="202"/>
      <c r="AVH131" s="202"/>
      <c r="AVI131" s="202"/>
      <c r="AVJ131" s="202"/>
      <c r="AVK131" s="203"/>
      <c r="AVL131" s="204"/>
      <c r="AVM131" s="204"/>
      <c r="AVN131" s="204"/>
      <c r="AVO131" s="205"/>
      <c r="AVP131" s="206"/>
      <c r="AVQ131" s="207"/>
      <c r="AVR131" s="207"/>
      <c r="AVS131" s="208"/>
      <c r="AVT131" s="209"/>
      <c r="AVU131" s="207"/>
      <c r="AVV131" s="210"/>
      <c r="AVW131" s="209"/>
      <c r="AVX131" s="204"/>
      <c r="AVY131" s="204"/>
      <c r="AVZ131" s="204"/>
      <c r="AWA131" s="199"/>
      <c r="AWB131" s="167"/>
      <c r="AWC131" s="199"/>
      <c r="AWD131" s="200"/>
      <c r="AWE131" s="201"/>
      <c r="AWF131" s="202"/>
      <c r="AWG131" s="202"/>
      <c r="AWH131" s="202"/>
      <c r="AWI131" s="202"/>
      <c r="AWJ131" s="203"/>
      <c r="AWK131" s="204"/>
      <c r="AWL131" s="204"/>
      <c r="AWM131" s="204"/>
      <c r="AWN131" s="205"/>
      <c r="AWO131" s="206"/>
      <c r="AWP131" s="207"/>
      <c r="AWQ131" s="207"/>
      <c r="AWR131" s="208"/>
      <c r="AWS131" s="209"/>
      <c r="AWT131" s="207"/>
      <c r="AWU131" s="210"/>
      <c r="AWV131" s="209"/>
      <c r="AWW131" s="204"/>
      <c r="AWX131" s="204"/>
      <c r="AWY131" s="204"/>
      <c r="AWZ131" s="199"/>
      <c r="AXA131" s="167"/>
      <c r="AXB131" s="199"/>
      <c r="AXC131" s="200"/>
      <c r="AXD131" s="201"/>
      <c r="AXE131" s="202"/>
      <c r="AXF131" s="202"/>
      <c r="AXG131" s="202"/>
      <c r="AXH131" s="202"/>
      <c r="AXI131" s="203"/>
      <c r="AXJ131" s="204"/>
      <c r="AXK131" s="204"/>
      <c r="AXL131" s="204"/>
      <c r="AXM131" s="205"/>
      <c r="AXN131" s="206"/>
      <c r="AXO131" s="207"/>
      <c r="AXP131" s="207"/>
      <c r="AXQ131" s="208"/>
      <c r="AXR131" s="209"/>
      <c r="AXS131" s="207"/>
      <c r="AXT131" s="210"/>
      <c r="AXU131" s="209"/>
      <c r="AXV131" s="204"/>
      <c r="AXW131" s="204"/>
      <c r="AXX131" s="204"/>
      <c r="AXY131" s="199"/>
      <c r="AXZ131" s="167"/>
      <c r="AYA131" s="199"/>
      <c r="AYB131" s="200"/>
      <c r="AYC131" s="201"/>
      <c r="AYD131" s="202"/>
      <c r="AYE131" s="202"/>
      <c r="AYF131" s="202"/>
      <c r="AYG131" s="202"/>
      <c r="AYH131" s="203"/>
      <c r="AYI131" s="204"/>
      <c r="AYJ131" s="204"/>
      <c r="AYK131" s="204"/>
      <c r="AYL131" s="205"/>
      <c r="AYM131" s="206"/>
      <c r="AYN131" s="207"/>
      <c r="AYO131" s="207"/>
      <c r="AYP131" s="208"/>
      <c r="AYQ131" s="209"/>
      <c r="AYR131" s="207"/>
      <c r="AYS131" s="210"/>
      <c r="AYT131" s="209"/>
      <c r="AYU131" s="204"/>
      <c r="AYV131" s="204"/>
      <c r="AYW131" s="204"/>
      <c r="AYX131" s="199"/>
      <c r="AYY131" s="167"/>
      <c r="AYZ131" s="199"/>
      <c r="AZA131" s="200"/>
      <c r="AZB131" s="201"/>
      <c r="AZC131" s="202"/>
      <c r="AZD131" s="202"/>
      <c r="AZE131" s="202"/>
      <c r="AZF131" s="202"/>
      <c r="AZG131" s="203"/>
      <c r="AZH131" s="204"/>
      <c r="AZI131" s="204"/>
      <c r="AZJ131" s="204"/>
      <c r="AZK131" s="205"/>
      <c r="AZL131" s="206"/>
      <c r="AZM131" s="207"/>
      <c r="AZN131" s="207"/>
      <c r="AZO131" s="208"/>
      <c r="AZP131" s="209"/>
      <c r="AZQ131" s="207"/>
      <c r="AZR131" s="210"/>
      <c r="AZS131" s="209"/>
      <c r="AZT131" s="204"/>
      <c r="AZU131" s="204"/>
      <c r="AZV131" s="204"/>
      <c r="AZW131" s="199"/>
      <c r="AZX131" s="167"/>
      <c r="AZY131" s="199"/>
      <c r="AZZ131" s="200"/>
      <c r="BAA131" s="201"/>
      <c r="BAB131" s="202"/>
      <c r="BAC131" s="202"/>
      <c r="BAD131" s="202"/>
      <c r="BAE131" s="202"/>
      <c r="BAF131" s="203"/>
      <c r="BAG131" s="204"/>
      <c r="BAH131" s="204"/>
      <c r="BAI131" s="204"/>
      <c r="BAJ131" s="205"/>
      <c r="BAK131" s="206"/>
      <c r="BAL131" s="207"/>
      <c r="BAM131" s="207"/>
      <c r="BAN131" s="208"/>
      <c r="BAO131" s="209"/>
      <c r="BAP131" s="207"/>
      <c r="BAQ131" s="210"/>
      <c r="BAR131" s="209"/>
      <c r="BAS131" s="204"/>
      <c r="BAT131" s="204"/>
      <c r="BAU131" s="204"/>
      <c r="BAV131" s="199"/>
      <c r="BAW131" s="167"/>
      <c r="BAX131" s="199"/>
      <c r="BAY131" s="200"/>
      <c r="BAZ131" s="201"/>
      <c r="BBA131" s="202"/>
      <c r="BBB131" s="202"/>
      <c r="BBC131" s="202"/>
      <c r="BBD131" s="202"/>
      <c r="BBE131" s="203"/>
      <c r="BBF131" s="204"/>
      <c r="BBG131" s="204"/>
      <c r="BBH131" s="204"/>
      <c r="BBI131" s="205"/>
      <c r="BBJ131" s="206"/>
      <c r="BBK131" s="207"/>
      <c r="BBL131" s="207"/>
      <c r="BBM131" s="208"/>
      <c r="BBN131" s="209"/>
      <c r="BBO131" s="207"/>
      <c r="BBP131" s="210"/>
      <c r="BBQ131" s="209"/>
      <c r="BBR131" s="204"/>
      <c r="BBS131" s="204"/>
      <c r="BBT131" s="204"/>
      <c r="BBU131" s="199"/>
      <c r="BBV131" s="167"/>
      <c r="BBW131" s="199"/>
      <c r="BBX131" s="200"/>
      <c r="BBY131" s="201"/>
      <c r="BBZ131" s="202"/>
      <c r="BCA131" s="202"/>
      <c r="BCB131" s="202"/>
      <c r="BCC131" s="202"/>
      <c r="BCD131" s="203"/>
      <c r="BCE131" s="204"/>
      <c r="BCF131" s="204"/>
      <c r="BCG131" s="204"/>
      <c r="BCH131" s="205"/>
      <c r="BCI131" s="206"/>
      <c r="BCJ131" s="207"/>
      <c r="BCK131" s="207"/>
      <c r="BCL131" s="208"/>
      <c r="BCM131" s="209"/>
      <c r="BCN131" s="207"/>
      <c r="BCO131" s="210"/>
      <c r="BCP131" s="209"/>
      <c r="BCQ131" s="204"/>
      <c r="BCR131" s="204"/>
      <c r="BCS131" s="204"/>
      <c r="BCT131" s="199"/>
      <c r="BCU131" s="167"/>
      <c r="BCV131" s="199"/>
      <c r="BCW131" s="200"/>
      <c r="BCX131" s="201"/>
      <c r="BCY131" s="202"/>
      <c r="BCZ131" s="202"/>
      <c r="BDA131" s="202"/>
      <c r="BDB131" s="202"/>
      <c r="BDC131" s="203"/>
      <c r="BDD131" s="204"/>
      <c r="BDE131" s="204"/>
      <c r="BDF131" s="204"/>
      <c r="BDG131" s="205"/>
      <c r="BDH131" s="206"/>
      <c r="BDI131" s="207"/>
      <c r="BDJ131" s="207"/>
      <c r="BDK131" s="208"/>
      <c r="BDL131" s="209"/>
      <c r="BDM131" s="207"/>
      <c r="BDN131" s="210"/>
      <c r="BDO131" s="209"/>
      <c r="BDP131" s="204"/>
      <c r="BDQ131" s="204"/>
      <c r="BDR131" s="204"/>
      <c r="BDS131" s="199"/>
      <c r="BDT131" s="167"/>
      <c r="BDU131" s="199"/>
      <c r="BDV131" s="200"/>
      <c r="BDW131" s="201"/>
      <c r="BDX131" s="202"/>
      <c r="BDY131" s="202"/>
      <c r="BDZ131" s="202"/>
      <c r="BEA131" s="202"/>
      <c r="BEB131" s="203"/>
      <c r="BEC131" s="204"/>
      <c r="BED131" s="204"/>
      <c r="BEE131" s="204"/>
      <c r="BEF131" s="205"/>
      <c r="BEG131" s="206"/>
      <c r="BEH131" s="207"/>
      <c r="BEI131" s="207"/>
      <c r="BEJ131" s="208"/>
      <c r="BEK131" s="209"/>
      <c r="BEL131" s="207"/>
      <c r="BEM131" s="210"/>
      <c r="BEN131" s="209"/>
      <c r="BEO131" s="204"/>
      <c r="BEP131" s="204"/>
      <c r="BEQ131" s="204"/>
      <c r="BER131" s="199"/>
      <c r="BES131" s="167"/>
      <c r="BET131" s="199"/>
      <c r="BEU131" s="200"/>
      <c r="BEV131" s="201"/>
      <c r="BEW131" s="202"/>
      <c r="BEX131" s="202"/>
      <c r="BEY131" s="202"/>
      <c r="BEZ131" s="202"/>
      <c r="BFA131" s="203"/>
      <c r="BFB131" s="204"/>
      <c r="BFC131" s="204"/>
      <c r="BFD131" s="204"/>
      <c r="BFE131" s="205"/>
      <c r="BFF131" s="206"/>
      <c r="BFG131" s="207"/>
      <c r="BFH131" s="207"/>
      <c r="BFI131" s="208"/>
      <c r="BFJ131" s="209"/>
      <c r="BFK131" s="207"/>
      <c r="BFL131" s="210"/>
      <c r="BFM131" s="209"/>
      <c r="BFN131" s="204"/>
      <c r="BFO131" s="204"/>
      <c r="BFP131" s="204"/>
      <c r="BFQ131" s="199"/>
      <c r="BFR131" s="167"/>
      <c r="BFS131" s="199"/>
      <c r="BFT131" s="200"/>
      <c r="BFU131" s="201"/>
      <c r="BFV131" s="202"/>
      <c r="BFW131" s="202"/>
      <c r="BFX131" s="202"/>
      <c r="BFY131" s="202"/>
      <c r="BFZ131" s="203"/>
      <c r="BGA131" s="204"/>
      <c r="BGB131" s="204"/>
      <c r="BGC131" s="204"/>
      <c r="BGD131" s="205"/>
      <c r="BGE131" s="206"/>
      <c r="BGF131" s="207"/>
      <c r="BGG131" s="207"/>
      <c r="BGH131" s="208"/>
      <c r="BGI131" s="209"/>
      <c r="BGJ131" s="207"/>
      <c r="BGK131" s="210"/>
      <c r="BGL131" s="209"/>
      <c r="BGM131" s="204"/>
      <c r="BGN131" s="204"/>
      <c r="BGO131" s="204"/>
      <c r="BGP131" s="199"/>
      <c r="BGQ131" s="167"/>
      <c r="BGR131" s="199"/>
      <c r="BGS131" s="200"/>
      <c r="BGT131" s="201"/>
      <c r="BGU131" s="202"/>
      <c r="BGV131" s="202"/>
      <c r="BGW131" s="202"/>
      <c r="BGX131" s="202"/>
      <c r="BGY131" s="203"/>
      <c r="BGZ131" s="204"/>
      <c r="BHA131" s="204"/>
      <c r="BHB131" s="204"/>
      <c r="BHC131" s="205"/>
      <c r="BHD131" s="206"/>
      <c r="BHE131" s="207"/>
      <c r="BHF131" s="207"/>
      <c r="BHG131" s="208"/>
      <c r="BHH131" s="209"/>
      <c r="BHI131" s="207"/>
      <c r="BHJ131" s="210"/>
      <c r="BHK131" s="209"/>
      <c r="BHL131" s="204"/>
      <c r="BHM131" s="204"/>
      <c r="BHN131" s="204"/>
      <c r="BHO131" s="199"/>
      <c r="BHP131" s="167"/>
      <c r="BHQ131" s="199"/>
      <c r="BHR131" s="200"/>
      <c r="BHS131" s="201"/>
      <c r="BHT131" s="202"/>
      <c r="BHU131" s="202"/>
      <c r="BHV131" s="202"/>
      <c r="BHW131" s="202"/>
      <c r="BHX131" s="203"/>
      <c r="BHY131" s="204"/>
      <c r="BHZ131" s="204"/>
      <c r="BIA131" s="204"/>
      <c r="BIB131" s="205"/>
      <c r="BIC131" s="206"/>
      <c r="BID131" s="207"/>
      <c r="BIE131" s="207"/>
      <c r="BIF131" s="208"/>
      <c r="BIG131" s="209"/>
      <c r="BIH131" s="207"/>
      <c r="BII131" s="210"/>
      <c r="BIJ131" s="209"/>
      <c r="BIK131" s="204"/>
      <c r="BIL131" s="204"/>
      <c r="BIM131" s="204"/>
      <c r="BIN131" s="199"/>
      <c r="BIO131" s="167"/>
      <c r="BIP131" s="199"/>
      <c r="BIQ131" s="200"/>
      <c r="BIR131" s="201"/>
      <c r="BIS131" s="202"/>
      <c r="BIT131" s="202"/>
      <c r="BIU131" s="202"/>
      <c r="BIV131" s="202"/>
      <c r="BIW131" s="203"/>
      <c r="BIX131" s="204"/>
      <c r="BIY131" s="204"/>
      <c r="BIZ131" s="204"/>
      <c r="BJA131" s="205"/>
      <c r="BJB131" s="206"/>
      <c r="BJC131" s="207"/>
      <c r="BJD131" s="207"/>
      <c r="BJE131" s="208"/>
      <c r="BJF131" s="209"/>
      <c r="BJG131" s="207"/>
      <c r="BJH131" s="210"/>
      <c r="BJI131" s="209"/>
      <c r="BJJ131" s="204"/>
      <c r="BJK131" s="204"/>
      <c r="BJL131" s="204"/>
      <c r="BJM131" s="199"/>
      <c r="BJN131" s="167"/>
      <c r="BJO131" s="199"/>
      <c r="BJP131" s="200"/>
      <c r="BJQ131" s="201"/>
      <c r="BJR131" s="202"/>
      <c r="BJS131" s="202"/>
      <c r="BJT131" s="202"/>
      <c r="BJU131" s="202"/>
      <c r="BJV131" s="203"/>
      <c r="BJW131" s="204"/>
      <c r="BJX131" s="204"/>
      <c r="BJY131" s="204"/>
      <c r="BJZ131" s="205"/>
      <c r="BKA131" s="206"/>
      <c r="BKB131" s="207"/>
      <c r="BKC131" s="207"/>
      <c r="BKD131" s="208"/>
      <c r="BKE131" s="209"/>
      <c r="BKF131" s="207"/>
      <c r="BKG131" s="210"/>
      <c r="BKH131" s="209"/>
      <c r="BKI131" s="204"/>
      <c r="BKJ131" s="204"/>
      <c r="BKK131" s="204"/>
      <c r="BKL131" s="199"/>
      <c r="BKM131" s="167"/>
      <c r="BKN131" s="199"/>
      <c r="BKO131" s="200"/>
      <c r="BKP131" s="201"/>
      <c r="BKQ131" s="202"/>
      <c r="BKR131" s="202"/>
      <c r="BKS131" s="202"/>
      <c r="BKT131" s="202"/>
      <c r="BKU131" s="203"/>
      <c r="BKV131" s="204"/>
      <c r="BKW131" s="204"/>
      <c r="BKX131" s="204"/>
      <c r="BKY131" s="205"/>
      <c r="BKZ131" s="206"/>
      <c r="BLA131" s="207"/>
      <c r="BLB131" s="207"/>
      <c r="BLC131" s="208"/>
      <c r="BLD131" s="209"/>
      <c r="BLE131" s="207"/>
      <c r="BLF131" s="210"/>
      <c r="BLG131" s="209"/>
      <c r="BLH131" s="204"/>
      <c r="BLI131" s="204"/>
      <c r="BLJ131" s="204"/>
      <c r="BLK131" s="199"/>
      <c r="BLL131" s="167"/>
      <c r="BLM131" s="199"/>
      <c r="BLN131" s="200"/>
      <c r="BLO131" s="201"/>
      <c r="BLP131" s="202"/>
      <c r="BLQ131" s="202"/>
      <c r="BLR131" s="202"/>
      <c r="BLS131" s="202"/>
      <c r="BLT131" s="203"/>
      <c r="BLU131" s="204"/>
      <c r="BLV131" s="204"/>
      <c r="BLW131" s="204"/>
      <c r="BLX131" s="205"/>
      <c r="BLY131" s="206"/>
      <c r="BLZ131" s="207"/>
      <c r="BMA131" s="207"/>
      <c r="BMB131" s="208"/>
      <c r="BMC131" s="209"/>
      <c r="BMD131" s="207"/>
      <c r="BME131" s="210"/>
      <c r="BMF131" s="209"/>
      <c r="BMG131" s="204"/>
      <c r="BMH131" s="204"/>
      <c r="BMI131" s="204"/>
      <c r="BMJ131" s="199"/>
      <c r="BMK131" s="167"/>
      <c r="BML131" s="199"/>
      <c r="BMM131" s="200"/>
      <c r="BMN131" s="201"/>
      <c r="BMO131" s="202"/>
      <c r="BMP131" s="202"/>
      <c r="BMQ131" s="202"/>
      <c r="BMR131" s="202"/>
      <c r="BMS131" s="203"/>
      <c r="BMT131" s="204"/>
      <c r="BMU131" s="204"/>
      <c r="BMV131" s="204"/>
      <c r="BMW131" s="205"/>
      <c r="BMX131" s="206"/>
      <c r="BMY131" s="207"/>
      <c r="BMZ131" s="207"/>
      <c r="BNA131" s="208"/>
      <c r="BNB131" s="209"/>
      <c r="BNC131" s="207"/>
      <c r="BND131" s="210"/>
      <c r="BNE131" s="209"/>
      <c r="BNF131" s="204"/>
      <c r="BNG131" s="204"/>
      <c r="BNH131" s="204"/>
      <c r="BNI131" s="199"/>
      <c r="BNJ131" s="167"/>
      <c r="BNK131" s="199"/>
      <c r="BNL131" s="200"/>
      <c r="BNM131" s="201"/>
      <c r="BNN131" s="202"/>
      <c r="BNO131" s="202"/>
      <c r="BNP131" s="202"/>
      <c r="BNQ131" s="202"/>
      <c r="BNR131" s="203"/>
      <c r="BNS131" s="204"/>
      <c r="BNT131" s="204"/>
      <c r="BNU131" s="204"/>
      <c r="BNV131" s="205"/>
      <c r="BNW131" s="206"/>
      <c r="BNX131" s="207"/>
      <c r="BNY131" s="207"/>
      <c r="BNZ131" s="208"/>
      <c r="BOA131" s="209"/>
      <c r="BOB131" s="207"/>
      <c r="BOC131" s="210"/>
      <c r="BOD131" s="209"/>
      <c r="BOE131" s="204"/>
      <c r="BOF131" s="204"/>
      <c r="BOG131" s="204"/>
      <c r="BOH131" s="199"/>
      <c r="BOI131" s="167"/>
      <c r="BOJ131" s="199"/>
      <c r="BOK131" s="200"/>
      <c r="BOL131" s="201"/>
      <c r="BOM131" s="202"/>
      <c r="BON131" s="202"/>
      <c r="BOO131" s="202"/>
      <c r="BOP131" s="202"/>
      <c r="BOQ131" s="203"/>
      <c r="BOR131" s="204"/>
      <c r="BOS131" s="204"/>
      <c r="BOT131" s="204"/>
      <c r="BOU131" s="205"/>
      <c r="BOV131" s="206"/>
      <c r="BOW131" s="207"/>
      <c r="BOX131" s="207"/>
      <c r="BOY131" s="208"/>
      <c r="BOZ131" s="209"/>
      <c r="BPA131" s="207"/>
      <c r="BPB131" s="210"/>
      <c r="BPC131" s="209"/>
      <c r="BPD131" s="204"/>
      <c r="BPE131" s="204"/>
      <c r="BPF131" s="204"/>
      <c r="BPG131" s="199"/>
      <c r="BPH131" s="167"/>
      <c r="BPI131" s="199"/>
      <c r="BPJ131" s="200"/>
      <c r="BPK131" s="201"/>
      <c r="BPL131" s="202"/>
      <c r="BPM131" s="202"/>
      <c r="BPN131" s="202"/>
      <c r="BPO131" s="202"/>
      <c r="BPP131" s="203"/>
      <c r="BPQ131" s="204"/>
      <c r="BPR131" s="204"/>
      <c r="BPS131" s="204"/>
      <c r="BPT131" s="205"/>
      <c r="BPU131" s="206"/>
      <c r="BPV131" s="207"/>
      <c r="BPW131" s="207"/>
      <c r="BPX131" s="208"/>
      <c r="BPY131" s="209"/>
      <c r="BPZ131" s="207"/>
      <c r="BQA131" s="210"/>
      <c r="BQB131" s="209"/>
      <c r="BQC131" s="204"/>
      <c r="BQD131" s="204"/>
      <c r="BQE131" s="204"/>
      <c r="BQF131" s="199"/>
      <c r="BQG131" s="167"/>
      <c r="BQH131" s="199"/>
      <c r="BQI131" s="200"/>
      <c r="BQJ131" s="201"/>
      <c r="BQK131" s="202"/>
      <c r="BQL131" s="202"/>
      <c r="BQM131" s="202"/>
      <c r="BQN131" s="202"/>
      <c r="BQO131" s="203"/>
      <c r="BQP131" s="204"/>
      <c r="BQQ131" s="204"/>
      <c r="BQR131" s="204"/>
      <c r="BQS131" s="205"/>
      <c r="BQT131" s="206"/>
      <c r="BQU131" s="207"/>
      <c r="BQV131" s="207"/>
      <c r="BQW131" s="208"/>
      <c r="BQX131" s="209"/>
      <c r="BQY131" s="207"/>
      <c r="BQZ131" s="210"/>
      <c r="BRA131" s="209"/>
      <c r="BRB131" s="204"/>
      <c r="BRC131" s="204"/>
      <c r="BRD131" s="204"/>
      <c r="BRE131" s="199"/>
      <c r="BRF131" s="167"/>
      <c r="BRG131" s="199"/>
      <c r="BRH131" s="200"/>
      <c r="BRI131" s="201"/>
      <c r="BRJ131" s="202"/>
      <c r="BRK131" s="202"/>
      <c r="BRL131" s="202"/>
      <c r="BRM131" s="202"/>
      <c r="BRN131" s="203"/>
      <c r="BRO131" s="204"/>
      <c r="BRP131" s="204"/>
      <c r="BRQ131" s="204"/>
      <c r="BRR131" s="205"/>
      <c r="BRS131" s="206"/>
      <c r="BRT131" s="207"/>
      <c r="BRU131" s="207"/>
      <c r="BRV131" s="208"/>
      <c r="BRW131" s="209"/>
      <c r="BRX131" s="207"/>
      <c r="BRY131" s="210"/>
      <c r="BRZ131" s="209"/>
      <c r="BSA131" s="204"/>
      <c r="BSB131" s="204"/>
      <c r="BSC131" s="204"/>
      <c r="BSD131" s="199"/>
      <c r="BSE131" s="167"/>
      <c r="BSF131" s="199"/>
      <c r="BSG131" s="200"/>
      <c r="BSH131" s="201"/>
      <c r="BSI131" s="202"/>
      <c r="BSJ131" s="202"/>
      <c r="BSK131" s="202"/>
      <c r="BSL131" s="202"/>
      <c r="BSM131" s="203"/>
      <c r="BSN131" s="204"/>
      <c r="BSO131" s="204"/>
      <c r="BSP131" s="204"/>
      <c r="BSQ131" s="205"/>
      <c r="BSR131" s="206"/>
      <c r="BSS131" s="207"/>
      <c r="BST131" s="207"/>
      <c r="BSU131" s="208"/>
      <c r="BSV131" s="209"/>
      <c r="BSW131" s="207"/>
      <c r="BSX131" s="210"/>
      <c r="BSY131" s="209"/>
      <c r="BSZ131" s="204"/>
      <c r="BTA131" s="204"/>
      <c r="BTB131" s="204"/>
      <c r="BTC131" s="199"/>
      <c r="BTD131" s="167"/>
      <c r="BTE131" s="199"/>
      <c r="BTF131" s="200"/>
      <c r="BTG131" s="201"/>
      <c r="BTH131" s="202"/>
      <c r="BTI131" s="202"/>
      <c r="BTJ131" s="202"/>
      <c r="BTK131" s="202"/>
      <c r="BTL131" s="203"/>
      <c r="BTM131" s="204"/>
      <c r="BTN131" s="204"/>
      <c r="BTO131" s="204"/>
      <c r="BTP131" s="205"/>
      <c r="BTQ131" s="206"/>
      <c r="BTR131" s="207"/>
      <c r="BTS131" s="207"/>
      <c r="BTT131" s="208"/>
      <c r="BTU131" s="209"/>
      <c r="BTV131" s="207"/>
      <c r="BTW131" s="210"/>
      <c r="BTX131" s="209"/>
      <c r="BTY131" s="204"/>
      <c r="BTZ131" s="204"/>
      <c r="BUA131" s="204"/>
      <c r="BUB131" s="199"/>
      <c r="BUC131" s="167"/>
      <c r="BUD131" s="199"/>
      <c r="BUE131" s="200"/>
      <c r="BUF131" s="201"/>
      <c r="BUG131" s="202"/>
      <c r="BUH131" s="202"/>
      <c r="BUI131" s="202"/>
      <c r="BUJ131" s="202"/>
      <c r="BUK131" s="203"/>
      <c r="BUL131" s="204"/>
      <c r="BUM131" s="204"/>
      <c r="BUN131" s="204"/>
      <c r="BUO131" s="205"/>
      <c r="BUP131" s="206"/>
      <c r="BUQ131" s="207"/>
      <c r="BUR131" s="207"/>
      <c r="BUS131" s="208"/>
      <c r="BUT131" s="209"/>
      <c r="BUU131" s="207"/>
      <c r="BUV131" s="210"/>
      <c r="BUW131" s="209"/>
      <c r="BUX131" s="204"/>
      <c r="BUY131" s="204"/>
      <c r="BUZ131" s="204"/>
      <c r="BVA131" s="199"/>
      <c r="BVB131" s="167"/>
      <c r="BVC131" s="199"/>
      <c r="BVD131" s="200"/>
      <c r="BVE131" s="201"/>
      <c r="BVF131" s="202"/>
      <c r="BVG131" s="202"/>
      <c r="BVH131" s="202"/>
      <c r="BVI131" s="202"/>
      <c r="BVJ131" s="203"/>
      <c r="BVK131" s="204"/>
      <c r="BVL131" s="204"/>
      <c r="BVM131" s="204"/>
      <c r="BVN131" s="205"/>
      <c r="BVO131" s="206"/>
      <c r="BVP131" s="207"/>
      <c r="BVQ131" s="207"/>
      <c r="BVR131" s="208"/>
      <c r="BVS131" s="209"/>
      <c r="BVT131" s="207"/>
      <c r="BVU131" s="210"/>
      <c r="BVV131" s="209"/>
      <c r="BVW131" s="204"/>
      <c r="BVX131" s="204"/>
      <c r="BVY131" s="204"/>
      <c r="BVZ131" s="199"/>
      <c r="BWA131" s="167"/>
      <c r="BWB131" s="199"/>
      <c r="BWC131" s="200"/>
      <c r="BWD131" s="201"/>
      <c r="BWE131" s="202"/>
      <c r="BWF131" s="202"/>
      <c r="BWG131" s="202"/>
      <c r="BWH131" s="202"/>
      <c r="BWI131" s="203"/>
      <c r="BWJ131" s="204"/>
      <c r="BWK131" s="204"/>
      <c r="BWL131" s="204"/>
      <c r="BWM131" s="205"/>
      <c r="BWN131" s="206"/>
      <c r="BWO131" s="207"/>
      <c r="BWP131" s="207"/>
      <c r="BWQ131" s="208"/>
      <c r="BWR131" s="209"/>
      <c r="BWS131" s="207"/>
      <c r="BWT131" s="210"/>
      <c r="BWU131" s="209"/>
      <c r="BWV131" s="204"/>
      <c r="BWW131" s="204"/>
      <c r="BWX131" s="204"/>
      <c r="BWY131" s="199"/>
      <c r="BWZ131" s="167"/>
      <c r="BXA131" s="199"/>
      <c r="BXB131" s="200"/>
      <c r="BXC131" s="201"/>
      <c r="BXD131" s="202"/>
      <c r="BXE131" s="202"/>
      <c r="BXF131" s="202"/>
      <c r="BXG131" s="202"/>
      <c r="BXH131" s="203"/>
      <c r="BXI131" s="204"/>
      <c r="BXJ131" s="204"/>
      <c r="BXK131" s="204"/>
      <c r="BXL131" s="205"/>
      <c r="BXM131" s="206"/>
      <c r="BXN131" s="207"/>
      <c r="BXO131" s="207"/>
      <c r="BXP131" s="208"/>
      <c r="BXQ131" s="209"/>
      <c r="BXR131" s="207"/>
      <c r="BXS131" s="210"/>
      <c r="BXT131" s="209"/>
      <c r="BXU131" s="204"/>
      <c r="BXV131" s="204"/>
      <c r="BXW131" s="204"/>
      <c r="BXX131" s="199"/>
      <c r="BXY131" s="167"/>
      <c r="BXZ131" s="199"/>
      <c r="BYA131" s="200"/>
      <c r="BYB131" s="201"/>
      <c r="BYC131" s="202"/>
      <c r="BYD131" s="202"/>
      <c r="BYE131" s="202"/>
      <c r="BYF131" s="202"/>
      <c r="BYG131" s="203"/>
      <c r="BYH131" s="204"/>
      <c r="BYI131" s="204"/>
      <c r="BYJ131" s="204"/>
      <c r="BYK131" s="205"/>
      <c r="BYL131" s="206"/>
      <c r="BYM131" s="207"/>
      <c r="BYN131" s="207"/>
      <c r="BYO131" s="208"/>
      <c r="BYP131" s="209"/>
      <c r="BYQ131" s="207"/>
      <c r="BYR131" s="210"/>
      <c r="BYS131" s="209"/>
      <c r="BYT131" s="204"/>
      <c r="BYU131" s="204"/>
      <c r="BYV131" s="204"/>
      <c r="BYW131" s="199"/>
      <c r="BYX131" s="167"/>
      <c r="BYY131" s="199"/>
      <c r="BYZ131" s="200"/>
      <c r="BZA131" s="201"/>
      <c r="BZB131" s="202"/>
      <c r="BZC131" s="202"/>
      <c r="BZD131" s="202"/>
      <c r="BZE131" s="202"/>
      <c r="BZF131" s="203"/>
      <c r="BZG131" s="204"/>
      <c r="BZH131" s="204"/>
      <c r="BZI131" s="204"/>
      <c r="BZJ131" s="205"/>
      <c r="BZK131" s="206"/>
      <c r="BZL131" s="207"/>
      <c r="BZM131" s="207"/>
      <c r="BZN131" s="208"/>
      <c r="BZO131" s="209"/>
      <c r="BZP131" s="207"/>
      <c r="BZQ131" s="210"/>
      <c r="BZR131" s="209"/>
      <c r="BZS131" s="204"/>
      <c r="BZT131" s="204"/>
      <c r="BZU131" s="204"/>
      <c r="BZV131" s="199"/>
      <c r="BZW131" s="167"/>
      <c r="BZX131" s="199"/>
      <c r="BZY131" s="200"/>
      <c r="BZZ131" s="201"/>
      <c r="CAA131" s="202"/>
      <c r="CAB131" s="202"/>
      <c r="CAC131" s="202"/>
      <c r="CAD131" s="202"/>
      <c r="CAE131" s="203"/>
      <c r="CAF131" s="204"/>
      <c r="CAG131" s="204"/>
      <c r="CAH131" s="204"/>
      <c r="CAI131" s="205"/>
      <c r="CAJ131" s="206"/>
      <c r="CAK131" s="207"/>
      <c r="CAL131" s="207"/>
      <c r="CAM131" s="208"/>
      <c r="CAN131" s="209"/>
      <c r="CAO131" s="207"/>
      <c r="CAP131" s="210"/>
      <c r="CAQ131" s="209"/>
      <c r="CAR131" s="204"/>
      <c r="CAS131" s="204"/>
      <c r="CAT131" s="204"/>
      <c r="CAU131" s="199"/>
      <c r="CAV131" s="167"/>
      <c r="CAW131" s="199"/>
      <c r="CAX131" s="200"/>
      <c r="CAY131" s="201"/>
      <c r="CAZ131" s="202"/>
      <c r="CBA131" s="202"/>
      <c r="CBB131" s="202"/>
      <c r="CBC131" s="202"/>
      <c r="CBD131" s="203"/>
      <c r="CBE131" s="204"/>
      <c r="CBF131" s="204"/>
      <c r="CBG131" s="204"/>
      <c r="CBH131" s="205"/>
      <c r="CBI131" s="206"/>
      <c r="CBJ131" s="207"/>
      <c r="CBK131" s="207"/>
      <c r="CBL131" s="208"/>
      <c r="CBM131" s="209"/>
      <c r="CBN131" s="207"/>
      <c r="CBO131" s="210"/>
      <c r="CBP131" s="209"/>
      <c r="CBQ131" s="204"/>
      <c r="CBR131" s="204"/>
      <c r="CBS131" s="204"/>
      <c r="CBT131" s="199"/>
      <c r="CBU131" s="167"/>
      <c r="CBV131" s="199"/>
      <c r="CBW131" s="200"/>
      <c r="CBX131" s="201"/>
      <c r="CBY131" s="202"/>
      <c r="CBZ131" s="202"/>
      <c r="CCA131" s="202"/>
      <c r="CCB131" s="202"/>
      <c r="CCC131" s="203"/>
      <c r="CCD131" s="204"/>
      <c r="CCE131" s="204"/>
      <c r="CCF131" s="204"/>
      <c r="CCG131" s="205"/>
      <c r="CCH131" s="206"/>
      <c r="CCI131" s="207"/>
      <c r="CCJ131" s="207"/>
      <c r="CCK131" s="208"/>
      <c r="CCL131" s="209"/>
      <c r="CCM131" s="207"/>
      <c r="CCN131" s="210"/>
      <c r="CCO131" s="209"/>
      <c r="CCP131" s="204"/>
      <c r="CCQ131" s="204"/>
      <c r="CCR131" s="204"/>
      <c r="CCS131" s="199"/>
      <c r="CCT131" s="167"/>
      <c r="CCU131" s="199"/>
      <c r="CCV131" s="200"/>
      <c r="CCW131" s="201"/>
      <c r="CCX131" s="202"/>
      <c r="CCY131" s="202"/>
      <c r="CCZ131" s="202"/>
      <c r="CDA131" s="202"/>
      <c r="CDB131" s="203"/>
      <c r="CDC131" s="204"/>
      <c r="CDD131" s="204"/>
      <c r="CDE131" s="204"/>
      <c r="CDF131" s="205"/>
      <c r="CDG131" s="206"/>
      <c r="CDH131" s="207"/>
      <c r="CDI131" s="207"/>
      <c r="CDJ131" s="208"/>
      <c r="CDK131" s="209"/>
      <c r="CDL131" s="207"/>
      <c r="CDM131" s="210"/>
      <c r="CDN131" s="209"/>
      <c r="CDO131" s="204"/>
      <c r="CDP131" s="204"/>
      <c r="CDQ131" s="204"/>
      <c r="CDR131" s="199"/>
      <c r="CDS131" s="167"/>
      <c r="CDT131" s="199"/>
      <c r="CDU131" s="200"/>
      <c r="CDV131" s="201"/>
      <c r="CDW131" s="202"/>
      <c r="CDX131" s="202"/>
      <c r="CDY131" s="202"/>
      <c r="CDZ131" s="202"/>
      <c r="CEA131" s="203"/>
      <c r="CEB131" s="204"/>
      <c r="CEC131" s="204"/>
      <c r="CED131" s="204"/>
      <c r="CEE131" s="205"/>
      <c r="CEF131" s="206"/>
      <c r="CEG131" s="207"/>
      <c r="CEH131" s="207"/>
      <c r="CEI131" s="208"/>
      <c r="CEJ131" s="209"/>
      <c r="CEK131" s="207"/>
      <c r="CEL131" s="210"/>
      <c r="CEM131" s="209"/>
      <c r="CEN131" s="204"/>
      <c r="CEO131" s="204"/>
      <c r="CEP131" s="204"/>
      <c r="CEQ131" s="199"/>
      <c r="CER131" s="167"/>
      <c r="CES131" s="199"/>
      <c r="CET131" s="200"/>
      <c r="CEU131" s="201"/>
      <c r="CEV131" s="202"/>
      <c r="CEW131" s="202"/>
      <c r="CEX131" s="202"/>
      <c r="CEY131" s="202"/>
      <c r="CEZ131" s="203"/>
      <c r="CFA131" s="204"/>
      <c r="CFB131" s="204"/>
      <c r="CFC131" s="204"/>
      <c r="CFD131" s="205"/>
      <c r="CFE131" s="206"/>
      <c r="CFF131" s="207"/>
      <c r="CFG131" s="207"/>
      <c r="CFH131" s="208"/>
      <c r="CFI131" s="209"/>
      <c r="CFJ131" s="207"/>
      <c r="CFK131" s="210"/>
      <c r="CFL131" s="209"/>
      <c r="CFM131" s="204"/>
      <c r="CFN131" s="204"/>
      <c r="CFO131" s="204"/>
      <c r="CFP131" s="199"/>
      <c r="CFQ131" s="167"/>
      <c r="CFR131" s="199"/>
      <c r="CFS131" s="200"/>
      <c r="CFT131" s="201"/>
      <c r="CFU131" s="202"/>
      <c r="CFV131" s="202"/>
      <c r="CFW131" s="202"/>
      <c r="CFX131" s="202"/>
      <c r="CFY131" s="203"/>
      <c r="CFZ131" s="204"/>
      <c r="CGA131" s="204"/>
      <c r="CGB131" s="204"/>
      <c r="CGC131" s="205"/>
      <c r="CGD131" s="206"/>
      <c r="CGE131" s="207"/>
      <c r="CGF131" s="207"/>
      <c r="CGG131" s="208"/>
      <c r="CGH131" s="209"/>
      <c r="CGI131" s="207"/>
      <c r="CGJ131" s="210"/>
      <c r="CGK131" s="209"/>
      <c r="CGL131" s="204"/>
      <c r="CGM131" s="204"/>
      <c r="CGN131" s="204"/>
      <c r="CGO131" s="199"/>
      <c r="CGP131" s="167"/>
      <c r="CGQ131" s="199"/>
      <c r="CGR131" s="200"/>
      <c r="CGS131" s="201"/>
      <c r="CGT131" s="202"/>
      <c r="CGU131" s="202"/>
      <c r="CGV131" s="202"/>
      <c r="CGW131" s="202"/>
      <c r="CGX131" s="203"/>
      <c r="CGY131" s="204"/>
      <c r="CGZ131" s="204"/>
      <c r="CHA131" s="204"/>
      <c r="CHB131" s="205"/>
      <c r="CHC131" s="206"/>
      <c r="CHD131" s="207"/>
      <c r="CHE131" s="207"/>
      <c r="CHF131" s="208"/>
      <c r="CHG131" s="209"/>
      <c r="CHH131" s="207"/>
      <c r="CHI131" s="210"/>
      <c r="CHJ131" s="209"/>
      <c r="CHK131" s="204"/>
      <c r="CHL131" s="204"/>
      <c r="CHM131" s="204"/>
      <c r="CHN131" s="199"/>
      <c r="CHO131" s="167"/>
      <c r="CHP131" s="199"/>
      <c r="CHQ131" s="200"/>
      <c r="CHR131" s="201"/>
      <c r="CHS131" s="202"/>
      <c r="CHT131" s="202"/>
      <c r="CHU131" s="202"/>
      <c r="CHV131" s="202"/>
      <c r="CHW131" s="203"/>
      <c r="CHX131" s="204"/>
      <c r="CHY131" s="204"/>
      <c r="CHZ131" s="204"/>
      <c r="CIA131" s="205"/>
      <c r="CIB131" s="206"/>
      <c r="CIC131" s="207"/>
      <c r="CID131" s="207"/>
      <c r="CIE131" s="208"/>
      <c r="CIF131" s="209"/>
      <c r="CIG131" s="207"/>
      <c r="CIH131" s="210"/>
      <c r="CII131" s="209"/>
      <c r="CIJ131" s="204"/>
      <c r="CIK131" s="204"/>
      <c r="CIL131" s="204"/>
      <c r="CIM131" s="199"/>
      <c r="CIN131" s="167"/>
      <c r="CIO131" s="199"/>
      <c r="CIP131" s="200"/>
      <c r="CIQ131" s="201"/>
      <c r="CIR131" s="202"/>
      <c r="CIS131" s="202"/>
      <c r="CIT131" s="202"/>
      <c r="CIU131" s="202"/>
      <c r="CIV131" s="203"/>
      <c r="CIW131" s="204"/>
      <c r="CIX131" s="204"/>
      <c r="CIY131" s="204"/>
      <c r="CIZ131" s="205"/>
      <c r="CJA131" s="206"/>
      <c r="CJB131" s="207"/>
      <c r="CJC131" s="207"/>
      <c r="CJD131" s="208"/>
      <c r="CJE131" s="209"/>
      <c r="CJF131" s="207"/>
      <c r="CJG131" s="210"/>
      <c r="CJH131" s="209"/>
      <c r="CJI131" s="204"/>
      <c r="CJJ131" s="204"/>
      <c r="CJK131" s="204"/>
      <c r="CJL131" s="199"/>
      <c r="CJM131" s="167"/>
      <c r="CJN131" s="199"/>
      <c r="CJO131" s="200"/>
      <c r="CJP131" s="201"/>
      <c r="CJQ131" s="202"/>
      <c r="CJR131" s="202"/>
      <c r="CJS131" s="202"/>
      <c r="CJT131" s="202"/>
      <c r="CJU131" s="203"/>
      <c r="CJV131" s="204"/>
      <c r="CJW131" s="204"/>
      <c r="CJX131" s="204"/>
      <c r="CJY131" s="205"/>
      <c r="CJZ131" s="206"/>
      <c r="CKA131" s="207"/>
      <c r="CKB131" s="207"/>
      <c r="CKC131" s="208"/>
      <c r="CKD131" s="209"/>
      <c r="CKE131" s="207"/>
      <c r="CKF131" s="210"/>
      <c r="CKG131" s="209"/>
      <c r="CKH131" s="204"/>
      <c r="CKI131" s="204"/>
      <c r="CKJ131" s="204"/>
      <c r="CKK131" s="199"/>
      <c r="CKL131" s="167"/>
      <c r="CKM131" s="199"/>
      <c r="CKN131" s="200"/>
      <c r="CKO131" s="201"/>
      <c r="CKP131" s="202"/>
      <c r="CKQ131" s="202"/>
      <c r="CKR131" s="202"/>
      <c r="CKS131" s="202"/>
      <c r="CKT131" s="203"/>
      <c r="CKU131" s="204"/>
      <c r="CKV131" s="204"/>
      <c r="CKW131" s="204"/>
      <c r="CKX131" s="205"/>
      <c r="CKY131" s="206"/>
      <c r="CKZ131" s="207"/>
      <c r="CLA131" s="207"/>
      <c r="CLB131" s="208"/>
      <c r="CLC131" s="209"/>
      <c r="CLD131" s="207"/>
      <c r="CLE131" s="210"/>
      <c r="CLF131" s="209"/>
      <c r="CLG131" s="204"/>
      <c r="CLH131" s="204"/>
      <c r="CLI131" s="204"/>
      <c r="CLJ131" s="199"/>
      <c r="CLK131" s="167"/>
      <c r="CLL131" s="199"/>
      <c r="CLM131" s="200"/>
      <c r="CLN131" s="201"/>
      <c r="CLO131" s="202"/>
      <c r="CLP131" s="202"/>
      <c r="CLQ131" s="202"/>
      <c r="CLR131" s="202"/>
      <c r="CLS131" s="203"/>
      <c r="CLT131" s="204"/>
      <c r="CLU131" s="204"/>
      <c r="CLV131" s="204"/>
      <c r="CLW131" s="205"/>
      <c r="CLX131" s="206"/>
      <c r="CLY131" s="207"/>
      <c r="CLZ131" s="207"/>
      <c r="CMA131" s="208"/>
      <c r="CMB131" s="209"/>
      <c r="CMC131" s="207"/>
      <c r="CMD131" s="210"/>
      <c r="CME131" s="209"/>
      <c r="CMF131" s="204"/>
      <c r="CMG131" s="204"/>
      <c r="CMH131" s="204"/>
      <c r="CMI131" s="199"/>
      <c r="CMJ131" s="167"/>
      <c r="CMK131" s="199"/>
      <c r="CML131" s="200"/>
      <c r="CMM131" s="201"/>
      <c r="CMN131" s="202"/>
      <c r="CMO131" s="202"/>
      <c r="CMP131" s="202"/>
      <c r="CMQ131" s="202"/>
      <c r="CMR131" s="203"/>
      <c r="CMS131" s="204"/>
      <c r="CMT131" s="204"/>
      <c r="CMU131" s="204"/>
      <c r="CMV131" s="205"/>
      <c r="CMW131" s="206"/>
      <c r="CMX131" s="207"/>
      <c r="CMY131" s="207"/>
      <c r="CMZ131" s="208"/>
      <c r="CNA131" s="209"/>
      <c r="CNB131" s="207"/>
      <c r="CNC131" s="210"/>
      <c r="CND131" s="209"/>
      <c r="CNE131" s="204"/>
      <c r="CNF131" s="204"/>
      <c r="CNG131" s="204"/>
      <c r="CNH131" s="199"/>
      <c r="CNI131" s="167"/>
      <c r="CNJ131" s="199"/>
      <c r="CNK131" s="200"/>
      <c r="CNL131" s="201"/>
      <c r="CNM131" s="202"/>
      <c r="CNN131" s="202"/>
      <c r="CNO131" s="202"/>
      <c r="CNP131" s="202"/>
      <c r="CNQ131" s="203"/>
      <c r="CNR131" s="204"/>
      <c r="CNS131" s="204"/>
      <c r="CNT131" s="204"/>
      <c r="CNU131" s="205"/>
      <c r="CNV131" s="206"/>
      <c r="CNW131" s="207"/>
      <c r="CNX131" s="207"/>
      <c r="CNY131" s="208"/>
      <c r="CNZ131" s="209"/>
      <c r="COA131" s="207"/>
      <c r="COB131" s="210"/>
      <c r="COC131" s="209"/>
      <c r="COD131" s="204"/>
      <c r="COE131" s="204"/>
      <c r="COF131" s="204"/>
      <c r="COG131" s="199"/>
      <c r="COH131" s="167"/>
      <c r="COI131" s="199"/>
      <c r="COJ131" s="200"/>
      <c r="COK131" s="201"/>
      <c r="COL131" s="202"/>
      <c r="COM131" s="202"/>
      <c r="CON131" s="202"/>
      <c r="COO131" s="202"/>
      <c r="COP131" s="203"/>
      <c r="COQ131" s="204"/>
      <c r="COR131" s="204"/>
      <c r="COS131" s="204"/>
      <c r="COT131" s="205"/>
      <c r="COU131" s="206"/>
      <c r="COV131" s="207"/>
      <c r="COW131" s="207"/>
      <c r="COX131" s="208"/>
      <c r="COY131" s="209"/>
      <c r="COZ131" s="207"/>
      <c r="CPA131" s="210"/>
      <c r="CPB131" s="209"/>
      <c r="CPC131" s="204"/>
      <c r="CPD131" s="204"/>
      <c r="CPE131" s="204"/>
      <c r="CPF131" s="199"/>
      <c r="CPG131" s="167"/>
      <c r="CPH131" s="199"/>
      <c r="CPI131" s="200"/>
      <c r="CPJ131" s="201"/>
      <c r="CPK131" s="202"/>
      <c r="CPL131" s="202"/>
      <c r="CPM131" s="202"/>
      <c r="CPN131" s="202"/>
      <c r="CPO131" s="203"/>
      <c r="CPP131" s="204"/>
      <c r="CPQ131" s="204"/>
      <c r="CPR131" s="204"/>
      <c r="CPS131" s="205"/>
      <c r="CPT131" s="206"/>
      <c r="CPU131" s="207"/>
      <c r="CPV131" s="207"/>
      <c r="CPW131" s="208"/>
      <c r="CPX131" s="209"/>
      <c r="CPY131" s="207"/>
      <c r="CPZ131" s="210"/>
      <c r="CQA131" s="209"/>
      <c r="CQB131" s="204"/>
      <c r="CQC131" s="204"/>
      <c r="CQD131" s="204"/>
      <c r="CQE131" s="199"/>
      <c r="CQF131" s="167"/>
      <c r="CQG131" s="199"/>
      <c r="CQH131" s="200"/>
      <c r="CQI131" s="201"/>
      <c r="CQJ131" s="202"/>
      <c r="CQK131" s="202"/>
      <c r="CQL131" s="202"/>
      <c r="CQM131" s="202"/>
      <c r="CQN131" s="203"/>
      <c r="CQO131" s="204"/>
      <c r="CQP131" s="204"/>
      <c r="CQQ131" s="204"/>
      <c r="CQR131" s="205"/>
      <c r="CQS131" s="206"/>
      <c r="CQT131" s="207"/>
      <c r="CQU131" s="207"/>
      <c r="CQV131" s="208"/>
      <c r="CQW131" s="209"/>
      <c r="CQX131" s="207"/>
      <c r="CQY131" s="210"/>
      <c r="CQZ131" s="209"/>
      <c r="CRA131" s="204"/>
      <c r="CRB131" s="204"/>
      <c r="CRC131" s="204"/>
      <c r="CRD131" s="199"/>
      <c r="CRE131" s="167"/>
      <c r="CRF131" s="199"/>
      <c r="CRG131" s="200"/>
      <c r="CRH131" s="201"/>
      <c r="CRI131" s="202"/>
      <c r="CRJ131" s="202"/>
      <c r="CRK131" s="202"/>
      <c r="CRL131" s="202"/>
      <c r="CRM131" s="203"/>
      <c r="CRN131" s="204"/>
      <c r="CRO131" s="204"/>
      <c r="CRP131" s="204"/>
      <c r="CRQ131" s="205"/>
      <c r="CRR131" s="206"/>
      <c r="CRS131" s="207"/>
      <c r="CRT131" s="207"/>
      <c r="CRU131" s="208"/>
      <c r="CRV131" s="209"/>
      <c r="CRW131" s="207"/>
      <c r="CRX131" s="210"/>
      <c r="CRY131" s="209"/>
      <c r="CRZ131" s="204"/>
      <c r="CSA131" s="204"/>
      <c r="CSB131" s="204"/>
      <c r="CSC131" s="199"/>
      <c r="CSD131" s="167"/>
      <c r="CSE131" s="199"/>
      <c r="CSF131" s="200"/>
      <c r="CSG131" s="201"/>
      <c r="CSH131" s="202"/>
      <c r="CSI131" s="202"/>
      <c r="CSJ131" s="202"/>
      <c r="CSK131" s="202"/>
      <c r="CSL131" s="203"/>
      <c r="CSM131" s="204"/>
      <c r="CSN131" s="204"/>
      <c r="CSO131" s="204"/>
      <c r="CSP131" s="205"/>
      <c r="CSQ131" s="206"/>
      <c r="CSR131" s="207"/>
      <c r="CSS131" s="207"/>
      <c r="CST131" s="208"/>
      <c r="CSU131" s="209"/>
      <c r="CSV131" s="207"/>
      <c r="CSW131" s="210"/>
      <c r="CSX131" s="209"/>
      <c r="CSY131" s="204"/>
      <c r="CSZ131" s="204"/>
      <c r="CTA131" s="204"/>
      <c r="CTB131" s="199"/>
      <c r="CTC131" s="167"/>
      <c r="CTD131" s="199"/>
      <c r="CTE131" s="200"/>
      <c r="CTF131" s="201"/>
      <c r="CTG131" s="202"/>
      <c r="CTH131" s="202"/>
      <c r="CTI131" s="202"/>
      <c r="CTJ131" s="202"/>
      <c r="CTK131" s="203"/>
      <c r="CTL131" s="204"/>
      <c r="CTM131" s="204"/>
      <c r="CTN131" s="204"/>
      <c r="CTO131" s="205"/>
      <c r="CTP131" s="206"/>
      <c r="CTQ131" s="207"/>
      <c r="CTR131" s="207"/>
      <c r="CTS131" s="208"/>
      <c r="CTT131" s="209"/>
      <c r="CTU131" s="207"/>
      <c r="CTV131" s="210"/>
      <c r="CTW131" s="209"/>
      <c r="CTX131" s="204"/>
      <c r="CTY131" s="204"/>
      <c r="CTZ131" s="204"/>
      <c r="CUA131" s="199"/>
      <c r="CUB131" s="167"/>
      <c r="CUC131" s="199"/>
      <c r="CUD131" s="200"/>
      <c r="CUE131" s="201"/>
      <c r="CUF131" s="202"/>
      <c r="CUG131" s="202"/>
      <c r="CUH131" s="202"/>
      <c r="CUI131" s="202"/>
      <c r="CUJ131" s="203"/>
      <c r="CUK131" s="204"/>
      <c r="CUL131" s="204"/>
      <c r="CUM131" s="204"/>
      <c r="CUN131" s="205"/>
      <c r="CUO131" s="206"/>
      <c r="CUP131" s="207"/>
      <c r="CUQ131" s="207"/>
      <c r="CUR131" s="208"/>
      <c r="CUS131" s="209"/>
      <c r="CUT131" s="207"/>
      <c r="CUU131" s="210"/>
      <c r="CUV131" s="209"/>
      <c r="CUW131" s="204"/>
      <c r="CUX131" s="204"/>
      <c r="CUY131" s="204"/>
      <c r="CUZ131" s="199"/>
      <c r="CVA131" s="167"/>
      <c r="CVB131" s="199"/>
      <c r="CVC131" s="200"/>
      <c r="CVD131" s="201"/>
      <c r="CVE131" s="202"/>
      <c r="CVF131" s="202"/>
      <c r="CVG131" s="202"/>
      <c r="CVH131" s="202"/>
      <c r="CVI131" s="203"/>
      <c r="CVJ131" s="204"/>
      <c r="CVK131" s="204"/>
      <c r="CVL131" s="204"/>
      <c r="CVM131" s="205"/>
      <c r="CVN131" s="206"/>
      <c r="CVO131" s="207"/>
      <c r="CVP131" s="207"/>
      <c r="CVQ131" s="208"/>
      <c r="CVR131" s="209"/>
      <c r="CVS131" s="207"/>
      <c r="CVT131" s="210"/>
      <c r="CVU131" s="209"/>
      <c r="CVV131" s="204"/>
      <c r="CVW131" s="204"/>
      <c r="CVX131" s="204"/>
      <c r="CVY131" s="199"/>
      <c r="CVZ131" s="167"/>
      <c r="CWA131" s="199"/>
      <c r="CWB131" s="200"/>
      <c r="CWC131" s="201"/>
      <c r="CWD131" s="202"/>
      <c r="CWE131" s="202"/>
      <c r="CWF131" s="202"/>
      <c r="CWG131" s="202"/>
      <c r="CWH131" s="203"/>
      <c r="CWI131" s="204"/>
      <c r="CWJ131" s="204"/>
      <c r="CWK131" s="204"/>
      <c r="CWL131" s="205"/>
      <c r="CWM131" s="206"/>
      <c r="CWN131" s="207"/>
      <c r="CWO131" s="207"/>
      <c r="CWP131" s="208"/>
      <c r="CWQ131" s="209"/>
      <c r="CWR131" s="207"/>
      <c r="CWS131" s="210"/>
      <c r="CWT131" s="209"/>
      <c r="CWU131" s="204"/>
      <c r="CWV131" s="204"/>
      <c r="CWW131" s="204"/>
      <c r="CWX131" s="199"/>
      <c r="CWY131" s="167"/>
      <c r="CWZ131" s="199"/>
      <c r="CXA131" s="200"/>
      <c r="CXB131" s="201"/>
      <c r="CXC131" s="202"/>
      <c r="CXD131" s="202"/>
      <c r="CXE131" s="202"/>
      <c r="CXF131" s="202"/>
      <c r="CXG131" s="203"/>
      <c r="CXH131" s="204"/>
      <c r="CXI131" s="204"/>
      <c r="CXJ131" s="204"/>
      <c r="CXK131" s="205"/>
      <c r="CXL131" s="206"/>
      <c r="CXM131" s="207"/>
      <c r="CXN131" s="207"/>
      <c r="CXO131" s="208"/>
      <c r="CXP131" s="209"/>
      <c r="CXQ131" s="207"/>
      <c r="CXR131" s="210"/>
      <c r="CXS131" s="209"/>
      <c r="CXT131" s="204"/>
      <c r="CXU131" s="204"/>
      <c r="CXV131" s="204"/>
      <c r="CXW131" s="199"/>
      <c r="CXX131" s="167"/>
      <c r="CXY131" s="199"/>
      <c r="CXZ131" s="200"/>
      <c r="CYA131" s="201"/>
      <c r="CYB131" s="202"/>
      <c r="CYC131" s="202"/>
      <c r="CYD131" s="202"/>
      <c r="CYE131" s="202"/>
      <c r="CYF131" s="203"/>
      <c r="CYG131" s="204"/>
      <c r="CYH131" s="204"/>
      <c r="CYI131" s="204"/>
      <c r="CYJ131" s="205"/>
      <c r="CYK131" s="206"/>
      <c r="CYL131" s="207"/>
      <c r="CYM131" s="207"/>
      <c r="CYN131" s="208"/>
      <c r="CYO131" s="209"/>
      <c r="CYP131" s="207"/>
      <c r="CYQ131" s="210"/>
      <c r="CYR131" s="209"/>
      <c r="CYS131" s="204"/>
      <c r="CYT131" s="204"/>
      <c r="CYU131" s="204"/>
      <c r="CYV131" s="199"/>
      <c r="CYW131" s="167"/>
      <c r="CYX131" s="199"/>
      <c r="CYY131" s="200"/>
      <c r="CYZ131" s="201"/>
      <c r="CZA131" s="202"/>
      <c r="CZB131" s="202"/>
      <c r="CZC131" s="202"/>
      <c r="CZD131" s="202"/>
      <c r="CZE131" s="203"/>
      <c r="CZF131" s="204"/>
      <c r="CZG131" s="204"/>
      <c r="CZH131" s="204"/>
      <c r="CZI131" s="205"/>
      <c r="CZJ131" s="206"/>
      <c r="CZK131" s="207"/>
      <c r="CZL131" s="207"/>
      <c r="CZM131" s="208"/>
      <c r="CZN131" s="209"/>
      <c r="CZO131" s="207"/>
      <c r="CZP131" s="210"/>
      <c r="CZQ131" s="209"/>
      <c r="CZR131" s="204"/>
      <c r="CZS131" s="204"/>
      <c r="CZT131" s="204"/>
      <c r="CZU131" s="199"/>
      <c r="CZV131" s="167"/>
      <c r="CZW131" s="199"/>
      <c r="CZX131" s="200"/>
      <c r="CZY131" s="201"/>
      <c r="CZZ131" s="202"/>
      <c r="DAA131" s="202"/>
      <c r="DAB131" s="202"/>
      <c r="DAC131" s="202"/>
      <c r="DAD131" s="203"/>
      <c r="DAE131" s="204"/>
      <c r="DAF131" s="204"/>
      <c r="DAG131" s="204"/>
      <c r="DAH131" s="205"/>
      <c r="DAI131" s="206"/>
      <c r="DAJ131" s="207"/>
      <c r="DAK131" s="207"/>
      <c r="DAL131" s="208"/>
      <c r="DAM131" s="209"/>
      <c r="DAN131" s="207"/>
      <c r="DAO131" s="210"/>
      <c r="DAP131" s="209"/>
      <c r="DAQ131" s="204"/>
      <c r="DAR131" s="204"/>
      <c r="DAS131" s="204"/>
      <c r="DAT131" s="199"/>
      <c r="DAU131" s="167"/>
      <c r="DAV131" s="199"/>
      <c r="DAW131" s="200"/>
      <c r="DAX131" s="201"/>
      <c r="DAY131" s="202"/>
      <c r="DAZ131" s="202"/>
      <c r="DBA131" s="202"/>
      <c r="DBB131" s="202"/>
      <c r="DBC131" s="203"/>
      <c r="DBD131" s="204"/>
      <c r="DBE131" s="204"/>
      <c r="DBF131" s="204"/>
      <c r="DBG131" s="205"/>
      <c r="DBH131" s="206"/>
      <c r="DBI131" s="207"/>
      <c r="DBJ131" s="207"/>
      <c r="DBK131" s="208"/>
      <c r="DBL131" s="209"/>
      <c r="DBM131" s="207"/>
      <c r="DBN131" s="210"/>
      <c r="DBO131" s="209"/>
      <c r="DBP131" s="204"/>
      <c r="DBQ131" s="204"/>
      <c r="DBR131" s="204"/>
      <c r="DBS131" s="199"/>
      <c r="DBT131" s="167"/>
      <c r="DBU131" s="199"/>
      <c r="DBV131" s="200"/>
      <c r="DBW131" s="201"/>
      <c r="DBX131" s="202"/>
      <c r="DBY131" s="202"/>
      <c r="DBZ131" s="202"/>
      <c r="DCA131" s="202"/>
      <c r="DCB131" s="203"/>
      <c r="DCC131" s="204"/>
      <c r="DCD131" s="204"/>
      <c r="DCE131" s="204"/>
      <c r="DCF131" s="205"/>
      <c r="DCG131" s="206"/>
      <c r="DCH131" s="207"/>
      <c r="DCI131" s="207"/>
      <c r="DCJ131" s="208"/>
      <c r="DCK131" s="209"/>
      <c r="DCL131" s="207"/>
      <c r="DCM131" s="210"/>
      <c r="DCN131" s="209"/>
      <c r="DCO131" s="204"/>
      <c r="DCP131" s="204"/>
      <c r="DCQ131" s="204"/>
      <c r="DCR131" s="199"/>
      <c r="DCS131" s="167"/>
      <c r="DCT131" s="199"/>
      <c r="DCU131" s="200"/>
      <c r="DCV131" s="201"/>
      <c r="DCW131" s="202"/>
      <c r="DCX131" s="202"/>
      <c r="DCY131" s="202"/>
      <c r="DCZ131" s="202"/>
      <c r="DDA131" s="203"/>
      <c r="DDB131" s="204"/>
      <c r="DDC131" s="204"/>
      <c r="DDD131" s="204"/>
      <c r="DDE131" s="205"/>
      <c r="DDF131" s="206"/>
      <c r="DDG131" s="207"/>
      <c r="DDH131" s="207"/>
      <c r="DDI131" s="208"/>
      <c r="DDJ131" s="209"/>
      <c r="DDK131" s="207"/>
      <c r="DDL131" s="210"/>
      <c r="DDM131" s="209"/>
      <c r="DDN131" s="204"/>
      <c r="DDO131" s="204"/>
      <c r="DDP131" s="204"/>
      <c r="DDQ131" s="199"/>
      <c r="DDR131" s="167"/>
      <c r="DDS131" s="199"/>
      <c r="DDT131" s="200"/>
      <c r="DDU131" s="201"/>
      <c r="DDV131" s="202"/>
      <c r="DDW131" s="202"/>
      <c r="DDX131" s="202"/>
      <c r="DDY131" s="202"/>
      <c r="DDZ131" s="203"/>
      <c r="DEA131" s="204"/>
      <c r="DEB131" s="204"/>
      <c r="DEC131" s="204"/>
      <c r="DED131" s="205"/>
      <c r="DEE131" s="206"/>
      <c r="DEF131" s="207"/>
      <c r="DEG131" s="207"/>
      <c r="DEH131" s="208"/>
      <c r="DEI131" s="209"/>
      <c r="DEJ131" s="207"/>
      <c r="DEK131" s="210"/>
      <c r="DEL131" s="209"/>
      <c r="DEM131" s="204"/>
      <c r="DEN131" s="204"/>
      <c r="DEO131" s="204"/>
      <c r="DEP131" s="199"/>
      <c r="DEQ131" s="167"/>
      <c r="DER131" s="199"/>
      <c r="DES131" s="200"/>
      <c r="DET131" s="201"/>
      <c r="DEU131" s="202"/>
      <c r="DEV131" s="202"/>
      <c r="DEW131" s="202"/>
      <c r="DEX131" s="202"/>
      <c r="DEY131" s="203"/>
      <c r="DEZ131" s="204"/>
      <c r="DFA131" s="204"/>
      <c r="DFB131" s="204"/>
      <c r="DFC131" s="205"/>
      <c r="DFD131" s="206"/>
      <c r="DFE131" s="207"/>
      <c r="DFF131" s="207"/>
      <c r="DFG131" s="208"/>
      <c r="DFH131" s="209"/>
      <c r="DFI131" s="207"/>
      <c r="DFJ131" s="210"/>
      <c r="DFK131" s="209"/>
      <c r="DFL131" s="204"/>
      <c r="DFM131" s="204"/>
      <c r="DFN131" s="204"/>
      <c r="DFO131" s="199"/>
      <c r="DFP131" s="167"/>
      <c r="DFQ131" s="199"/>
      <c r="DFR131" s="200"/>
      <c r="DFS131" s="201"/>
      <c r="DFT131" s="202"/>
      <c r="DFU131" s="202"/>
      <c r="DFV131" s="202"/>
      <c r="DFW131" s="202"/>
      <c r="DFX131" s="203"/>
      <c r="DFY131" s="204"/>
      <c r="DFZ131" s="204"/>
      <c r="DGA131" s="204"/>
      <c r="DGB131" s="205"/>
      <c r="DGC131" s="206"/>
      <c r="DGD131" s="207"/>
      <c r="DGE131" s="207"/>
      <c r="DGF131" s="208"/>
      <c r="DGG131" s="209"/>
      <c r="DGH131" s="207"/>
      <c r="DGI131" s="210"/>
      <c r="DGJ131" s="209"/>
      <c r="DGK131" s="204"/>
      <c r="DGL131" s="204"/>
      <c r="DGM131" s="204"/>
      <c r="DGN131" s="199"/>
      <c r="DGO131" s="167"/>
      <c r="DGP131" s="199"/>
      <c r="DGQ131" s="200"/>
      <c r="DGR131" s="201"/>
      <c r="DGS131" s="202"/>
      <c r="DGT131" s="202"/>
      <c r="DGU131" s="202"/>
      <c r="DGV131" s="202"/>
      <c r="DGW131" s="203"/>
      <c r="DGX131" s="204"/>
      <c r="DGY131" s="204"/>
      <c r="DGZ131" s="204"/>
      <c r="DHA131" s="205"/>
      <c r="DHB131" s="206"/>
      <c r="DHC131" s="207"/>
      <c r="DHD131" s="207"/>
      <c r="DHE131" s="208"/>
      <c r="DHF131" s="209"/>
      <c r="DHG131" s="207"/>
      <c r="DHH131" s="210"/>
      <c r="DHI131" s="209"/>
      <c r="DHJ131" s="204"/>
      <c r="DHK131" s="204"/>
      <c r="DHL131" s="204"/>
      <c r="DHM131" s="199"/>
      <c r="DHN131" s="167"/>
      <c r="DHO131" s="199"/>
      <c r="DHP131" s="200"/>
      <c r="DHQ131" s="201"/>
      <c r="DHR131" s="202"/>
      <c r="DHS131" s="202"/>
      <c r="DHT131" s="202"/>
      <c r="DHU131" s="202"/>
      <c r="DHV131" s="203"/>
      <c r="DHW131" s="204"/>
      <c r="DHX131" s="204"/>
      <c r="DHY131" s="204"/>
      <c r="DHZ131" s="205"/>
      <c r="DIA131" s="206"/>
      <c r="DIB131" s="207"/>
      <c r="DIC131" s="207"/>
      <c r="DID131" s="208"/>
      <c r="DIE131" s="209"/>
      <c r="DIF131" s="207"/>
      <c r="DIG131" s="210"/>
      <c r="DIH131" s="209"/>
      <c r="DII131" s="204"/>
      <c r="DIJ131" s="204"/>
      <c r="DIK131" s="204"/>
      <c r="DIL131" s="199"/>
      <c r="DIM131" s="167"/>
      <c r="DIN131" s="199"/>
      <c r="DIO131" s="200"/>
      <c r="DIP131" s="201"/>
      <c r="DIQ131" s="202"/>
      <c r="DIR131" s="202"/>
      <c r="DIS131" s="202"/>
      <c r="DIT131" s="202"/>
      <c r="DIU131" s="203"/>
      <c r="DIV131" s="204"/>
      <c r="DIW131" s="204"/>
      <c r="DIX131" s="204"/>
      <c r="DIY131" s="205"/>
      <c r="DIZ131" s="206"/>
      <c r="DJA131" s="207"/>
      <c r="DJB131" s="207"/>
      <c r="DJC131" s="208"/>
      <c r="DJD131" s="209"/>
      <c r="DJE131" s="207"/>
      <c r="DJF131" s="210"/>
      <c r="DJG131" s="209"/>
      <c r="DJH131" s="204"/>
      <c r="DJI131" s="204"/>
      <c r="DJJ131" s="204"/>
      <c r="DJK131" s="199"/>
      <c r="DJL131" s="167"/>
      <c r="DJM131" s="199"/>
      <c r="DJN131" s="200"/>
      <c r="DJO131" s="201"/>
      <c r="DJP131" s="202"/>
      <c r="DJQ131" s="202"/>
      <c r="DJR131" s="202"/>
      <c r="DJS131" s="202"/>
      <c r="DJT131" s="203"/>
      <c r="DJU131" s="204"/>
      <c r="DJV131" s="204"/>
      <c r="DJW131" s="204"/>
      <c r="DJX131" s="205"/>
      <c r="DJY131" s="206"/>
      <c r="DJZ131" s="207"/>
      <c r="DKA131" s="207"/>
      <c r="DKB131" s="208"/>
      <c r="DKC131" s="209"/>
      <c r="DKD131" s="207"/>
      <c r="DKE131" s="210"/>
      <c r="DKF131" s="209"/>
      <c r="DKG131" s="204"/>
      <c r="DKH131" s="204"/>
      <c r="DKI131" s="204"/>
      <c r="DKJ131" s="199"/>
      <c r="DKK131" s="167"/>
      <c r="DKL131" s="199"/>
      <c r="DKM131" s="200"/>
      <c r="DKN131" s="201"/>
      <c r="DKO131" s="202"/>
      <c r="DKP131" s="202"/>
      <c r="DKQ131" s="202"/>
      <c r="DKR131" s="202"/>
      <c r="DKS131" s="203"/>
      <c r="DKT131" s="204"/>
      <c r="DKU131" s="204"/>
      <c r="DKV131" s="204"/>
      <c r="DKW131" s="205"/>
      <c r="DKX131" s="206"/>
      <c r="DKY131" s="207"/>
      <c r="DKZ131" s="207"/>
      <c r="DLA131" s="208"/>
      <c r="DLB131" s="209"/>
      <c r="DLC131" s="207"/>
      <c r="DLD131" s="210"/>
      <c r="DLE131" s="209"/>
      <c r="DLF131" s="204"/>
      <c r="DLG131" s="204"/>
      <c r="DLH131" s="204"/>
      <c r="DLI131" s="199"/>
      <c r="DLJ131" s="167"/>
      <c r="DLK131" s="199"/>
      <c r="DLL131" s="200"/>
      <c r="DLM131" s="201"/>
      <c r="DLN131" s="202"/>
      <c r="DLO131" s="202"/>
      <c r="DLP131" s="202"/>
      <c r="DLQ131" s="202"/>
      <c r="DLR131" s="203"/>
      <c r="DLS131" s="204"/>
      <c r="DLT131" s="204"/>
      <c r="DLU131" s="204"/>
      <c r="DLV131" s="205"/>
      <c r="DLW131" s="206"/>
      <c r="DLX131" s="207"/>
      <c r="DLY131" s="207"/>
      <c r="DLZ131" s="208"/>
      <c r="DMA131" s="209"/>
      <c r="DMB131" s="207"/>
      <c r="DMC131" s="210"/>
      <c r="DMD131" s="209"/>
      <c r="DME131" s="204"/>
      <c r="DMF131" s="204"/>
      <c r="DMG131" s="204"/>
      <c r="DMH131" s="199"/>
      <c r="DMI131" s="167"/>
      <c r="DMJ131" s="199"/>
      <c r="DMK131" s="200"/>
      <c r="DML131" s="201"/>
      <c r="DMM131" s="202"/>
      <c r="DMN131" s="202"/>
      <c r="DMO131" s="202"/>
      <c r="DMP131" s="202"/>
      <c r="DMQ131" s="203"/>
      <c r="DMR131" s="204"/>
      <c r="DMS131" s="204"/>
      <c r="DMT131" s="204"/>
      <c r="DMU131" s="205"/>
      <c r="DMV131" s="206"/>
      <c r="DMW131" s="207"/>
      <c r="DMX131" s="207"/>
      <c r="DMY131" s="208"/>
      <c r="DMZ131" s="209"/>
      <c r="DNA131" s="207"/>
      <c r="DNB131" s="210"/>
      <c r="DNC131" s="209"/>
      <c r="DND131" s="204"/>
      <c r="DNE131" s="204"/>
      <c r="DNF131" s="204"/>
      <c r="DNG131" s="199"/>
      <c r="DNH131" s="167"/>
      <c r="DNI131" s="199"/>
      <c r="DNJ131" s="200"/>
      <c r="DNK131" s="201"/>
      <c r="DNL131" s="202"/>
      <c r="DNM131" s="202"/>
      <c r="DNN131" s="202"/>
      <c r="DNO131" s="202"/>
      <c r="DNP131" s="203"/>
      <c r="DNQ131" s="204"/>
      <c r="DNR131" s="204"/>
      <c r="DNS131" s="204"/>
      <c r="DNT131" s="205"/>
      <c r="DNU131" s="206"/>
      <c r="DNV131" s="207"/>
      <c r="DNW131" s="207"/>
      <c r="DNX131" s="208"/>
      <c r="DNY131" s="209"/>
      <c r="DNZ131" s="207"/>
      <c r="DOA131" s="210"/>
      <c r="DOB131" s="209"/>
      <c r="DOC131" s="204"/>
      <c r="DOD131" s="204"/>
      <c r="DOE131" s="204"/>
      <c r="DOF131" s="199"/>
      <c r="DOG131" s="167"/>
      <c r="DOH131" s="199"/>
      <c r="DOI131" s="200"/>
      <c r="DOJ131" s="201"/>
      <c r="DOK131" s="202"/>
      <c r="DOL131" s="202"/>
      <c r="DOM131" s="202"/>
      <c r="DON131" s="202"/>
      <c r="DOO131" s="203"/>
      <c r="DOP131" s="204"/>
      <c r="DOQ131" s="204"/>
      <c r="DOR131" s="204"/>
      <c r="DOS131" s="205"/>
      <c r="DOT131" s="206"/>
      <c r="DOU131" s="207"/>
      <c r="DOV131" s="207"/>
      <c r="DOW131" s="208"/>
      <c r="DOX131" s="209"/>
      <c r="DOY131" s="207"/>
      <c r="DOZ131" s="210"/>
      <c r="DPA131" s="209"/>
      <c r="DPB131" s="204"/>
      <c r="DPC131" s="204"/>
      <c r="DPD131" s="204"/>
      <c r="DPE131" s="199"/>
      <c r="DPF131" s="167"/>
      <c r="DPG131" s="199"/>
      <c r="DPH131" s="200"/>
      <c r="DPI131" s="201"/>
      <c r="DPJ131" s="202"/>
      <c r="DPK131" s="202"/>
      <c r="DPL131" s="202"/>
      <c r="DPM131" s="202"/>
      <c r="DPN131" s="203"/>
      <c r="DPO131" s="204"/>
      <c r="DPP131" s="204"/>
      <c r="DPQ131" s="204"/>
      <c r="DPR131" s="205"/>
      <c r="DPS131" s="206"/>
      <c r="DPT131" s="207"/>
      <c r="DPU131" s="207"/>
      <c r="DPV131" s="208"/>
      <c r="DPW131" s="209"/>
      <c r="DPX131" s="207"/>
      <c r="DPY131" s="210"/>
      <c r="DPZ131" s="209"/>
      <c r="DQA131" s="204"/>
      <c r="DQB131" s="204"/>
      <c r="DQC131" s="204"/>
      <c r="DQD131" s="199"/>
      <c r="DQE131" s="167"/>
      <c r="DQF131" s="199"/>
      <c r="DQG131" s="200"/>
      <c r="DQH131" s="201"/>
      <c r="DQI131" s="202"/>
      <c r="DQJ131" s="202"/>
      <c r="DQK131" s="202"/>
      <c r="DQL131" s="202"/>
      <c r="DQM131" s="203"/>
      <c r="DQN131" s="204"/>
      <c r="DQO131" s="204"/>
      <c r="DQP131" s="204"/>
      <c r="DQQ131" s="205"/>
      <c r="DQR131" s="206"/>
      <c r="DQS131" s="207"/>
      <c r="DQT131" s="207"/>
      <c r="DQU131" s="208"/>
      <c r="DQV131" s="209"/>
      <c r="DQW131" s="207"/>
      <c r="DQX131" s="210"/>
      <c r="DQY131" s="209"/>
      <c r="DQZ131" s="204"/>
      <c r="DRA131" s="204"/>
      <c r="DRB131" s="204"/>
      <c r="DRC131" s="199"/>
      <c r="DRD131" s="167"/>
      <c r="DRE131" s="199"/>
      <c r="DRF131" s="200"/>
      <c r="DRG131" s="201"/>
      <c r="DRH131" s="202"/>
      <c r="DRI131" s="202"/>
      <c r="DRJ131" s="202"/>
      <c r="DRK131" s="202"/>
      <c r="DRL131" s="203"/>
      <c r="DRM131" s="204"/>
      <c r="DRN131" s="204"/>
      <c r="DRO131" s="204"/>
      <c r="DRP131" s="205"/>
      <c r="DRQ131" s="206"/>
      <c r="DRR131" s="207"/>
      <c r="DRS131" s="207"/>
      <c r="DRT131" s="208"/>
      <c r="DRU131" s="209"/>
      <c r="DRV131" s="207"/>
      <c r="DRW131" s="210"/>
      <c r="DRX131" s="209"/>
      <c r="DRY131" s="204"/>
      <c r="DRZ131" s="204"/>
      <c r="DSA131" s="204"/>
      <c r="DSB131" s="199"/>
      <c r="DSC131" s="167"/>
      <c r="DSD131" s="199"/>
      <c r="DSE131" s="200"/>
      <c r="DSF131" s="201"/>
      <c r="DSG131" s="202"/>
      <c r="DSH131" s="202"/>
      <c r="DSI131" s="202"/>
      <c r="DSJ131" s="202"/>
      <c r="DSK131" s="203"/>
      <c r="DSL131" s="204"/>
      <c r="DSM131" s="204"/>
      <c r="DSN131" s="204"/>
      <c r="DSO131" s="205"/>
      <c r="DSP131" s="206"/>
      <c r="DSQ131" s="207"/>
      <c r="DSR131" s="207"/>
      <c r="DSS131" s="208"/>
      <c r="DST131" s="209"/>
      <c r="DSU131" s="207"/>
      <c r="DSV131" s="210"/>
      <c r="DSW131" s="209"/>
      <c r="DSX131" s="204"/>
      <c r="DSY131" s="204"/>
      <c r="DSZ131" s="204"/>
      <c r="DTA131" s="199"/>
      <c r="DTB131" s="167"/>
      <c r="DTC131" s="199"/>
      <c r="DTD131" s="200"/>
      <c r="DTE131" s="201"/>
      <c r="DTF131" s="202"/>
      <c r="DTG131" s="202"/>
      <c r="DTH131" s="202"/>
      <c r="DTI131" s="202"/>
      <c r="DTJ131" s="203"/>
      <c r="DTK131" s="204"/>
      <c r="DTL131" s="204"/>
      <c r="DTM131" s="204"/>
      <c r="DTN131" s="205"/>
      <c r="DTO131" s="206"/>
      <c r="DTP131" s="207"/>
      <c r="DTQ131" s="207"/>
      <c r="DTR131" s="208"/>
      <c r="DTS131" s="209"/>
      <c r="DTT131" s="207"/>
      <c r="DTU131" s="210"/>
      <c r="DTV131" s="209"/>
      <c r="DTW131" s="204"/>
      <c r="DTX131" s="204"/>
      <c r="DTY131" s="204"/>
      <c r="DTZ131" s="199"/>
      <c r="DUA131" s="167"/>
      <c r="DUB131" s="199"/>
      <c r="DUC131" s="200"/>
      <c r="DUD131" s="201"/>
      <c r="DUE131" s="202"/>
      <c r="DUF131" s="202"/>
      <c r="DUG131" s="202"/>
      <c r="DUH131" s="202"/>
      <c r="DUI131" s="203"/>
      <c r="DUJ131" s="204"/>
      <c r="DUK131" s="204"/>
      <c r="DUL131" s="204"/>
      <c r="DUM131" s="205"/>
      <c r="DUN131" s="206"/>
      <c r="DUO131" s="207"/>
      <c r="DUP131" s="207"/>
      <c r="DUQ131" s="208"/>
      <c r="DUR131" s="209"/>
      <c r="DUS131" s="207"/>
      <c r="DUT131" s="210"/>
      <c r="DUU131" s="209"/>
      <c r="DUV131" s="204"/>
      <c r="DUW131" s="204"/>
      <c r="DUX131" s="204"/>
      <c r="DUY131" s="199"/>
      <c r="DUZ131" s="167"/>
      <c r="DVA131" s="199"/>
      <c r="DVB131" s="200"/>
      <c r="DVC131" s="201"/>
      <c r="DVD131" s="202"/>
      <c r="DVE131" s="202"/>
      <c r="DVF131" s="202"/>
      <c r="DVG131" s="202"/>
      <c r="DVH131" s="203"/>
      <c r="DVI131" s="204"/>
      <c r="DVJ131" s="204"/>
      <c r="DVK131" s="204"/>
      <c r="DVL131" s="205"/>
      <c r="DVM131" s="206"/>
      <c r="DVN131" s="207"/>
      <c r="DVO131" s="207"/>
      <c r="DVP131" s="208"/>
      <c r="DVQ131" s="209"/>
      <c r="DVR131" s="207"/>
      <c r="DVS131" s="210"/>
      <c r="DVT131" s="209"/>
      <c r="DVU131" s="204"/>
      <c r="DVV131" s="204"/>
      <c r="DVW131" s="204"/>
      <c r="DVX131" s="199"/>
      <c r="DVY131" s="167"/>
      <c r="DVZ131" s="199"/>
      <c r="DWA131" s="200"/>
      <c r="DWB131" s="201"/>
      <c r="DWC131" s="202"/>
      <c r="DWD131" s="202"/>
      <c r="DWE131" s="202"/>
      <c r="DWF131" s="202"/>
      <c r="DWG131" s="203"/>
      <c r="DWH131" s="204"/>
      <c r="DWI131" s="204"/>
      <c r="DWJ131" s="204"/>
      <c r="DWK131" s="205"/>
      <c r="DWL131" s="206"/>
      <c r="DWM131" s="207"/>
      <c r="DWN131" s="207"/>
      <c r="DWO131" s="208"/>
      <c r="DWP131" s="209"/>
      <c r="DWQ131" s="207"/>
      <c r="DWR131" s="210"/>
      <c r="DWS131" s="209"/>
      <c r="DWT131" s="204"/>
      <c r="DWU131" s="204"/>
      <c r="DWV131" s="204"/>
      <c r="DWW131" s="199"/>
      <c r="DWX131" s="167"/>
      <c r="DWY131" s="199"/>
      <c r="DWZ131" s="200"/>
      <c r="DXA131" s="201"/>
      <c r="DXB131" s="202"/>
      <c r="DXC131" s="202"/>
      <c r="DXD131" s="202"/>
      <c r="DXE131" s="202"/>
      <c r="DXF131" s="203"/>
      <c r="DXG131" s="204"/>
      <c r="DXH131" s="204"/>
      <c r="DXI131" s="204"/>
      <c r="DXJ131" s="205"/>
      <c r="DXK131" s="206"/>
      <c r="DXL131" s="207"/>
      <c r="DXM131" s="207"/>
      <c r="DXN131" s="208"/>
      <c r="DXO131" s="209"/>
      <c r="DXP131" s="207"/>
      <c r="DXQ131" s="210"/>
      <c r="DXR131" s="209"/>
      <c r="DXS131" s="204"/>
      <c r="DXT131" s="204"/>
      <c r="DXU131" s="204"/>
      <c r="DXV131" s="199"/>
      <c r="DXW131" s="167"/>
      <c r="DXX131" s="199"/>
      <c r="DXY131" s="200"/>
      <c r="DXZ131" s="201"/>
      <c r="DYA131" s="202"/>
      <c r="DYB131" s="202"/>
      <c r="DYC131" s="202"/>
      <c r="DYD131" s="202"/>
      <c r="DYE131" s="203"/>
      <c r="DYF131" s="204"/>
      <c r="DYG131" s="204"/>
      <c r="DYH131" s="204"/>
      <c r="DYI131" s="205"/>
      <c r="DYJ131" s="206"/>
      <c r="DYK131" s="207"/>
      <c r="DYL131" s="207"/>
      <c r="DYM131" s="208"/>
      <c r="DYN131" s="209"/>
      <c r="DYO131" s="207"/>
      <c r="DYP131" s="210"/>
      <c r="DYQ131" s="209"/>
      <c r="DYR131" s="204"/>
      <c r="DYS131" s="204"/>
      <c r="DYT131" s="204"/>
      <c r="DYU131" s="199"/>
      <c r="DYV131" s="167"/>
      <c r="DYW131" s="199"/>
      <c r="DYX131" s="200"/>
      <c r="DYY131" s="201"/>
      <c r="DYZ131" s="202"/>
      <c r="DZA131" s="202"/>
      <c r="DZB131" s="202"/>
      <c r="DZC131" s="202"/>
      <c r="DZD131" s="203"/>
      <c r="DZE131" s="204"/>
      <c r="DZF131" s="204"/>
      <c r="DZG131" s="204"/>
      <c r="DZH131" s="205"/>
      <c r="DZI131" s="206"/>
      <c r="DZJ131" s="207"/>
      <c r="DZK131" s="207"/>
      <c r="DZL131" s="208"/>
      <c r="DZM131" s="209"/>
      <c r="DZN131" s="207"/>
      <c r="DZO131" s="210"/>
      <c r="DZP131" s="209"/>
      <c r="DZQ131" s="204"/>
      <c r="DZR131" s="204"/>
      <c r="DZS131" s="204"/>
      <c r="DZT131" s="199"/>
      <c r="DZU131" s="167"/>
      <c r="DZV131" s="199"/>
      <c r="DZW131" s="200"/>
      <c r="DZX131" s="201"/>
      <c r="DZY131" s="202"/>
      <c r="DZZ131" s="202"/>
      <c r="EAA131" s="202"/>
      <c r="EAB131" s="202"/>
      <c r="EAC131" s="203"/>
      <c r="EAD131" s="204"/>
      <c r="EAE131" s="204"/>
      <c r="EAF131" s="204"/>
      <c r="EAG131" s="205"/>
      <c r="EAH131" s="206"/>
      <c r="EAI131" s="207"/>
      <c r="EAJ131" s="207"/>
      <c r="EAK131" s="208"/>
      <c r="EAL131" s="209"/>
      <c r="EAM131" s="207"/>
      <c r="EAN131" s="210"/>
      <c r="EAO131" s="209"/>
      <c r="EAP131" s="204"/>
      <c r="EAQ131" s="204"/>
      <c r="EAR131" s="204"/>
      <c r="EAS131" s="199"/>
      <c r="EAT131" s="167"/>
      <c r="EAU131" s="199"/>
      <c r="EAV131" s="200"/>
      <c r="EAW131" s="201"/>
      <c r="EAX131" s="202"/>
      <c r="EAY131" s="202"/>
      <c r="EAZ131" s="202"/>
      <c r="EBA131" s="202"/>
      <c r="EBB131" s="203"/>
      <c r="EBC131" s="204"/>
      <c r="EBD131" s="204"/>
      <c r="EBE131" s="204"/>
      <c r="EBF131" s="205"/>
      <c r="EBG131" s="206"/>
      <c r="EBH131" s="207"/>
      <c r="EBI131" s="207"/>
      <c r="EBJ131" s="208"/>
      <c r="EBK131" s="209"/>
      <c r="EBL131" s="207"/>
      <c r="EBM131" s="210"/>
      <c r="EBN131" s="209"/>
      <c r="EBO131" s="204"/>
      <c r="EBP131" s="204"/>
      <c r="EBQ131" s="204"/>
      <c r="EBR131" s="199"/>
      <c r="EBS131" s="167"/>
      <c r="EBT131" s="199"/>
      <c r="EBU131" s="200"/>
      <c r="EBV131" s="201"/>
      <c r="EBW131" s="202"/>
      <c r="EBX131" s="202"/>
      <c r="EBY131" s="202"/>
      <c r="EBZ131" s="202"/>
      <c r="ECA131" s="203"/>
      <c r="ECB131" s="204"/>
      <c r="ECC131" s="204"/>
      <c r="ECD131" s="204"/>
      <c r="ECE131" s="205"/>
      <c r="ECF131" s="206"/>
      <c r="ECG131" s="207"/>
      <c r="ECH131" s="207"/>
      <c r="ECI131" s="208"/>
      <c r="ECJ131" s="209"/>
      <c r="ECK131" s="207"/>
      <c r="ECL131" s="210"/>
      <c r="ECM131" s="209"/>
      <c r="ECN131" s="204"/>
      <c r="ECO131" s="204"/>
      <c r="ECP131" s="204"/>
      <c r="ECQ131" s="199"/>
      <c r="ECR131" s="167"/>
      <c r="ECS131" s="199"/>
      <c r="ECT131" s="200"/>
      <c r="ECU131" s="201"/>
      <c r="ECV131" s="202"/>
      <c r="ECW131" s="202"/>
      <c r="ECX131" s="202"/>
      <c r="ECY131" s="202"/>
      <c r="ECZ131" s="203"/>
      <c r="EDA131" s="204"/>
      <c r="EDB131" s="204"/>
      <c r="EDC131" s="204"/>
      <c r="EDD131" s="205"/>
      <c r="EDE131" s="206"/>
      <c r="EDF131" s="207"/>
      <c r="EDG131" s="207"/>
      <c r="EDH131" s="208"/>
      <c r="EDI131" s="209"/>
      <c r="EDJ131" s="207"/>
      <c r="EDK131" s="210"/>
      <c r="EDL131" s="209"/>
      <c r="EDM131" s="204"/>
      <c r="EDN131" s="204"/>
      <c r="EDO131" s="204"/>
      <c r="EDP131" s="199"/>
      <c r="EDQ131" s="167"/>
      <c r="EDR131" s="199"/>
      <c r="EDS131" s="200"/>
      <c r="EDT131" s="201"/>
      <c r="EDU131" s="202"/>
      <c r="EDV131" s="202"/>
      <c r="EDW131" s="202"/>
      <c r="EDX131" s="202"/>
      <c r="EDY131" s="203"/>
      <c r="EDZ131" s="204"/>
      <c r="EEA131" s="204"/>
      <c r="EEB131" s="204"/>
      <c r="EEC131" s="205"/>
      <c r="EED131" s="206"/>
      <c r="EEE131" s="207"/>
      <c r="EEF131" s="207"/>
      <c r="EEG131" s="208"/>
      <c r="EEH131" s="209"/>
      <c r="EEI131" s="207"/>
      <c r="EEJ131" s="210"/>
      <c r="EEK131" s="209"/>
      <c r="EEL131" s="204"/>
      <c r="EEM131" s="204"/>
      <c r="EEN131" s="204"/>
      <c r="EEO131" s="199"/>
      <c r="EEP131" s="167"/>
      <c r="EEQ131" s="199"/>
      <c r="EER131" s="200"/>
      <c r="EES131" s="201"/>
      <c r="EET131" s="202"/>
      <c r="EEU131" s="202"/>
      <c r="EEV131" s="202"/>
      <c r="EEW131" s="202"/>
      <c r="EEX131" s="203"/>
      <c r="EEY131" s="204"/>
      <c r="EEZ131" s="204"/>
      <c r="EFA131" s="204"/>
      <c r="EFB131" s="205"/>
      <c r="EFC131" s="206"/>
      <c r="EFD131" s="207"/>
      <c r="EFE131" s="207"/>
      <c r="EFF131" s="208"/>
      <c r="EFG131" s="209"/>
      <c r="EFH131" s="207"/>
      <c r="EFI131" s="210"/>
      <c r="EFJ131" s="209"/>
      <c r="EFK131" s="204"/>
      <c r="EFL131" s="204"/>
      <c r="EFM131" s="204"/>
      <c r="EFN131" s="199"/>
      <c r="EFO131" s="167"/>
      <c r="EFP131" s="199"/>
      <c r="EFQ131" s="200"/>
      <c r="EFR131" s="201"/>
      <c r="EFS131" s="202"/>
      <c r="EFT131" s="202"/>
      <c r="EFU131" s="202"/>
      <c r="EFV131" s="202"/>
      <c r="EFW131" s="203"/>
      <c r="EFX131" s="204"/>
      <c r="EFY131" s="204"/>
      <c r="EFZ131" s="204"/>
      <c r="EGA131" s="205"/>
      <c r="EGB131" s="206"/>
      <c r="EGC131" s="207"/>
      <c r="EGD131" s="207"/>
      <c r="EGE131" s="208"/>
      <c r="EGF131" s="209"/>
      <c r="EGG131" s="207"/>
      <c r="EGH131" s="210"/>
      <c r="EGI131" s="209"/>
      <c r="EGJ131" s="204"/>
      <c r="EGK131" s="204"/>
      <c r="EGL131" s="204"/>
      <c r="EGM131" s="199"/>
      <c r="EGN131" s="167"/>
      <c r="EGO131" s="199"/>
      <c r="EGP131" s="200"/>
      <c r="EGQ131" s="201"/>
      <c r="EGR131" s="202"/>
      <c r="EGS131" s="202"/>
      <c r="EGT131" s="202"/>
      <c r="EGU131" s="202"/>
      <c r="EGV131" s="203"/>
      <c r="EGW131" s="204"/>
      <c r="EGX131" s="204"/>
      <c r="EGY131" s="204"/>
      <c r="EGZ131" s="205"/>
      <c r="EHA131" s="206"/>
      <c r="EHB131" s="207"/>
      <c r="EHC131" s="207"/>
      <c r="EHD131" s="208"/>
      <c r="EHE131" s="209"/>
      <c r="EHF131" s="207"/>
      <c r="EHG131" s="210"/>
      <c r="EHH131" s="209"/>
      <c r="EHI131" s="204"/>
      <c r="EHJ131" s="204"/>
      <c r="EHK131" s="204"/>
      <c r="EHL131" s="199"/>
      <c r="EHM131" s="167"/>
      <c r="EHN131" s="199"/>
      <c r="EHO131" s="200"/>
      <c r="EHP131" s="201"/>
      <c r="EHQ131" s="202"/>
      <c r="EHR131" s="202"/>
      <c r="EHS131" s="202"/>
      <c r="EHT131" s="202"/>
      <c r="EHU131" s="203"/>
      <c r="EHV131" s="204"/>
      <c r="EHW131" s="204"/>
      <c r="EHX131" s="204"/>
      <c r="EHY131" s="205"/>
      <c r="EHZ131" s="206"/>
      <c r="EIA131" s="207"/>
      <c r="EIB131" s="207"/>
      <c r="EIC131" s="208"/>
      <c r="EID131" s="209"/>
      <c r="EIE131" s="207"/>
      <c r="EIF131" s="210"/>
      <c r="EIG131" s="209"/>
      <c r="EIH131" s="204"/>
      <c r="EII131" s="204"/>
      <c r="EIJ131" s="204"/>
      <c r="EIK131" s="199"/>
      <c r="EIL131" s="167"/>
      <c r="EIM131" s="199"/>
      <c r="EIN131" s="200"/>
      <c r="EIO131" s="201"/>
      <c r="EIP131" s="202"/>
      <c r="EIQ131" s="202"/>
      <c r="EIR131" s="202"/>
      <c r="EIS131" s="202"/>
      <c r="EIT131" s="203"/>
      <c r="EIU131" s="204"/>
      <c r="EIV131" s="204"/>
      <c r="EIW131" s="204"/>
      <c r="EIX131" s="205"/>
      <c r="EIY131" s="206"/>
      <c r="EIZ131" s="207"/>
      <c r="EJA131" s="207"/>
      <c r="EJB131" s="208"/>
      <c r="EJC131" s="209"/>
      <c r="EJD131" s="207"/>
      <c r="EJE131" s="210"/>
      <c r="EJF131" s="209"/>
      <c r="EJG131" s="204"/>
      <c r="EJH131" s="204"/>
      <c r="EJI131" s="204"/>
      <c r="EJJ131" s="199"/>
      <c r="EJK131" s="167"/>
      <c r="EJL131" s="199"/>
      <c r="EJM131" s="200"/>
      <c r="EJN131" s="201"/>
      <c r="EJO131" s="202"/>
      <c r="EJP131" s="202"/>
      <c r="EJQ131" s="202"/>
      <c r="EJR131" s="202"/>
      <c r="EJS131" s="203"/>
      <c r="EJT131" s="204"/>
      <c r="EJU131" s="204"/>
      <c r="EJV131" s="204"/>
      <c r="EJW131" s="205"/>
      <c r="EJX131" s="206"/>
      <c r="EJY131" s="207"/>
      <c r="EJZ131" s="207"/>
      <c r="EKA131" s="208"/>
      <c r="EKB131" s="209"/>
      <c r="EKC131" s="207"/>
      <c r="EKD131" s="210"/>
      <c r="EKE131" s="209"/>
      <c r="EKF131" s="204"/>
      <c r="EKG131" s="204"/>
      <c r="EKH131" s="204"/>
      <c r="EKI131" s="199"/>
      <c r="EKJ131" s="167"/>
      <c r="EKK131" s="199"/>
      <c r="EKL131" s="200"/>
      <c r="EKM131" s="201"/>
      <c r="EKN131" s="202"/>
      <c r="EKO131" s="202"/>
      <c r="EKP131" s="202"/>
      <c r="EKQ131" s="202"/>
      <c r="EKR131" s="203"/>
      <c r="EKS131" s="204"/>
      <c r="EKT131" s="204"/>
      <c r="EKU131" s="204"/>
      <c r="EKV131" s="205"/>
      <c r="EKW131" s="206"/>
      <c r="EKX131" s="207"/>
      <c r="EKY131" s="207"/>
      <c r="EKZ131" s="208"/>
      <c r="ELA131" s="209"/>
      <c r="ELB131" s="207"/>
      <c r="ELC131" s="210"/>
      <c r="ELD131" s="209"/>
      <c r="ELE131" s="204"/>
      <c r="ELF131" s="204"/>
      <c r="ELG131" s="204"/>
      <c r="ELH131" s="199"/>
      <c r="ELI131" s="167"/>
      <c r="ELJ131" s="199"/>
      <c r="ELK131" s="200"/>
      <c r="ELL131" s="201"/>
      <c r="ELM131" s="202"/>
      <c r="ELN131" s="202"/>
      <c r="ELO131" s="202"/>
      <c r="ELP131" s="202"/>
      <c r="ELQ131" s="203"/>
      <c r="ELR131" s="204"/>
      <c r="ELS131" s="204"/>
      <c r="ELT131" s="204"/>
      <c r="ELU131" s="205"/>
      <c r="ELV131" s="206"/>
      <c r="ELW131" s="207"/>
      <c r="ELX131" s="207"/>
      <c r="ELY131" s="208"/>
      <c r="ELZ131" s="209"/>
      <c r="EMA131" s="207"/>
      <c r="EMB131" s="210"/>
      <c r="EMC131" s="209"/>
      <c r="EMD131" s="204"/>
      <c r="EME131" s="204"/>
      <c r="EMF131" s="204"/>
      <c r="EMG131" s="199"/>
      <c r="EMH131" s="167"/>
      <c r="EMI131" s="199"/>
      <c r="EMJ131" s="200"/>
      <c r="EMK131" s="201"/>
      <c r="EML131" s="202"/>
      <c r="EMM131" s="202"/>
      <c r="EMN131" s="202"/>
      <c r="EMO131" s="202"/>
      <c r="EMP131" s="203"/>
      <c r="EMQ131" s="204"/>
      <c r="EMR131" s="204"/>
      <c r="EMS131" s="204"/>
      <c r="EMT131" s="205"/>
      <c r="EMU131" s="206"/>
      <c r="EMV131" s="207"/>
      <c r="EMW131" s="207"/>
      <c r="EMX131" s="208"/>
      <c r="EMY131" s="209"/>
      <c r="EMZ131" s="207"/>
      <c r="ENA131" s="210"/>
      <c r="ENB131" s="209"/>
      <c r="ENC131" s="204"/>
      <c r="END131" s="204"/>
      <c r="ENE131" s="204"/>
      <c r="ENF131" s="199"/>
      <c r="ENG131" s="167"/>
      <c r="ENH131" s="199"/>
      <c r="ENI131" s="200"/>
      <c r="ENJ131" s="201"/>
      <c r="ENK131" s="202"/>
      <c r="ENL131" s="202"/>
      <c r="ENM131" s="202"/>
      <c r="ENN131" s="202"/>
      <c r="ENO131" s="203"/>
      <c r="ENP131" s="204"/>
      <c r="ENQ131" s="204"/>
      <c r="ENR131" s="204"/>
      <c r="ENS131" s="205"/>
      <c r="ENT131" s="206"/>
      <c r="ENU131" s="207"/>
      <c r="ENV131" s="207"/>
      <c r="ENW131" s="208"/>
      <c r="ENX131" s="209"/>
      <c r="ENY131" s="207"/>
      <c r="ENZ131" s="210"/>
      <c r="EOA131" s="209"/>
      <c r="EOB131" s="204"/>
      <c r="EOC131" s="204"/>
      <c r="EOD131" s="204"/>
      <c r="EOE131" s="199"/>
      <c r="EOF131" s="167"/>
      <c r="EOG131" s="199"/>
      <c r="EOH131" s="200"/>
      <c r="EOI131" s="201"/>
      <c r="EOJ131" s="202"/>
      <c r="EOK131" s="202"/>
      <c r="EOL131" s="202"/>
      <c r="EOM131" s="202"/>
      <c r="EON131" s="203"/>
      <c r="EOO131" s="204"/>
      <c r="EOP131" s="204"/>
      <c r="EOQ131" s="204"/>
      <c r="EOR131" s="205"/>
      <c r="EOS131" s="206"/>
      <c r="EOT131" s="207"/>
      <c r="EOU131" s="207"/>
      <c r="EOV131" s="208"/>
      <c r="EOW131" s="209"/>
      <c r="EOX131" s="207"/>
      <c r="EOY131" s="210"/>
      <c r="EOZ131" s="209"/>
      <c r="EPA131" s="204"/>
      <c r="EPB131" s="204"/>
      <c r="EPC131" s="204"/>
      <c r="EPD131" s="199"/>
      <c r="EPE131" s="167"/>
      <c r="EPF131" s="199"/>
      <c r="EPG131" s="200"/>
      <c r="EPH131" s="201"/>
      <c r="EPI131" s="202"/>
      <c r="EPJ131" s="202"/>
      <c r="EPK131" s="202"/>
      <c r="EPL131" s="202"/>
      <c r="EPM131" s="203"/>
      <c r="EPN131" s="204"/>
      <c r="EPO131" s="204"/>
      <c r="EPP131" s="204"/>
      <c r="EPQ131" s="205"/>
      <c r="EPR131" s="206"/>
      <c r="EPS131" s="207"/>
      <c r="EPT131" s="207"/>
      <c r="EPU131" s="208"/>
      <c r="EPV131" s="209"/>
      <c r="EPW131" s="207"/>
      <c r="EPX131" s="210"/>
      <c r="EPY131" s="209"/>
      <c r="EPZ131" s="204"/>
      <c r="EQA131" s="204"/>
      <c r="EQB131" s="204"/>
      <c r="EQC131" s="199"/>
      <c r="EQD131" s="167"/>
      <c r="EQE131" s="199"/>
      <c r="EQF131" s="200"/>
      <c r="EQG131" s="201"/>
      <c r="EQH131" s="202"/>
      <c r="EQI131" s="202"/>
      <c r="EQJ131" s="202"/>
      <c r="EQK131" s="202"/>
      <c r="EQL131" s="203"/>
      <c r="EQM131" s="204"/>
      <c r="EQN131" s="204"/>
      <c r="EQO131" s="204"/>
      <c r="EQP131" s="205"/>
      <c r="EQQ131" s="206"/>
      <c r="EQR131" s="207"/>
      <c r="EQS131" s="207"/>
      <c r="EQT131" s="208"/>
      <c r="EQU131" s="209"/>
      <c r="EQV131" s="207"/>
      <c r="EQW131" s="210"/>
      <c r="EQX131" s="209"/>
      <c r="EQY131" s="204"/>
      <c r="EQZ131" s="204"/>
      <c r="ERA131" s="204"/>
      <c r="ERB131" s="199"/>
      <c r="ERC131" s="167"/>
      <c r="ERD131" s="199"/>
      <c r="ERE131" s="200"/>
      <c r="ERF131" s="201"/>
      <c r="ERG131" s="202"/>
      <c r="ERH131" s="202"/>
      <c r="ERI131" s="202"/>
      <c r="ERJ131" s="202"/>
      <c r="ERK131" s="203"/>
      <c r="ERL131" s="204"/>
      <c r="ERM131" s="204"/>
      <c r="ERN131" s="204"/>
      <c r="ERO131" s="205"/>
      <c r="ERP131" s="206"/>
      <c r="ERQ131" s="207"/>
      <c r="ERR131" s="207"/>
      <c r="ERS131" s="208"/>
      <c r="ERT131" s="209"/>
      <c r="ERU131" s="207"/>
      <c r="ERV131" s="210"/>
      <c r="ERW131" s="209"/>
      <c r="ERX131" s="204"/>
      <c r="ERY131" s="204"/>
      <c r="ERZ131" s="204"/>
      <c r="ESA131" s="199"/>
      <c r="ESB131" s="167"/>
      <c r="ESC131" s="199"/>
      <c r="ESD131" s="200"/>
      <c r="ESE131" s="201"/>
      <c r="ESF131" s="202"/>
      <c r="ESG131" s="202"/>
      <c r="ESH131" s="202"/>
      <c r="ESI131" s="202"/>
      <c r="ESJ131" s="203"/>
      <c r="ESK131" s="204"/>
      <c r="ESL131" s="204"/>
      <c r="ESM131" s="204"/>
      <c r="ESN131" s="205"/>
      <c r="ESO131" s="206"/>
      <c r="ESP131" s="207"/>
      <c r="ESQ131" s="207"/>
      <c r="ESR131" s="208"/>
      <c r="ESS131" s="209"/>
      <c r="EST131" s="207"/>
      <c r="ESU131" s="210"/>
      <c r="ESV131" s="209"/>
      <c r="ESW131" s="204"/>
      <c r="ESX131" s="204"/>
      <c r="ESY131" s="204"/>
      <c r="ESZ131" s="199"/>
      <c r="ETA131" s="167"/>
      <c r="ETB131" s="199"/>
      <c r="ETC131" s="200"/>
      <c r="ETD131" s="201"/>
      <c r="ETE131" s="202"/>
      <c r="ETF131" s="202"/>
      <c r="ETG131" s="202"/>
      <c r="ETH131" s="202"/>
      <c r="ETI131" s="203"/>
      <c r="ETJ131" s="204"/>
      <c r="ETK131" s="204"/>
      <c r="ETL131" s="204"/>
      <c r="ETM131" s="205"/>
      <c r="ETN131" s="206"/>
      <c r="ETO131" s="207"/>
      <c r="ETP131" s="207"/>
      <c r="ETQ131" s="208"/>
      <c r="ETR131" s="209"/>
      <c r="ETS131" s="207"/>
      <c r="ETT131" s="210"/>
      <c r="ETU131" s="209"/>
      <c r="ETV131" s="204"/>
      <c r="ETW131" s="204"/>
      <c r="ETX131" s="204"/>
      <c r="ETY131" s="199"/>
      <c r="ETZ131" s="167"/>
      <c r="EUA131" s="199"/>
      <c r="EUB131" s="200"/>
      <c r="EUC131" s="201"/>
      <c r="EUD131" s="202"/>
      <c r="EUE131" s="202"/>
      <c r="EUF131" s="202"/>
      <c r="EUG131" s="202"/>
      <c r="EUH131" s="203"/>
      <c r="EUI131" s="204"/>
      <c r="EUJ131" s="204"/>
      <c r="EUK131" s="204"/>
      <c r="EUL131" s="205"/>
      <c r="EUM131" s="206"/>
      <c r="EUN131" s="207"/>
      <c r="EUO131" s="207"/>
      <c r="EUP131" s="208"/>
      <c r="EUQ131" s="209"/>
      <c r="EUR131" s="207"/>
      <c r="EUS131" s="210"/>
      <c r="EUT131" s="209"/>
      <c r="EUU131" s="204"/>
      <c r="EUV131" s="204"/>
      <c r="EUW131" s="204"/>
      <c r="EUX131" s="199"/>
      <c r="EUY131" s="167"/>
      <c r="EUZ131" s="199"/>
      <c r="EVA131" s="200"/>
      <c r="EVB131" s="201"/>
      <c r="EVC131" s="202"/>
      <c r="EVD131" s="202"/>
      <c r="EVE131" s="202"/>
      <c r="EVF131" s="202"/>
      <c r="EVG131" s="203"/>
      <c r="EVH131" s="204"/>
      <c r="EVI131" s="204"/>
      <c r="EVJ131" s="204"/>
      <c r="EVK131" s="205"/>
      <c r="EVL131" s="206"/>
      <c r="EVM131" s="207"/>
      <c r="EVN131" s="207"/>
      <c r="EVO131" s="208"/>
      <c r="EVP131" s="209"/>
      <c r="EVQ131" s="207"/>
      <c r="EVR131" s="210"/>
      <c r="EVS131" s="209"/>
      <c r="EVT131" s="204"/>
      <c r="EVU131" s="204"/>
      <c r="EVV131" s="204"/>
      <c r="EVW131" s="199"/>
      <c r="EVX131" s="167"/>
      <c r="EVY131" s="199"/>
      <c r="EVZ131" s="200"/>
      <c r="EWA131" s="201"/>
      <c r="EWB131" s="202"/>
      <c r="EWC131" s="202"/>
      <c r="EWD131" s="202"/>
      <c r="EWE131" s="202"/>
      <c r="EWF131" s="203"/>
      <c r="EWG131" s="204"/>
      <c r="EWH131" s="204"/>
      <c r="EWI131" s="204"/>
      <c r="EWJ131" s="205"/>
      <c r="EWK131" s="206"/>
      <c r="EWL131" s="207"/>
      <c r="EWM131" s="207"/>
      <c r="EWN131" s="208"/>
      <c r="EWO131" s="209"/>
      <c r="EWP131" s="207"/>
      <c r="EWQ131" s="210"/>
      <c r="EWR131" s="209"/>
      <c r="EWS131" s="204"/>
      <c r="EWT131" s="204"/>
      <c r="EWU131" s="204"/>
      <c r="EWV131" s="199"/>
      <c r="EWW131" s="167"/>
      <c r="EWX131" s="199"/>
      <c r="EWY131" s="200"/>
      <c r="EWZ131" s="201"/>
      <c r="EXA131" s="202"/>
      <c r="EXB131" s="202"/>
      <c r="EXC131" s="202"/>
      <c r="EXD131" s="202"/>
      <c r="EXE131" s="203"/>
      <c r="EXF131" s="204"/>
      <c r="EXG131" s="204"/>
      <c r="EXH131" s="204"/>
      <c r="EXI131" s="205"/>
      <c r="EXJ131" s="206"/>
      <c r="EXK131" s="207"/>
      <c r="EXL131" s="207"/>
      <c r="EXM131" s="208"/>
      <c r="EXN131" s="209"/>
      <c r="EXO131" s="207"/>
      <c r="EXP131" s="210"/>
      <c r="EXQ131" s="209"/>
      <c r="EXR131" s="204"/>
      <c r="EXS131" s="204"/>
      <c r="EXT131" s="204"/>
      <c r="EXU131" s="199"/>
      <c r="EXV131" s="167"/>
      <c r="EXW131" s="199"/>
      <c r="EXX131" s="200"/>
      <c r="EXY131" s="201"/>
      <c r="EXZ131" s="202"/>
      <c r="EYA131" s="202"/>
      <c r="EYB131" s="202"/>
      <c r="EYC131" s="202"/>
      <c r="EYD131" s="203"/>
      <c r="EYE131" s="204"/>
      <c r="EYF131" s="204"/>
      <c r="EYG131" s="204"/>
      <c r="EYH131" s="205"/>
      <c r="EYI131" s="206"/>
      <c r="EYJ131" s="207"/>
      <c r="EYK131" s="207"/>
      <c r="EYL131" s="208"/>
      <c r="EYM131" s="209"/>
      <c r="EYN131" s="207"/>
      <c r="EYO131" s="210"/>
      <c r="EYP131" s="209"/>
      <c r="EYQ131" s="204"/>
      <c r="EYR131" s="204"/>
      <c r="EYS131" s="204"/>
      <c r="EYT131" s="199"/>
      <c r="EYU131" s="167"/>
      <c r="EYV131" s="199"/>
      <c r="EYW131" s="200"/>
      <c r="EYX131" s="201"/>
      <c r="EYY131" s="202"/>
      <c r="EYZ131" s="202"/>
      <c r="EZA131" s="202"/>
      <c r="EZB131" s="202"/>
      <c r="EZC131" s="203"/>
      <c r="EZD131" s="204"/>
      <c r="EZE131" s="204"/>
      <c r="EZF131" s="204"/>
      <c r="EZG131" s="205"/>
      <c r="EZH131" s="206"/>
      <c r="EZI131" s="207"/>
      <c r="EZJ131" s="207"/>
      <c r="EZK131" s="208"/>
      <c r="EZL131" s="209"/>
      <c r="EZM131" s="207"/>
      <c r="EZN131" s="210"/>
      <c r="EZO131" s="209"/>
      <c r="EZP131" s="204"/>
      <c r="EZQ131" s="204"/>
      <c r="EZR131" s="204"/>
      <c r="EZS131" s="199"/>
      <c r="EZT131" s="167"/>
      <c r="EZU131" s="199"/>
      <c r="EZV131" s="200"/>
      <c r="EZW131" s="201"/>
      <c r="EZX131" s="202"/>
      <c r="EZY131" s="202"/>
      <c r="EZZ131" s="202"/>
      <c r="FAA131" s="202"/>
      <c r="FAB131" s="203"/>
      <c r="FAC131" s="204"/>
      <c r="FAD131" s="204"/>
      <c r="FAE131" s="204"/>
      <c r="FAF131" s="205"/>
      <c r="FAG131" s="206"/>
      <c r="FAH131" s="207"/>
      <c r="FAI131" s="207"/>
      <c r="FAJ131" s="208"/>
      <c r="FAK131" s="209"/>
      <c r="FAL131" s="207"/>
      <c r="FAM131" s="210"/>
      <c r="FAN131" s="209"/>
      <c r="FAO131" s="204"/>
      <c r="FAP131" s="204"/>
      <c r="FAQ131" s="204"/>
      <c r="FAR131" s="199"/>
      <c r="FAS131" s="167"/>
      <c r="FAT131" s="199"/>
      <c r="FAU131" s="200"/>
      <c r="FAV131" s="201"/>
      <c r="FAW131" s="202"/>
      <c r="FAX131" s="202"/>
      <c r="FAY131" s="202"/>
      <c r="FAZ131" s="202"/>
      <c r="FBA131" s="203"/>
      <c r="FBB131" s="204"/>
      <c r="FBC131" s="204"/>
      <c r="FBD131" s="204"/>
      <c r="FBE131" s="205"/>
      <c r="FBF131" s="206"/>
      <c r="FBG131" s="207"/>
      <c r="FBH131" s="207"/>
      <c r="FBI131" s="208"/>
      <c r="FBJ131" s="209"/>
      <c r="FBK131" s="207"/>
      <c r="FBL131" s="210"/>
      <c r="FBM131" s="209"/>
      <c r="FBN131" s="204"/>
      <c r="FBO131" s="204"/>
      <c r="FBP131" s="204"/>
      <c r="FBQ131" s="199"/>
      <c r="FBR131" s="167"/>
      <c r="FBS131" s="199"/>
      <c r="FBT131" s="200"/>
      <c r="FBU131" s="201"/>
      <c r="FBV131" s="202"/>
      <c r="FBW131" s="202"/>
      <c r="FBX131" s="202"/>
      <c r="FBY131" s="202"/>
      <c r="FBZ131" s="203"/>
      <c r="FCA131" s="204"/>
      <c r="FCB131" s="204"/>
      <c r="FCC131" s="204"/>
      <c r="FCD131" s="205"/>
      <c r="FCE131" s="206"/>
      <c r="FCF131" s="207"/>
      <c r="FCG131" s="207"/>
      <c r="FCH131" s="208"/>
      <c r="FCI131" s="209"/>
      <c r="FCJ131" s="207"/>
      <c r="FCK131" s="210"/>
      <c r="FCL131" s="209"/>
      <c r="FCM131" s="204"/>
      <c r="FCN131" s="204"/>
      <c r="FCO131" s="204"/>
      <c r="FCP131" s="199"/>
      <c r="FCQ131" s="167"/>
      <c r="FCR131" s="199"/>
      <c r="FCS131" s="200"/>
      <c r="FCT131" s="201"/>
      <c r="FCU131" s="202"/>
      <c r="FCV131" s="202"/>
      <c r="FCW131" s="202"/>
      <c r="FCX131" s="202"/>
      <c r="FCY131" s="203"/>
      <c r="FCZ131" s="204"/>
      <c r="FDA131" s="204"/>
      <c r="FDB131" s="204"/>
      <c r="FDC131" s="205"/>
      <c r="FDD131" s="206"/>
      <c r="FDE131" s="207"/>
      <c r="FDF131" s="207"/>
      <c r="FDG131" s="208"/>
      <c r="FDH131" s="209"/>
      <c r="FDI131" s="207"/>
      <c r="FDJ131" s="210"/>
      <c r="FDK131" s="209"/>
      <c r="FDL131" s="204"/>
      <c r="FDM131" s="204"/>
      <c r="FDN131" s="204"/>
      <c r="FDO131" s="199"/>
      <c r="FDP131" s="167"/>
      <c r="FDQ131" s="199"/>
      <c r="FDR131" s="200"/>
      <c r="FDS131" s="201"/>
      <c r="FDT131" s="202"/>
      <c r="FDU131" s="202"/>
      <c r="FDV131" s="202"/>
      <c r="FDW131" s="202"/>
      <c r="FDX131" s="203"/>
      <c r="FDY131" s="204"/>
      <c r="FDZ131" s="204"/>
      <c r="FEA131" s="204"/>
      <c r="FEB131" s="205"/>
      <c r="FEC131" s="206"/>
      <c r="FED131" s="207"/>
      <c r="FEE131" s="207"/>
      <c r="FEF131" s="208"/>
      <c r="FEG131" s="209"/>
      <c r="FEH131" s="207"/>
      <c r="FEI131" s="210"/>
      <c r="FEJ131" s="209"/>
      <c r="FEK131" s="204"/>
      <c r="FEL131" s="204"/>
      <c r="FEM131" s="204"/>
      <c r="FEN131" s="199"/>
      <c r="FEO131" s="167"/>
      <c r="FEP131" s="199"/>
      <c r="FEQ131" s="200"/>
      <c r="FER131" s="201"/>
      <c r="FES131" s="202"/>
      <c r="FET131" s="202"/>
      <c r="FEU131" s="202"/>
      <c r="FEV131" s="202"/>
      <c r="FEW131" s="203"/>
      <c r="FEX131" s="204"/>
      <c r="FEY131" s="204"/>
      <c r="FEZ131" s="204"/>
      <c r="FFA131" s="205"/>
      <c r="FFB131" s="206"/>
      <c r="FFC131" s="207"/>
      <c r="FFD131" s="207"/>
      <c r="FFE131" s="208"/>
      <c r="FFF131" s="209"/>
      <c r="FFG131" s="207"/>
      <c r="FFH131" s="210"/>
      <c r="FFI131" s="209"/>
      <c r="FFJ131" s="204"/>
      <c r="FFK131" s="204"/>
      <c r="FFL131" s="204"/>
      <c r="FFM131" s="199"/>
      <c r="FFN131" s="167"/>
      <c r="FFO131" s="199"/>
      <c r="FFP131" s="200"/>
      <c r="FFQ131" s="201"/>
      <c r="FFR131" s="202"/>
      <c r="FFS131" s="202"/>
      <c r="FFT131" s="202"/>
      <c r="FFU131" s="202"/>
      <c r="FFV131" s="203"/>
      <c r="FFW131" s="204"/>
      <c r="FFX131" s="204"/>
      <c r="FFY131" s="204"/>
      <c r="FFZ131" s="205"/>
      <c r="FGA131" s="206"/>
      <c r="FGB131" s="207"/>
      <c r="FGC131" s="207"/>
      <c r="FGD131" s="208"/>
      <c r="FGE131" s="209"/>
      <c r="FGF131" s="207"/>
      <c r="FGG131" s="210"/>
      <c r="FGH131" s="209"/>
      <c r="FGI131" s="204"/>
      <c r="FGJ131" s="204"/>
      <c r="FGK131" s="204"/>
      <c r="FGL131" s="199"/>
      <c r="FGM131" s="167"/>
      <c r="FGN131" s="199"/>
      <c r="FGO131" s="200"/>
      <c r="FGP131" s="201"/>
      <c r="FGQ131" s="202"/>
      <c r="FGR131" s="202"/>
      <c r="FGS131" s="202"/>
      <c r="FGT131" s="202"/>
      <c r="FGU131" s="203"/>
      <c r="FGV131" s="204"/>
      <c r="FGW131" s="204"/>
      <c r="FGX131" s="204"/>
      <c r="FGY131" s="205"/>
      <c r="FGZ131" s="206"/>
      <c r="FHA131" s="207"/>
      <c r="FHB131" s="207"/>
      <c r="FHC131" s="208"/>
      <c r="FHD131" s="209"/>
      <c r="FHE131" s="207"/>
      <c r="FHF131" s="210"/>
      <c r="FHG131" s="209"/>
      <c r="FHH131" s="204"/>
      <c r="FHI131" s="204"/>
      <c r="FHJ131" s="204"/>
      <c r="FHK131" s="199"/>
      <c r="FHL131" s="167"/>
      <c r="FHM131" s="199"/>
      <c r="FHN131" s="200"/>
      <c r="FHO131" s="201"/>
      <c r="FHP131" s="202"/>
      <c r="FHQ131" s="202"/>
      <c r="FHR131" s="202"/>
      <c r="FHS131" s="202"/>
      <c r="FHT131" s="203"/>
      <c r="FHU131" s="204"/>
      <c r="FHV131" s="204"/>
      <c r="FHW131" s="204"/>
      <c r="FHX131" s="205"/>
      <c r="FHY131" s="206"/>
      <c r="FHZ131" s="207"/>
      <c r="FIA131" s="207"/>
      <c r="FIB131" s="208"/>
      <c r="FIC131" s="209"/>
      <c r="FID131" s="207"/>
      <c r="FIE131" s="210"/>
      <c r="FIF131" s="209"/>
      <c r="FIG131" s="204"/>
      <c r="FIH131" s="204"/>
      <c r="FII131" s="204"/>
      <c r="FIJ131" s="199"/>
      <c r="FIK131" s="167"/>
      <c r="FIL131" s="199"/>
      <c r="FIM131" s="200"/>
      <c r="FIN131" s="201"/>
      <c r="FIO131" s="202"/>
      <c r="FIP131" s="202"/>
      <c r="FIQ131" s="202"/>
      <c r="FIR131" s="202"/>
      <c r="FIS131" s="203"/>
      <c r="FIT131" s="204"/>
      <c r="FIU131" s="204"/>
      <c r="FIV131" s="204"/>
      <c r="FIW131" s="205"/>
      <c r="FIX131" s="206"/>
      <c r="FIY131" s="207"/>
      <c r="FIZ131" s="207"/>
      <c r="FJA131" s="208"/>
      <c r="FJB131" s="209"/>
      <c r="FJC131" s="207"/>
      <c r="FJD131" s="210"/>
      <c r="FJE131" s="209"/>
      <c r="FJF131" s="204"/>
      <c r="FJG131" s="204"/>
      <c r="FJH131" s="204"/>
      <c r="FJI131" s="199"/>
      <c r="FJJ131" s="167"/>
      <c r="FJK131" s="199"/>
      <c r="FJL131" s="200"/>
      <c r="FJM131" s="201"/>
      <c r="FJN131" s="202"/>
      <c r="FJO131" s="202"/>
      <c r="FJP131" s="202"/>
      <c r="FJQ131" s="202"/>
      <c r="FJR131" s="203"/>
      <c r="FJS131" s="204"/>
      <c r="FJT131" s="204"/>
      <c r="FJU131" s="204"/>
      <c r="FJV131" s="205"/>
      <c r="FJW131" s="206"/>
      <c r="FJX131" s="207"/>
      <c r="FJY131" s="207"/>
      <c r="FJZ131" s="208"/>
      <c r="FKA131" s="209"/>
      <c r="FKB131" s="207"/>
      <c r="FKC131" s="210"/>
      <c r="FKD131" s="209"/>
      <c r="FKE131" s="204"/>
      <c r="FKF131" s="204"/>
      <c r="FKG131" s="204"/>
      <c r="FKH131" s="199"/>
      <c r="FKI131" s="167"/>
      <c r="FKJ131" s="199"/>
      <c r="FKK131" s="200"/>
      <c r="FKL131" s="201"/>
      <c r="FKM131" s="202"/>
      <c r="FKN131" s="202"/>
      <c r="FKO131" s="202"/>
      <c r="FKP131" s="202"/>
      <c r="FKQ131" s="203"/>
      <c r="FKR131" s="204"/>
      <c r="FKS131" s="204"/>
      <c r="FKT131" s="204"/>
      <c r="FKU131" s="205"/>
      <c r="FKV131" s="206"/>
      <c r="FKW131" s="207"/>
      <c r="FKX131" s="207"/>
      <c r="FKY131" s="208"/>
      <c r="FKZ131" s="209"/>
      <c r="FLA131" s="207"/>
      <c r="FLB131" s="210"/>
      <c r="FLC131" s="209"/>
      <c r="FLD131" s="204"/>
      <c r="FLE131" s="204"/>
      <c r="FLF131" s="204"/>
      <c r="FLG131" s="199"/>
      <c r="FLH131" s="167"/>
      <c r="FLI131" s="199"/>
      <c r="FLJ131" s="200"/>
      <c r="FLK131" s="201"/>
      <c r="FLL131" s="202"/>
      <c r="FLM131" s="202"/>
      <c r="FLN131" s="202"/>
      <c r="FLO131" s="202"/>
      <c r="FLP131" s="203"/>
      <c r="FLQ131" s="204"/>
      <c r="FLR131" s="204"/>
      <c r="FLS131" s="204"/>
      <c r="FLT131" s="205"/>
      <c r="FLU131" s="206"/>
      <c r="FLV131" s="207"/>
      <c r="FLW131" s="207"/>
      <c r="FLX131" s="208"/>
      <c r="FLY131" s="209"/>
      <c r="FLZ131" s="207"/>
      <c r="FMA131" s="210"/>
      <c r="FMB131" s="209"/>
      <c r="FMC131" s="204"/>
      <c r="FMD131" s="204"/>
      <c r="FME131" s="204"/>
      <c r="FMF131" s="199"/>
      <c r="FMG131" s="167"/>
      <c r="FMH131" s="199"/>
      <c r="FMI131" s="200"/>
      <c r="FMJ131" s="201"/>
      <c r="FMK131" s="202"/>
      <c r="FML131" s="202"/>
      <c r="FMM131" s="202"/>
      <c r="FMN131" s="202"/>
      <c r="FMO131" s="203"/>
      <c r="FMP131" s="204"/>
      <c r="FMQ131" s="204"/>
      <c r="FMR131" s="204"/>
      <c r="FMS131" s="205"/>
      <c r="FMT131" s="206"/>
      <c r="FMU131" s="207"/>
      <c r="FMV131" s="207"/>
      <c r="FMW131" s="208"/>
      <c r="FMX131" s="209"/>
      <c r="FMY131" s="207"/>
      <c r="FMZ131" s="210"/>
      <c r="FNA131" s="209"/>
      <c r="FNB131" s="204"/>
      <c r="FNC131" s="204"/>
      <c r="FND131" s="204"/>
      <c r="FNE131" s="199"/>
      <c r="FNF131" s="167"/>
      <c r="FNG131" s="199"/>
      <c r="FNH131" s="200"/>
      <c r="FNI131" s="201"/>
      <c r="FNJ131" s="202"/>
      <c r="FNK131" s="202"/>
      <c r="FNL131" s="202"/>
      <c r="FNM131" s="202"/>
      <c r="FNN131" s="203"/>
      <c r="FNO131" s="204"/>
      <c r="FNP131" s="204"/>
      <c r="FNQ131" s="204"/>
      <c r="FNR131" s="205"/>
      <c r="FNS131" s="206"/>
      <c r="FNT131" s="207"/>
      <c r="FNU131" s="207"/>
      <c r="FNV131" s="208"/>
      <c r="FNW131" s="209"/>
      <c r="FNX131" s="207"/>
      <c r="FNY131" s="210"/>
      <c r="FNZ131" s="209"/>
      <c r="FOA131" s="204"/>
      <c r="FOB131" s="204"/>
      <c r="FOC131" s="204"/>
      <c r="FOD131" s="199"/>
      <c r="FOE131" s="167"/>
      <c r="FOF131" s="199"/>
      <c r="FOG131" s="200"/>
      <c r="FOH131" s="201"/>
      <c r="FOI131" s="202"/>
      <c r="FOJ131" s="202"/>
      <c r="FOK131" s="202"/>
      <c r="FOL131" s="202"/>
      <c r="FOM131" s="203"/>
      <c r="FON131" s="204"/>
      <c r="FOO131" s="204"/>
      <c r="FOP131" s="204"/>
      <c r="FOQ131" s="205"/>
      <c r="FOR131" s="206"/>
      <c r="FOS131" s="207"/>
      <c r="FOT131" s="207"/>
      <c r="FOU131" s="208"/>
      <c r="FOV131" s="209"/>
      <c r="FOW131" s="207"/>
      <c r="FOX131" s="210"/>
      <c r="FOY131" s="209"/>
      <c r="FOZ131" s="204"/>
      <c r="FPA131" s="204"/>
      <c r="FPB131" s="204"/>
      <c r="FPC131" s="199"/>
      <c r="FPD131" s="167"/>
      <c r="FPE131" s="199"/>
      <c r="FPF131" s="200"/>
      <c r="FPG131" s="201"/>
      <c r="FPH131" s="202"/>
      <c r="FPI131" s="202"/>
      <c r="FPJ131" s="202"/>
      <c r="FPK131" s="202"/>
      <c r="FPL131" s="203"/>
      <c r="FPM131" s="204"/>
      <c r="FPN131" s="204"/>
      <c r="FPO131" s="204"/>
      <c r="FPP131" s="205"/>
      <c r="FPQ131" s="206"/>
      <c r="FPR131" s="207"/>
      <c r="FPS131" s="207"/>
      <c r="FPT131" s="208"/>
      <c r="FPU131" s="209"/>
      <c r="FPV131" s="207"/>
      <c r="FPW131" s="210"/>
      <c r="FPX131" s="209"/>
      <c r="FPY131" s="204"/>
      <c r="FPZ131" s="204"/>
      <c r="FQA131" s="204"/>
      <c r="FQB131" s="199"/>
      <c r="FQC131" s="167"/>
      <c r="FQD131" s="199"/>
      <c r="FQE131" s="200"/>
      <c r="FQF131" s="201"/>
      <c r="FQG131" s="202"/>
      <c r="FQH131" s="202"/>
      <c r="FQI131" s="202"/>
      <c r="FQJ131" s="202"/>
      <c r="FQK131" s="203"/>
      <c r="FQL131" s="204"/>
      <c r="FQM131" s="204"/>
      <c r="FQN131" s="204"/>
      <c r="FQO131" s="205"/>
      <c r="FQP131" s="206"/>
      <c r="FQQ131" s="207"/>
      <c r="FQR131" s="207"/>
      <c r="FQS131" s="208"/>
      <c r="FQT131" s="209"/>
      <c r="FQU131" s="207"/>
      <c r="FQV131" s="210"/>
      <c r="FQW131" s="209"/>
      <c r="FQX131" s="204"/>
      <c r="FQY131" s="204"/>
      <c r="FQZ131" s="204"/>
      <c r="FRA131" s="199"/>
      <c r="FRB131" s="167"/>
      <c r="FRC131" s="199"/>
      <c r="FRD131" s="200"/>
      <c r="FRE131" s="201"/>
      <c r="FRF131" s="202"/>
      <c r="FRG131" s="202"/>
      <c r="FRH131" s="202"/>
      <c r="FRI131" s="202"/>
      <c r="FRJ131" s="203"/>
      <c r="FRK131" s="204"/>
      <c r="FRL131" s="204"/>
      <c r="FRM131" s="204"/>
      <c r="FRN131" s="205"/>
      <c r="FRO131" s="206"/>
      <c r="FRP131" s="207"/>
      <c r="FRQ131" s="207"/>
      <c r="FRR131" s="208"/>
      <c r="FRS131" s="209"/>
      <c r="FRT131" s="207"/>
      <c r="FRU131" s="210"/>
      <c r="FRV131" s="209"/>
      <c r="FRW131" s="204"/>
      <c r="FRX131" s="204"/>
      <c r="FRY131" s="204"/>
      <c r="FRZ131" s="199"/>
      <c r="FSA131" s="167"/>
      <c r="FSB131" s="199"/>
      <c r="FSC131" s="200"/>
      <c r="FSD131" s="201"/>
      <c r="FSE131" s="202"/>
      <c r="FSF131" s="202"/>
      <c r="FSG131" s="202"/>
      <c r="FSH131" s="202"/>
      <c r="FSI131" s="203"/>
      <c r="FSJ131" s="204"/>
      <c r="FSK131" s="204"/>
      <c r="FSL131" s="204"/>
      <c r="FSM131" s="205"/>
      <c r="FSN131" s="206"/>
      <c r="FSO131" s="207"/>
      <c r="FSP131" s="207"/>
      <c r="FSQ131" s="208"/>
      <c r="FSR131" s="209"/>
      <c r="FSS131" s="207"/>
      <c r="FST131" s="210"/>
      <c r="FSU131" s="209"/>
      <c r="FSV131" s="204"/>
      <c r="FSW131" s="204"/>
      <c r="FSX131" s="204"/>
      <c r="FSY131" s="199"/>
      <c r="FSZ131" s="167"/>
      <c r="FTA131" s="199"/>
      <c r="FTB131" s="200"/>
      <c r="FTC131" s="201"/>
      <c r="FTD131" s="202"/>
      <c r="FTE131" s="202"/>
      <c r="FTF131" s="202"/>
      <c r="FTG131" s="202"/>
      <c r="FTH131" s="203"/>
      <c r="FTI131" s="204"/>
      <c r="FTJ131" s="204"/>
      <c r="FTK131" s="204"/>
      <c r="FTL131" s="205"/>
      <c r="FTM131" s="206"/>
      <c r="FTN131" s="207"/>
      <c r="FTO131" s="207"/>
      <c r="FTP131" s="208"/>
      <c r="FTQ131" s="209"/>
      <c r="FTR131" s="207"/>
      <c r="FTS131" s="210"/>
      <c r="FTT131" s="209"/>
      <c r="FTU131" s="204"/>
      <c r="FTV131" s="204"/>
      <c r="FTW131" s="204"/>
      <c r="FTX131" s="199"/>
      <c r="FTY131" s="167"/>
      <c r="FTZ131" s="199"/>
      <c r="FUA131" s="200"/>
      <c r="FUB131" s="201"/>
      <c r="FUC131" s="202"/>
      <c r="FUD131" s="202"/>
      <c r="FUE131" s="202"/>
      <c r="FUF131" s="202"/>
      <c r="FUG131" s="203"/>
      <c r="FUH131" s="204"/>
      <c r="FUI131" s="204"/>
      <c r="FUJ131" s="204"/>
      <c r="FUK131" s="205"/>
      <c r="FUL131" s="206"/>
      <c r="FUM131" s="207"/>
      <c r="FUN131" s="207"/>
      <c r="FUO131" s="208"/>
      <c r="FUP131" s="209"/>
      <c r="FUQ131" s="207"/>
      <c r="FUR131" s="210"/>
      <c r="FUS131" s="209"/>
      <c r="FUT131" s="204"/>
      <c r="FUU131" s="204"/>
      <c r="FUV131" s="204"/>
      <c r="FUW131" s="199"/>
      <c r="FUX131" s="167"/>
      <c r="FUY131" s="199"/>
      <c r="FUZ131" s="200"/>
      <c r="FVA131" s="201"/>
      <c r="FVB131" s="202"/>
      <c r="FVC131" s="202"/>
      <c r="FVD131" s="202"/>
      <c r="FVE131" s="202"/>
      <c r="FVF131" s="203"/>
      <c r="FVG131" s="204"/>
      <c r="FVH131" s="204"/>
      <c r="FVI131" s="204"/>
      <c r="FVJ131" s="205"/>
      <c r="FVK131" s="206"/>
      <c r="FVL131" s="207"/>
      <c r="FVM131" s="207"/>
      <c r="FVN131" s="208"/>
      <c r="FVO131" s="209"/>
      <c r="FVP131" s="207"/>
      <c r="FVQ131" s="210"/>
      <c r="FVR131" s="209"/>
      <c r="FVS131" s="204"/>
      <c r="FVT131" s="204"/>
      <c r="FVU131" s="204"/>
      <c r="FVV131" s="199"/>
      <c r="FVW131" s="167"/>
      <c r="FVX131" s="199"/>
      <c r="FVY131" s="200"/>
      <c r="FVZ131" s="201"/>
      <c r="FWA131" s="202"/>
      <c r="FWB131" s="202"/>
      <c r="FWC131" s="202"/>
      <c r="FWD131" s="202"/>
      <c r="FWE131" s="203"/>
      <c r="FWF131" s="204"/>
      <c r="FWG131" s="204"/>
      <c r="FWH131" s="204"/>
      <c r="FWI131" s="205"/>
      <c r="FWJ131" s="206"/>
      <c r="FWK131" s="207"/>
      <c r="FWL131" s="207"/>
      <c r="FWM131" s="208"/>
      <c r="FWN131" s="209"/>
      <c r="FWO131" s="207"/>
      <c r="FWP131" s="210"/>
      <c r="FWQ131" s="209"/>
      <c r="FWR131" s="204"/>
      <c r="FWS131" s="204"/>
      <c r="FWT131" s="204"/>
      <c r="FWU131" s="199"/>
      <c r="FWV131" s="167"/>
      <c r="FWW131" s="199"/>
      <c r="FWX131" s="200"/>
      <c r="FWY131" s="201"/>
      <c r="FWZ131" s="202"/>
      <c r="FXA131" s="202"/>
      <c r="FXB131" s="202"/>
      <c r="FXC131" s="202"/>
      <c r="FXD131" s="203"/>
      <c r="FXE131" s="204"/>
      <c r="FXF131" s="204"/>
      <c r="FXG131" s="204"/>
      <c r="FXH131" s="205"/>
      <c r="FXI131" s="206"/>
      <c r="FXJ131" s="207"/>
      <c r="FXK131" s="207"/>
      <c r="FXL131" s="208"/>
      <c r="FXM131" s="209"/>
      <c r="FXN131" s="207"/>
      <c r="FXO131" s="210"/>
      <c r="FXP131" s="209"/>
      <c r="FXQ131" s="204"/>
      <c r="FXR131" s="204"/>
      <c r="FXS131" s="204"/>
      <c r="FXT131" s="199"/>
      <c r="FXU131" s="167"/>
      <c r="FXV131" s="199"/>
      <c r="FXW131" s="200"/>
      <c r="FXX131" s="201"/>
      <c r="FXY131" s="202"/>
      <c r="FXZ131" s="202"/>
      <c r="FYA131" s="202"/>
      <c r="FYB131" s="202"/>
      <c r="FYC131" s="203"/>
      <c r="FYD131" s="204"/>
      <c r="FYE131" s="204"/>
      <c r="FYF131" s="204"/>
      <c r="FYG131" s="205"/>
      <c r="FYH131" s="206"/>
      <c r="FYI131" s="207"/>
      <c r="FYJ131" s="207"/>
      <c r="FYK131" s="208"/>
      <c r="FYL131" s="209"/>
      <c r="FYM131" s="207"/>
      <c r="FYN131" s="210"/>
      <c r="FYO131" s="209"/>
      <c r="FYP131" s="204"/>
      <c r="FYQ131" s="204"/>
      <c r="FYR131" s="204"/>
      <c r="FYS131" s="199"/>
      <c r="FYT131" s="167"/>
      <c r="FYU131" s="199"/>
      <c r="FYV131" s="200"/>
      <c r="FYW131" s="201"/>
      <c r="FYX131" s="202"/>
      <c r="FYY131" s="202"/>
      <c r="FYZ131" s="202"/>
      <c r="FZA131" s="202"/>
      <c r="FZB131" s="203"/>
      <c r="FZC131" s="204"/>
      <c r="FZD131" s="204"/>
      <c r="FZE131" s="204"/>
      <c r="FZF131" s="205"/>
      <c r="FZG131" s="206"/>
      <c r="FZH131" s="207"/>
      <c r="FZI131" s="207"/>
      <c r="FZJ131" s="208"/>
      <c r="FZK131" s="209"/>
      <c r="FZL131" s="207"/>
      <c r="FZM131" s="210"/>
      <c r="FZN131" s="209"/>
      <c r="FZO131" s="204"/>
      <c r="FZP131" s="204"/>
      <c r="FZQ131" s="204"/>
      <c r="FZR131" s="199"/>
      <c r="FZS131" s="167"/>
      <c r="FZT131" s="199"/>
      <c r="FZU131" s="200"/>
      <c r="FZV131" s="201"/>
      <c r="FZW131" s="202"/>
      <c r="FZX131" s="202"/>
      <c r="FZY131" s="202"/>
      <c r="FZZ131" s="202"/>
      <c r="GAA131" s="203"/>
      <c r="GAB131" s="204"/>
      <c r="GAC131" s="204"/>
      <c r="GAD131" s="204"/>
      <c r="GAE131" s="205"/>
      <c r="GAF131" s="206"/>
      <c r="GAG131" s="207"/>
      <c r="GAH131" s="207"/>
      <c r="GAI131" s="208"/>
      <c r="GAJ131" s="209"/>
      <c r="GAK131" s="207"/>
      <c r="GAL131" s="210"/>
      <c r="GAM131" s="209"/>
      <c r="GAN131" s="204"/>
      <c r="GAO131" s="204"/>
      <c r="GAP131" s="204"/>
      <c r="GAQ131" s="199"/>
      <c r="GAR131" s="167"/>
      <c r="GAS131" s="199"/>
      <c r="GAT131" s="200"/>
      <c r="GAU131" s="201"/>
      <c r="GAV131" s="202"/>
      <c r="GAW131" s="202"/>
      <c r="GAX131" s="202"/>
      <c r="GAY131" s="202"/>
      <c r="GAZ131" s="203"/>
      <c r="GBA131" s="204"/>
      <c r="GBB131" s="204"/>
      <c r="GBC131" s="204"/>
      <c r="GBD131" s="205"/>
      <c r="GBE131" s="206"/>
      <c r="GBF131" s="207"/>
      <c r="GBG131" s="207"/>
      <c r="GBH131" s="208"/>
      <c r="GBI131" s="209"/>
      <c r="GBJ131" s="207"/>
      <c r="GBK131" s="210"/>
      <c r="GBL131" s="209"/>
      <c r="GBM131" s="204"/>
      <c r="GBN131" s="204"/>
      <c r="GBO131" s="204"/>
      <c r="GBP131" s="199"/>
      <c r="GBQ131" s="167"/>
      <c r="GBR131" s="199"/>
      <c r="GBS131" s="200"/>
      <c r="GBT131" s="201"/>
      <c r="GBU131" s="202"/>
      <c r="GBV131" s="202"/>
      <c r="GBW131" s="202"/>
      <c r="GBX131" s="202"/>
      <c r="GBY131" s="203"/>
      <c r="GBZ131" s="204"/>
      <c r="GCA131" s="204"/>
      <c r="GCB131" s="204"/>
      <c r="GCC131" s="205"/>
      <c r="GCD131" s="206"/>
      <c r="GCE131" s="207"/>
      <c r="GCF131" s="207"/>
      <c r="GCG131" s="208"/>
      <c r="GCH131" s="209"/>
      <c r="GCI131" s="207"/>
      <c r="GCJ131" s="210"/>
      <c r="GCK131" s="209"/>
      <c r="GCL131" s="204"/>
      <c r="GCM131" s="204"/>
      <c r="GCN131" s="204"/>
      <c r="GCO131" s="199"/>
      <c r="GCP131" s="167"/>
      <c r="GCQ131" s="199"/>
      <c r="GCR131" s="200"/>
      <c r="GCS131" s="201"/>
      <c r="GCT131" s="202"/>
      <c r="GCU131" s="202"/>
      <c r="GCV131" s="202"/>
      <c r="GCW131" s="202"/>
      <c r="GCX131" s="203"/>
      <c r="GCY131" s="204"/>
      <c r="GCZ131" s="204"/>
      <c r="GDA131" s="204"/>
      <c r="GDB131" s="205"/>
      <c r="GDC131" s="206"/>
      <c r="GDD131" s="207"/>
      <c r="GDE131" s="207"/>
      <c r="GDF131" s="208"/>
      <c r="GDG131" s="209"/>
      <c r="GDH131" s="207"/>
      <c r="GDI131" s="210"/>
      <c r="GDJ131" s="209"/>
      <c r="GDK131" s="204"/>
      <c r="GDL131" s="204"/>
      <c r="GDM131" s="204"/>
      <c r="GDN131" s="199"/>
      <c r="GDO131" s="167"/>
      <c r="GDP131" s="199"/>
      <c r="GDQ131" s="200"/>
      <c r="GDR131" s="201"/>
      <c r="GDS131" s="202"/>
      <c r="GDT131" s="202"/>
      <c r="GDU131" s="202"/>
      <c r="GDV131" s="202"/>
      <c r="GDW131" s="203"/>
      <c r="GDX131" s="204"/>
      <c r="GDY131" s="204"/>
      <c r="GDZ131" s="204"/>
      <c r="GEA131" s="205"/>
      <c r="GEB131" s="206"/>
      <c r="GEC131" s="207"/>
      <c r="GED131" s="207"/>
      <c r="GEE131" s="208"/>
      <c r="GEF131" s="209"/>
      <c r="GEG131" s="207"/>
      <c r="GEH131" s="210"/>
      <c r="GEI131" s="209"/>
      <c r="GEJ131" s="204"/>
      <c r="GEK131" s="204"/>
      <c r="GEL131" s="204"/>
      <c r="GEM131" s="199"/>
      <c r="GEN131" s="167"/>
      <c r="GEO131" s="199"/>
      <c r="GEP131" s="200"/>
      <c r="GEQ131" s="201"/>
      <c r="GER131" s="202"/>
      <c r="GES131" s="202"/>
      <c r="GET131" s="202"/>
      <c r="GEU131" s="202"/>
      <c r="GEV131" s="203"/>
      <c r="GEW131" s="204"/>
      <c r="GEX131" s="204"/>
      <c r="GEY131" s="204"/>
      <c r="GEZ131" s="205"/>
      <c r="GFA131" s="206"/>
      <c r="GFB131" s="207"/>
      <c r="GFC131" s="207"/>
      <c r="GFD131" s="208"/>
      <c r="GFE131" s="209"/>
      <c r="GFF131" s="207"/>
      <c r="GFG131" s="210"/>
      <c r="GFH131" s="209"/>
      <c r="GFI131" s="204"/>
      <c r="GFJ131" s="204"/>
      <c r="GFK131" s="204"/>
      <c r="GFL131" s="199"/>
      <c r="GFM131" s="167"/>
      <c r="GFN131" s="199"/>
      <c r="GFO131" s="200"/>
      <c r="GFP131" s="201"/>
      <c r="GFQ131" s="202"/>
      <c r="GFR131" s="202"/>
      <c r="GFS131" s="202"/>
      <c r="GFT131" s="202"/>
      <c r="GFU131" s="203"/>
      <c r="GFV131" s="204"/>
      <c r="GFW131" s="204"/>
      <c r="GFX131" s="204"/>
      <c r="GFY131" s="205"/>
      <c r="GFZ131" s="206"/>
      <c r="GGA131" s="207"/>
      <c r="GGB131" s="207"/>
      <c r="GGC131" s="208"/>
      <c r="GGD131" s="209"/>
      <c r="GGE131" s="207"/>
      <c r="GGF131" s="210"/>
      <c r="GGG131" s="209"/>
      <c r="GGH131" s="204"/>
      <c r="GGI131" s="204"/>
      <c r="GGJ131" s="204"/>
      <c r="GGK131" s="199"/>
      <c r="GGL131" s="167"/>
      <c r="GGM131" s="199"/>
      <c r="GGN131" s="200"/>
      <c r="GGO131" s="201"/>
      <c r="GGP131" s="202"/>
      <c r="GGQ131" s="202"/>
      <c r="GGR131" s="202"/>
      <c r="GGS131" s="202"/>
      <c r="GGT131" s="203"/>
      <c r="GGU131" s="204"/>
      <c r="GGV131" s="204"/>
      <c r="GGW131" s="204"/>
      <c r="GGX131" s="205"/>
      <c r="GGY131" s="206"/>
      <c r="GGZ131" s="207"/>
      <c r="GHA131" s="207"/>
      <c r="GHB131" s="208"/>
      <c r="GHC131" s="209"/>
      <c r="GHD131" s="207"/>
      <c r="GHE131" s="210"/>
      <c r="GHF131" s="209"/>
      <c r="GHG131" s="204"/>
      <c r="GHH131" s="204"/>
      <c r="GHI131" s="204"/>
      <c r="GHJ131" s="199"/>
      <c r="GHK131" s="167"/>
      <c r="GHL131" s="199"/>
      <c r="GHM131" s="200"/>
      <c r="GHN131" s="201"/>
      <c r="GHO131" s="202"/>
      <c r="GHP131" s="202"/>
      <c r="GHQ131" s="202"/>
      <c r="GHR131" s="202"/>
      <c r="GHS131" s="203"/>
      <c r="GHT131" s="204"/>
      <c r="GHU131" s="204"/>
      <c r="GHV131" s="204"/>
      <c r="GHW131" s="205"/>
      <c r="GHX131" s="206"/>
      <c r="GHY131" s="207"/>
      <c r="GHZ131" s="207"/>
      <c r="GIA131" s="208"/>
      <c r="GIB131" s="209"/>
      <c r="GIC131" s="207"/>
      <c r="GID131" s="210"/>
      <c r="GIE131" s="209"/>
      <c r="GIF131" s="204"/>
      <c r="GIG131" s="204"/>
      <c r="GIH131" s="204"/>
      <c r="GII131" s="199"/>
      <c r="GIJ131" s="167"/>
      <c r="GIK131" s="199"/>
      <c r="GIL131" s="200"/>
      <c r="GIM131" s="201"/>
      <c r="GIN131" s="202"/>
      <c r="GIO131" s="202"/>
      <c r="GIP131" s="202"/>
      <c r="GIQ131" s="202"/>
      <c r="GIR131" s="203"/>
      <c r="GIS131" s="204"/>
      <c r="GIT131" s="204"/>
      <c r="GIU131" s="204"/>
      <c r="GIV131" s="205"/>
      <c r="GIW131" s="206"/>
      <c r="GIX131" s="207"/>
      <c r="GIY131" s="207"/>
      <c r="GIZ131" s="208"/>
      <c r="GJA131" s="209"/>
      <c r="GJB131" s="207"/>
      <c r="GJC131" s="210"/>
      <c r="GJD131" s="209"/>
      <c r="GJE131" s="204"/>
      <c r="GJF131" s="204"/>
      <c r="GJG131" s="204"/>
      <c r="GJH131" s="199"/>
      <c r="GJI131" s="167"/>
      <c r="GJJ131" s="199"/>
      <c r="GJK131" s="200"/>
      <c r="GJL131" s="201"/>
      <c r="GJM131" s="202"/>
      <c r="GJN131" s="202"/>
      <c r="GJO131" s="202"/>
      <c r="GJP131" s="202"/>
      <c r="GJQ131" s="203"/>
      <c r="GJR131" s="204"/>
      <c r="GJS131" s="204"/>
      <c r="GJT131" s="204"/>
      <c r="GJU131" s="205"/>
      <c r="GJV131" s="206"/>
      <c r="GJW131" s="207"/>
      <c r="GJX131" s="207"/>
      <c r="GJY131" s="208"/>
      <c r="GJZ131" s="209"/>
      <c r="GKA131" s="207"/>
      <c r="GKB131" s="210"/>
      <c r="GKC131" s="209"/>
      <c r="GKD131" s="204"/>
      <c r="GKE131" s="204"/>
      <c r="GKF131" s="204"/>
      <c r="GKG131" s="199"/>
      <c r="GKH131" s="167"/>
      <c r="GKI131" s="199"/>
      <c r="GKJ131" s="200"/>
      <c r="GKK131" s="201"/>
      <c r="GKL131" s="202"/>
      <c r="GKM131" s="202"/>
      <c r="GKN131" s="202"/>
      <c r="GKO131" s="202"/>
      <c r="GKP131" s="203"/>
      <c r="GKQ131" s="204"/>
      <c r="GKR131" s="204"/>
      <c r="GKS131" s="204"/>
      <c r="GKT131" s="205"/>
      <c r="GKU131" s="206"/>
      <c r="GKV131" s="207"/>
      <c r="GKW131" s="207"/>
      <c r="GKX131" s="208"/>
      <c r="GKY131" s="209"/>
      <c r="GKZ131" s="207"/>
      <c r="GLA131" s="210"/>
      <c r="GLB131" s="209"/>
      <c r="GLC131" s="204"/>
      <c r="GLD131" s="204"/>
      <c r="GLE131" s="204"/>
      <c r="GLF131" s="199"/>
      <c r="GLG131" s="167"/>
      <c r="GLH131" s="199"/>
      <c r="GLI131" s="200"/>
      <c r="GLJ131" s="201"/>
      <c r="GLK131" s="202"/>
      <c r="GLL131" s="202"/>
      <c r="GLM131" s="202"/>
      <c r="GLN131" s="202"/>
      <c r="GLO131" s="203"/>
      <c r="GLP131" s="204"/>
      <c r="GLQ131" s="204"/>
      <c r="GLR131" s="204"/>
      <c r="GLS131" s="205"/>
      <c r="GLT131" s="206"/>
      <c r="GLU131" s="207"/>
      <c r="GLV131" s="207"/>
      <c r="GLW131" s="208"/>
      <c r="GLX131" s="209"/>
      <c r="GLY131" s="207"/>
      <c r="GLZ131" s="210"/>
      <c r="GMA131" s="209"/>
      <c r="GMB131" s="204"/>
      <c r="GMC131" s="204"/>
      <c r="GMD131" s="204"/>
      <c r="GME131" s="199"/>
      <c r="GMF131" s="167"/>
      <c r="GMG131" s="199"/>
      <c r="GMH131" s="200"/>
      <c r="GMI131" s="201"/>
      <c r="GMJ131" s="202"/>
      <c r="GMK131" s="202"/>
      <c r="GML131" s="202"/>
      <c r="GMM131" s="202"/>
      <c r="GMN131" s="203"/>
      <c r="GMO131" s="204"/>
      <c r="GMP131" s="204"/>
      <c r="GMQ131" s="204"/>
      <c r="GMR131" s="205"/>
      <c r="GMS131" s="206"/>
      <c r="GMT131" s="207"/>
      <c r="GMU131" s="207"/>
      <c r="GMV131" s="208"/>
      <c r="GMW131" s="209"/>
      <c r="GMX131" s="207"/>
      <c r="GMY131" s="210"/>
      <c r="GMZ131" s="209"/>
      <c r="GNA131" s="204"/>
      <c r="GNB131" s="204"/>
      <c r="GNC131" s="204"/>
      <c r="GND131" s="199"/>
      <c r="GNE131" s="167"/>
      <c r="GNF131" s="199"/>
      <c r="GNG131" s="200"/>
      <c r="GNH131" s="201"/>
      <c r="GNI131" s="202"/>
      <c r="GNJ131" s="202"/>
      <c r="GNK131" s="202"/>
      <c r="GNL131" s="202"/>
      <c r="GNM131" s="203"/>
      <c r="GNN131" s="204"/>
      <c r="GNO131" s="204"/>
      <c r="GNP131" s="204"/>
      <c r="GNQ131" s="205"/>
      <c r="GNR131" s="206"/>
      <c r="GNS131" s="207"/>
      <c r="GNT131" s="207"/>
      <c r="GNU131" s="208"/>
      <c r="GNV131" s="209"/>
      <c r="GNW131" s="207"/>
      <c r="GNX131" s="210"/>
      <c r="GNY131" s="209"/>
      <c r="GNZ131" s="204"/>
      <c r="GOA131" s="204"/>
      <c r="GOB131" s="204"/>
      <c r="GOC131" s="199"/>
      <c r="GOD131" s="167"/>
      <c r="GOE131" s="199"/>
      <c r="GOF131" s="200"/>
      <c r="GOG131" s="201"/>
      <c r="GOH131" s="202"/>
      <c r="GOI131" s="202"/>
      <c r="GOJ131" s="202"/>
      <c r="GOK131" s="202"/>
      <c r="GOL131" s="203"/>
      <c r="GOM131" s="204"/>
      <c r="GON131" s="204"/>
      <c r="GOO131" s="204"/>
      <c r="GOP131" s="205"/>
      <c r="GOQ131" s="206"/>
      <c r="GOR131" s="207"/>
      <c r="GOS131" s="207"/>
      <c r="GOT131" s="208"/>
      <c r="GOU131" s="209"/>
      <c r="GOV131" s="207"/>
      <c r="GOW131" s="210"/>
      <c r="GOX131" s="209"/>
      <c r="GOY131" s="204"/>
      <c r="GOZ131" s="204"/>
      <c r="GPA131" s="204"/>
      <c r="GPB131" s="199"/>
      <c r="GPC131" s="167"/>
      <c r="GPD131" s="199"/>
      <c r="GPE131" s="200"/>
      <c r="GPF131" s="201"/>
      <c r="GPG131" s="202"/>
      <c r="GPH131" s="202"/>
      <c r="GPI131" s="202"/>
      <c r="GPJ131" s="202"/>
      <c r="GPK131" s="203"/>
      <c r="GPL131" s="204"/>
      <c r="GPM131" s="204"/>
      <c r="GPN131" s="204"/>
      <c r="GPO131" s="205"/>
      <c r="GPP131" s="206"/>
      <c r="GPQ131" s="207"/>
      <c r="GPR131" s="207"/>
      <c r="GPS131" s="208"/>
      <c r="GPT131" s="209"/>
      <c r="GPU131" s="207"/>
      <c r="GPV131" s="210"/>
      <c r="GPW131" s="209"/>
      <c r="GPX131" s="204"/>
      <c r="GPY131" s="204"/>
      <c r="GPZ131" s="204"/>
      <c r="GQA131" s="199"/>
      <c r="GQB131" s="167"/>
      <c r="GQC131" s="199"/>
      <c r="GQD131" s="200"/>
      <c r="GQE131" s="201"/>
      <c r="GQF131" s="202"/>
      <c r="GQG131" s="202"/>
      <c r="GQH131" s="202"/>
      <c r="GQI131" s="202"/>
      <c r="GQJ131" s="203"/>
      <c r="GQK131" s="204"/>
      <c r="GQL131" s="204"/>
      <c r="GQM131" s="204"/>
      <c r="GQN131" s="205"/>
      <c r="GQO131" s="206"/>
      <c r="GQP131" s="207"/>
      <c r="GQQ131" s="207"/>
      <c r="GQR131" s="208"/>
      <c r="GQS131" s="209"/>
      <c r="GQT131" s="207"/>
      <c r="GQU131" s="210"/>
      <c r="GQV131" s="209"/>
      <c r="GQW131" s="204"/>
      <c r="GQX131" s="204"/>
      <c r="GQY131" s="204"/>
      <c r="GQZ131" s="199"/>
      <c r="GRA131" s="167"/>
      <c r="GRB131" s="199"/>
      <c r="GRC131" s="200"/>
      <c r="GRD131" s="201"/>
      <c r="GRE131" s="202"/>
      <c r="GRF131" s="202"/>
      <c r="GRG131" s="202"/>
      <c r="GRH131" s="202"/>
      <c r="GRI131" s="203"/>
      <c r="GRJ131" s="204"/>
      <c r="GRK131" s="204"/>
      <c r="GRL131" s="204"/>
      <c r="GRM131" s="205"/>
      <c r="GRN131" s="206"/>
      <c r="GRO131" s="207"/>
      <c r="GRP131" s="207"/>
      <c r="GRQ131" s="208"/>
      <c r="GRR131" s="209"/>
      <c r="GRS131" s="207"/>
      <c r="GRT131" s="210"/>
      <c r="GRU131" s="209"/>
      <c r="GRV131" s="204"/>
      <c r="GRW131" s="204"/>
      <c r="GRX131" s="204"/>
      <c r="GRY131" s="199"/>
      <c r="GRZ131" s="167"/>
      <c r="GSA131" s="199"/>
      <c r="GSB131" s="200"/>
      <c r="GSC131" s="201"/>
      <c r="GSD131" s="202"/>
      <c r="GSE131" s="202"/>
      <c r="GSF131" s="202"/>
      <c r="GSG131" s="202"/>
      <c r="GSH131" s="203"/>
      <c r="GSI131" s="204"/>
      <c r="GSJ131" s="204"/>
      <c r="GSK131" s="204"/>
      <c r="GSL131" s="205"/>
      <c r="GSM131" s="206"/>
      <c r="GSN131" s="207"/>
      <c r="GSO131" s="207"/>
      <c r="GSP131" s="208"/>
      <c r="GSQ131" s="209"/>
      <c r="GSR131" s="207"/>
      <c r="GSS131" s="210"/>
      <c r="GST131" s="209"/>
      <c r="GSU131" s="204"/>
      <c r="GSV131" s="204"/>
      <c r="GSW131" s="204"/>
      <c r="GSX131" s="199"/>
      <c r="GSY131" s="167"/>
      <c r="GSZ131" s="199"/>
      <c r="GTA131" s="200"/>
      <c r="GTB131" s="201"/>
      <c r="GTC131" s="202"/>
      <c r="GTD131" s="202"/>
      <c r="GTE131" s="202"/>
      <c r="GTF131" s="202"/>
      <c r="GTG131" s="203"/>
      <c r="GTH131" s="204"/>
      <c r="GTI131" s="204"/>
      <c r="GTJ131" s="204"/>
      <c r="GTK131" s="205"/>
      <c r="GTL131" s="206"/>
      <c r="GTM131" s="207"/>
      <c r="GTN131" s="207"/>
      <c r="GTO131" s="208"/>
      <c r="GTP131" s="209"/>
      <c r="GTQ131" s="207"/>
      <c r="GTR131" s="210"/>
      <c r="GTS131" s="209"/>
      <c r="GTT131" s="204"/>
      <c r="GTU131" s="204"/>
      <c r="GTV131" s="204"/>
      <c r="GTW131" s="199"/>
      <c r="GTX131" s="167"/>
      <c r="GTY131" s="199"/>
      <c r="GTZ131" s="200"/>
      <c r="GUA131" s="201"/>
      <c r="GUB131" s="202"/>
      <c r="GUC131" s="202"/>
      <c r="GUD131" s="202"/>
      <c r="GUE131" s="202"/>
      <c r="GUF131" s="203"/>
      <c r="GUG131" s="204"/>
      <c r="GUH131" s="204"/>
      <c r="GUI131" s="204"/>
      <c r="GUJ131" s="205"/>
      <c r="GUK131" s="206"/>
      <c r="GUL131" s="207"/>
      <c r="GUM131" s="207"/>
      <c r="GUN131" s="208"/>
      <c r="GUO131" s="209"/>
      <c r="GUP131" s="207"/>
      <c r="GUQ131" s="210"/>
      <c r="GUR131" s="209"/>
      <c r="GUS131" s="204"/>
      <c r="GUT131" s="204"/>
      <c r="GUU131" s="204"/>
      <c r="GUV131" s="199"/>
      <c r="GUW131" s="167"/>
      <c r="GUX131" s="199"/>
      <c r="GUY131" s="200"/>
      <c r="GUZ131" s="201"/>
      <c r="GVA131" s="202"/>
      <c r="GVB131" s="202"/>
      <c r="GVC131" s="202"/>
      <c r="GVD131" s="202"/>
      <c r="GVE131" s="203"/>
      <c r="GVF131" s="204"/>
      <c r="GVG131" s="204"/>
      <c r="GVH131" s="204"/>
      <c r="GVI131" s="205"/>
      <c r="GVJ131" s="206"/>
      <c r="GVK131" s="207"/>
      <c r="GVL131" s="207"/>
      <c r="GVM131" s="208"/>
      <c r="GVN131" s="209"/>
      <c r="GVO131" s="207"/>
      <c r="GVP131" s="210"/>
      <c r="GVQ131" s="209"/>
      <c r="GVR131" s="204"/>
      <c r="GVS131" s="204"/>
      <c r="GVT131" s="204"/>
      <c r="GVU131" s="199"/>
      <c r="GVV131" s="167"/>
      <c r="GVW131" s="199"/>
      <c r="GVX131" s="200"/>
      <c r="GVY131" s="201"/>
      <c r="GVZ131" s="202"/>
      <c r="GWA131" s="202"/>
      <c r="GWB131" s="202"/>
      <c r="GWC131" s="202"/>
      <c r="GWD131" s="203"/>
      <c r="GWE131" s="204"/>
      <c r="GWF131" s="204"/>
      <c r="GWG131" s="204"/>
      <c r="GWH131" s="205"/>
      <c r="GWI131" s="206"/>
      <c r="GWJ131" s="207"/>
      <c r="GWK131" s="207"/>
      <c r="GWL131" s="208"/>
      <c r="GWM131" s="209"/>
      <c r="GWN131" s="207"/>
      <c r="GWO131" s="210"/>
      <c r="GWP131" s="209"/>
      <c r="GWQ131" s="204"/>
      <c r="GWR131" s="204"/>
      <c r="GWS131" s="204"/>
      <c r="GWT131" s="199"/>
      <c r="GWU131" s="167"/>
      <c r="GWV131" s="199"/>
      <c r="GWW131" s="200"/>
      <c r="GWX131" s="201"/>
      <c r="GWY131" s="202"/>
      <c r="GWZ131" s="202"/>
      <c r="GXA131" s="202"/>
      <c r="GXB131" s="202"/>
      <c r="GXC131" s="203"/>
      <c r="GXD131" s="204"/>
      <c r="GXE131" s="204"/>
      <c r="GXF131" s="204"/>
      <c r="GXG131" s="205"/>
      <c r="GXH131" s="206"/>
      <c r="GXI131" s="207"/>
      <c r="GXJ131" s="207"/>
      <c r="GXK131" s="208"/>
      <c r="GXL131" s="209"/>
      <c r="GXM131" s="207"/>
      <c r="GXN131" s="210"/>
      <c r="GXO131" s="209"/>
      <c r="GXP131" s="204"/>
      <c r="GXQ131" s="204"/>
      <c r="GXR131" s="204"/>
      <c r="GXS131" s="199"/>
      <c r="GXT131" s="167"/>
      <c r="GXU131" s="199"/>
      <c r="GXV131" s="200"/>
      <c r="GXW131" s="201"/>
      <c r="GXX131" s="202"/>
      <c r="GXY131" s="202"/>
      <c r="GXZ131" s="202"/>
      <c r="GYA131" s="202"/>
      <c r="GYB131" s="203"/>
      <c r="GYC131" s="204"/>
      <c r="GYD131" s="204"/>
      <c r="GYE131" s="204"/>
      <c r="GYF131" s="205"/>
      <c r="GYG131" s="206"/>
      <c r="GYH131" s="207"/>
      <c r="GYI131" s="207"/>
      <c r="GYJ131" s="208"/>
      <c r="GYK131" s="209"/>
      <c r="GYL131" s="207"/>
      <c r="GYM131" s="210"/>
      <c r="GYN131" s="209"/>
      <c r="GYO131" s="204"/>
      <c r="GYP131" s="204"/>
      <c r="GYQ131" s="204"/>
      <c r="GYR131" s="199"/>
      <c r="GYS131" s="167"/>
      <c r="GYT131" s="199"/>
      <c r="GYU131" s="200"/>
      <c r="GYV131" s="201"/>
      <c r="GYW131" s="202"/>
      <c r="GYX131" s="202"/>
      <c r="GYY131" s="202"/>
      <c r="GYZ131" s="202"/>
      <c r="GZA131" s="203"/>
      <c r="GZB131" s="204"/>
      <c r="GZC131" s="204"/>
      <c r="GZD131" s="204"/>
      <c r="GZE131" s="205"/>
      <c r="GZF131" s="206"/>
      <c r="GZG131" s="207"/>
      <c r="GZH131" s="207"/>
      <c r="GZI131" s="208"/>
      <c r="GZJ131" s="209"/>
      <c r="GZK131" s="207"/>
      <c r="GZL131" s="210"/>
      <c r="GZM131" s="209"/>
      <c r="GZN131" s="204"/>
      <c r="GZO131" s="204"/>
      <c r="GZP131" s="204"/>
      <c r="GZQ131" s="199"/>
      <c r="GZR131" s="167"/>
      <c r="GZS131" s="199"/>
      <c r="GZT131" s="200"/>
      <c r="GZU131" s="201"/>
      <c r="GZV131" s="202"/>
      <c r="GZW131" s="202"/>
      <c r="GZX131" s="202"/>
      <c r="GZY131" s="202"/>
      <c r="GZZ131" s="203"/>
      <c r="HAA131" s="204"/>
      <c r="HAB131" s="204"/>
      <c r="HAC131" s="204"/>
      <c r="HAD131" s="205"/>
      <c r="HAE131" s="206"/>
      <c r="HAF131" s="207"/>
      <c r="HAG131" s="207"/>
      <c r="HAH131" s="208"/>
      <c r="HAI131" s="209"/>
      <c r="HAJ131" s="207"/>
      <c r="HAK131" s="210"/>
      <c r="HAL131" s="209"/>
      <c r="HAM131" s="204"/>
      <c r="HAN131" s="204"/>
      <c r="HAO131" s="204"/>
      <c r="HAP131" s="199"/>
      <c r="HAQ131" s="167"/>
      <c r="HAR131" s="199"/>
      <c r="HAS131" s="200"/>
      <c r="HAT131" s="201"/>
      <c r="HAU131" s="202"/>
      <c r="HAV131" s="202"/>
      <c r="HAW131" s="202"/>
      <c r="HAX131" s="202"/>
      <c r="HAY131" s="203"/>
      <c r="HAZ131" s="204"/>
      <c r="HBA131" s="204"/>
      <c r="HBB131" s="204"/>
      <c r="HBC131" s="205"/>
      <c r="HBD131" s="206"/>
      <c r="HBE131" s="207"/>
      <c r="HBF131" s="207"/>
      <c r="HBG131" s="208"/>
      <c r="HBH131" s="209"/>
      <c r="HBI131" s="207"/>
      <c r="HBJ131" s="210"/>
      <c r="HBK131" s="209"/>
      <c r="HBL131" s="204"/>
      <c r="HBM131" s="204"/>
      <c r="HBN131" s="204"/>
      <c r="HBO131" s="199"/>
      <c r="HBP131" s="167"/>
      <c r="HBQ131" s="199"/>
      <c r="HBR131" s="200"/>
      <c r="HBS131" s="201"/>
      <c r="HBT131" s="202"/>
      <c r="HBU131" s="202"/>
      <c r="HBV131" s="202"/>
      <c r="HBW131" s="202"/>
      <c r="HBX131" s="203"/>
      <c r="HBY131" s="204"/>
      <c r="HBZ131" s="204"/>
      <c r="HCA131" s="204"/>
      <c r="HCB131" s="205"/>
      <c r="HCC131" s="206"/>
      <c r="HCD131" s="207"/>
      <c r="HCE131" s="207"/>
      <c r="HCF131" s="208"/>
      <c r="HCG131" s="209"/>
      <c r="HCH131" s="207"/>
      <c r="HCI131" s="210"/>
      <c r="HCJ131" s="209"/>
      <c r="HCK131" s="204"/>
      <c r="HCL131" s="204"/>
      <c r="HCM131" s="204"/>
      <c r="HCN131" s="199"/>
      <c r="HCO131" s="167"/>
      <c r="HCP131" s="199"/>
      <c r="HCQ131" s="200"/>
      <c r="HCR131" s="201"/>
      <c r="HCS131" s="202"/>
      <c r="HCT131" s="202"/>
      <c r="HCU131" s="202"/>
      <c r="HCV131" s="202"/>
      <c r="HCW131" s="203"/>
      <c r="HCX131" s="204"/>
      <c r="HCY131" s="204"/>
      <c r="HCZ131" s="204"/>
      <c r="HDA131" s="205"/>
      <c r="HDB131" s="206"/>
      <c r="HDC131" s="207"/>
      <c r="HDD131" s="207"/>
      <c r="HDE131" s="208"/>
      <c r="HDF131" s="209"/>
      <c r="HDG131" s="207"/>
      <c r="HDH131" s="210"/>
      <c r="HDI131" s="209"/>
      <c r="HDJ131" s="204"/>
      <c r="HDK131" s="204"/>
      <c r="HDL131" s="204"/>
      <c r="HDM131" s="199"/>
      <c r="HDN131" s="167"/>
      <c r="HDO131" s="199"/>
      <c r="HDP131" s="200"/>
      <c r="HDQ131" s="201"/>
      <c r="HDR131" s="202"/>
      <c r="HDS131" s="202"/>
      <c r="HDT131" s="202"/>
      <c r="HDU131" s="202"/>
      <c r="HDV131" s="203"/>
      <c r="HDW131" s="204"/>
      <c r="HDX131" s="204"/>
      <c r="HDY131" s="204"/>
      <c r="HDZ131" s="205"/>
      <c r="HEA131" s="206"/>
      <c r="HEB131" s="207"/>
      <c r="HEC131" s="207"/>
      <c r="HED131" s="208"/>
      <c r="HEE131" s="209"/>
      <c r="HEF131" s="207"/>
      <c r="HEG131" s="210"/>
      <c r="HEH131" s="209"/>
      <c r="HEI131" s="204"/>
      <c r="HEJ131" s="204"/>
      <c r="HEK131" s="204"/>
      <c r="HEL131" s="199"/>
      <c r="HEM131" s="167"/>
      <c r="HEN131" s="199"/>
      <c r="HEO131" s="200"/>
      <c r="HEP131" s="201"/>
      <c r="HEQ131" s="202"/>
      <c r="HER131" s="202"/>
      <c r="HES131" s="202"/>
      <c r="HET131" s="202"/>
      <c r="HEU131" s="203"/>
      <c r="HEV131" s="204"/>
      <c r="HEW131" s="204"/>
      <c r="HEX131" s="204"/>
      <c r="HEY131" s="205"/>
      <c r="HEZ131" s="206"/>
      <c r="HFA131" s="207"/>
      <c r="HFB131" s="207"/>
      <c r="HFC131" s="208"/>
      <c r="HFD131" s="209"/>
      <c r="HFE131" s="207"/>
      <c r="HFF131" s="210"/>
      <c r="HFG131" s="209"/>
      <c r="HFH131" s="204"/>
      <c r="HFI131" s="204"/>
      <c r="HFJ131" s="204"/>
      <c r="HFK131" s="199"/>
      <c r="HFL131" s="167"/>
      <c r="HFM131" s="199"/>
      <c r="HFN131" s="200"/>
      <c r="HFO131" s="201"/>
      <c r="HFP131" s="202"/>
      <c r="HFQ131" s="202"/>
      <c r="HFR131" s="202"/>
      <c r="HFS131" s="202"/>
      <c r="HFT131" s="203"/>
      <c r="HFU131" s="204"/>
      <c r="HFV131" s="204"/>
      <c r="HFW131" s="204"/>
      <c r="HFX131" s="205"/>
      <c r="HFY131" s="206"/>
      <c r="HFZ131" s="207"/>
      <c r="HGA131" s="207"/>
      <c r="HGB131" s="208"/>
      <c r="HGC131" s="209"/>
      <c r="HGD131" s="207"/>
      <c r="HGE131" s="210"/>
      <c r="HGF131" s="209"/>
      <c r="HGG131" s="204"/>
      <c r="HGH131" s="204"/>
      <c r="HGI131" s="204"/>
      <c r="HGJ131" s="199"/>
      <c r="HGK131" s="167"/>
      <c r="HGL131" s="199"/>
      <c r="HGM131" s="200"/>
      <c r="HGN131" s="201"/>
      <c r="HGO131" s="202"/>
      <c r="HGP131" s="202"/>
      <c r="HGQ131" s="202"/>
      <c r="HGR131" s="202"/>
      <c r="HGS131" s="203"/>
      <c r="HGT131" s="204"/>
      <c r="HGU131" s="204"/>
      <c r="HGV131" s="204"/>
      <c r="HGW131" s="205"/>
      <c r="HGX131" s="206"/>
      <c r="HGY131" s="207"/>
      <c r="HGZ131" s="207"/>
      <c r="HHA131" s="208"/>
      <c r="HHB131" s="209"/>
      <c r="HHC131" s="207"/>
      <c r="HHD131" s="210"/>
      <c r="HHE131" s="209"/>
      <c r="HHF131" s="204"/>
      <c r="HHG131" s="204"/>
      <c r="HHH131" s="204"/>
      <c r="HHI131" s="199"/>
      <c r="HHJ131" s="167"/>
      <c r="HHK131" s="199"/>
      <c r="HHL131" s="200"/>
      <c r="HHM131" s="201"/>
      <c r="HHN131" s="202"/>
      <c r="HHO131" s="202"/>
      <c r="HHP131" s="202"/>
      <c r="HHQ131" s="202"/>
      <c r="HHR131" s="203"/>
      <c r="HHS131" s="204"/>
      <c r="HHT131" s="204"/>
      <c r="HHU131" s="204"/>
      <c r="HHV131" s="205"/>
      <c r="HHW131" s="206"/>
      <c r="HHX131" s="207"/>
      <c r="HHY131" s="207"/>
      <c r="HHZ131" s="208"/>
      <c r="HIA131" s="209"/>
      <c r="HIB131" s="207"/>
      <c r="HIC131" s="210"/>
      <c r="HID131" s="209"/>
      <c r="HIE131" s="204"/>
      <c r="HIF131" s="204"/>
      <c r="HIG131" s="204"/>
      <c r="HIH131" s="199"/>
      <c r="HII131" s="167"/>
      <c r="HIJ131" s="199"/>
      <c r="HIK131" s="200"/>
      <c r="HIL131" s="201"/>
      <c r="HIM131" s="202"/>
      <c r="HIN131" s="202"/>
      <c r="HIO131" s="202"/>
      <c r="HIP131" s="202"/>
      <c r="HIQ131" s="203"/>
      <c r="HIR131" s="204"/>
      <c r="HIS131" s="204"/>
      <c r="HIT131" s="204"/>
      <c r="HIU131" s="205"/>
      <c r="HIV131" s="206"/>
      <c r="HIW131" s="207"/>
      <c r="HIX131" s="207"/>
      <c r="HIY131" s="208"/>
      <c r="HIZ131" s="209"/>
      <c r="HJA131" s="207"/>
      <c r="HJB131" s="210"/>
      <c r="HJC131" s="209"/>
      <c r="HJD131" s="204"/>
      <c r="HJE131" s="204"/>
      <c r="HJF131" s="204"/>
      <c r="HJG131" s="199"/>
      <c r="HJH131" s="167"/>
      <c r="HJI131" s="199"/>
      <c r="HJJ131" s="200"/>
      <c r="HJK131" s="201"/>
      <c r="HJL131" s="202"/>
      <c r="HJM131" s="202"/>
      <c r="HJN131" s="202"/>
      <c r="HJO131" s="202"/>
      <c r="HJP131" s="203"/>
      <c r="HJQ131" s="204"/>
      <c r="HJR131" s="204"/>
      <c r="HJS131" s="204"/>
      <c r="HJT131" s="205"/>
      <c r="HJU131" s="206"/>
      <c r="HJV131" s="207"/>
      <c r="HJW131" s="207"/>
      <c r="HJX131" s="208"/>
      <c r="HJY131" s="209"/>
      <c r="HJZ131" s="207"/>
      <c r="HKA131" s="210"/>
      <c r="HKB131" s="209"/>
      <c r="HKC131" s="204"/>
      <c r="HKD131" s="204"/>
      <c r="HKE131" s="204"/>
      <c r="HKF131" s="199"/>
      <c r="HKG131" s="167"/>
      <c r="HKH131" s="199"/>
      <c r="HKI131" s="200"/>
      <c r="HKJ131" s="201"/>
      <c r="HKK131" s="202"/>
      <c r="HKL131" s="202"/>
      <c r="HKM131" s="202"/>
      <c r="HKN131" s="202"/>
      <c r="HKO131" s="203"/>
      <c r="HKP131" s="204"/>
      <c r="HKQ131" s="204"/>
      <c r="HKR131" s="204"/>
      <c r="HKS131" s="205"/>
      <c r="HKT131" s="206"/>
      <c r="HKU131" s="207"/>
      <c r="HKV131" s="207"/>
      <c r="HKW131" s="208"/>
      <c r="HKX131" s="209"/>
      <c r="HKY131" s="207"/>
      <c r="HKZ131" s="210"/>
      <c r="HLA131" s="209"/>
      <c r="HLB131" s="204"/>
      <c r="HLC131" s="204"/>
      <c r="HLD131" s="204"/>
      <c r="HLE131" s="199"/>
      <c r="HLF131" s="167"/>
      <c r="HLG131" s="199"/>
      <c r="HLH131" s="200"/>
      <c r="HLI131" s="201"/>
      <c r="HLJ131" s="202"/>
      <c r="HLK131" s="202"/>
      <c r="HLL131" s="202"/>
      <c r="HLM131" s="202"/>
      <c r="HLN131" s="203"/>
      <c r="HLO131" s="204"/>
      <c r="HLP131" s="204"/>
      <c r="HLQ131" s="204"/>
      <c r="HLR131" s="205"/>
      <c r="HLS131" s="206"/>
      <c r="HLT131" s="207"/>
      <c r="HLU131" s="207"/>
      <c r="HLV131" s="208"/>
      <c r="HLW131" s="209"/>
      <c r="HLX131" s="207"/>
      <c r="HLY131" s="210"/>
      <c r="HLZ131" s="209"/>
      <c r="HMA131" s="204"/>
      <c r="HMB131" s="204"/>
      <c r="HMC131" s="204"/>
      <c r="HMD131" s="199"/>
      <c r="HME131" s="167"/>
      <c r="HMF131" s="199"/>
      <c r="HMG131" s="200"/>
      <c r="HMH131" s="201"/>
      <c r="HMI131" s="202"/>
      <c r="HMJ131" s="202"/>
      <c r="HMK131" s="202"/>
      <c r="HML131" s="202"/>
      <c r="HMM131" s="203"/>
      <c r="HMN131" s="204"/>
      <c r="HMO131" s="204"/>
      <c r="HMP131" s="204"/>
      <c r="HMQ131" s="205"/>
      <c r="HMR131" s="206"/>
      <c r="HMS131" s="207"/>
      <c r="HMT131" s="207"/>
      <c r="HMU131" s="208"/>
      <c r="HMV131" s="209"/>
      <c r="HMW131" s="207"/>
      <c r="HMX131" s="210"/>
      <c r="HMY131" s="209"/>
      <c r="HMZ131" s="204"/>
      <c r="HNA131" s="204"/>
      <c r="HNB131" s="204"/>
      <c r="HNC131" s="199"/>
      <c r="HND131" s="167"/>
      <c r="HNE131" s="199"/>
      <c r="HNF131" s="200"/>
      <c r="HNG131" s="201"/>
      <c r="HNH131" s="202"/>
      <c r="HNI131" s="202"/>
      <c r="HNJ131" s="202"/>
      <c r="HNK131" s="202"/>
      <c r="HNL131" s="203"/>
      <c r="HNM131" s="204"/>
      <c r="HNN131" s="204"/>
      <c r="HNO131" s="204"/>
      <c r="HNP131" s="205"/>
      <c r="HNQ131" s="206"/>
      <c r="HNR131" s="207"/>
      <c r="HNS131" s="207"/>
      <c r="HNT131" s="208"/>
      <c r="HNU131" s="209"/>
      <c r="HNV131" s="207"/>
      <c r="HNW131" s="210"/>
      <c r="HNX131" s="209"/>
      <c r="HNY131" s="204"/>
      <c r="HNZ131" s="204"/>
      <c r="HOA131" s="204"/>
      <c r="HOB131" s="199"/>
      <c r="HOC131" s="167"/>
      <c r="HOD131" s="199"/>
      <c r="HOE131" s="200"/>
      <c r="HOF131" s="201"/>
      <c r="HOG131" s="202"/>
      <c r="HOH131" s="202"/>
      <c r="HOI131" s="202"/>
      <c r="HOJ131" s="202"/>
      <c r="HOK131" s="203"/>
      <c r="HOL131" s="204"/>
      <c r="HOM131" s="204"/>
      <c r="HON131" s="204"/>
      <c r="HOO131" s="205"/>
      <c r="HOP131" s="206"/>
      <c r="HOQ131" s="207"/>
      <c r="HOR131" s="207"/>
      <c r="HOS131" s="208"/>
      <c r="HOT131" s="209"/>
      <c r="HOU131" s="207"/>
      <c r="HOV131" s="210"/>
      <c r="HOW131" s="209"/>
      <c r="HOX131" s="204"/>
      <c r="HOY131" s="204"/>
      <c r="HOZ131" s="204"/>
      <c r="HPA131" s="199"/>
      <c r="HPB131" s="167"/>
      <c r="HPC131" s="199"/>
      <c r="HPD131" s="200"/>
      <c r="HPE131" s="201"/>
      <c r="HPF131" s="202"/>
      <c r="HPG131" s="202"/>
      <c r="HPH131" s="202"/>
      <c r="HPI131" s="202"/>
      <c r="HPJ131" s="203"/>
      <c r="HPK131" s="204"/>
      <c r="HPL131" s="204"/>
      <c r="HPM131" s="204"/>
      <c r="HPN131" s="205"/>
      <c r="HPO131" s="206"/>
      <c r="HPP131" s="207"/>
      <c r="HPQ131" s="207"/>
      <c r="HPR131" s="208"/>
      <c r="HPS131" s="209"/>
      <c r="HPT131" s="207"/>
      <c r="HPU131" s="210"/>
      <c r="HPV131" s="209"/>
      <c r="HPW131" s="204"/>
      <c r="HPX131" s="204"/>
      <c r="HPY131" s="204"/>
      <c r="HPZ131" s="199"/>
      <c r="HQA131" s="167"/>
      <c r="HQB131" s="199"/>
      <c r="HQC131" s="200"/>
      <c r="HQD131" s="201"/>
      <c r="HQE131" s="202"/>
      <c r="HQF131" s="202"/>
      <c r="HQG131" s="202"/>
      <c r="HQH131" s="202"/>
      <c r="HQI131" s="203"/>
      <c r="HQJ131" s="204"/>
      <c r="HQK131" s="204"/>
      <c r="HQL131" s="204"/>
      <c r="HQM131" s="205"/>
      <c r="HQN131" s="206"/>
      <c r="HQO131" s="207"/>
      <c r="HQP131" s="207"/>
      <c r="HQQ131" s="208"/>
      <c r="HQR131" s="209"/>
      <c r="HQS131" s="207"/>
      <c r="HQT131" s="210"/>
      <c r="HQU131" s="209"/>
      <c r="HQV131" s="204"/>
      <c r="HQW131" s="204"/>
      <c r="HQX131" s="204"/>
      <c r="HQY131" s="199"/>
      <c r="HQZ131" s="167"/>
      <c r="HRA131" s="199"/>
      <c r="HRB131" s="200"/>
      <c r="HRC131" s="201"/>
      <c r="HRD131" s="202"/>
      <c r="HRE131" s="202"/>
      <c r="HRF131" s="202"/>
      <c r="HRG131" s="202"/>
      <c r="HRH131" s="203"/>
      <c r="HRI131" s="204"/>
      <c r="HRJ131" s="204"/>
      <c r="HRK131" s="204"/>
      <c r="HRL131" s="205"/>
      <c r="HRM131" s="206"/>
      <c r="HRN131" s="207"/>
      <c r="HRO131" s="207"/>
      <c r="HRP131" s="208"/>
      <c r="HRQ131" s="209"/>
      <c r="HRR131" s="207"/>
      <c r="HRS131" s="210"/>
      <c r="HRT131" s="209"/>
      <c r="HRU131" s="204"/>
      <c r="HRV131" s="204"/>
      <c r="HRW131" s="204"/>
      <c r="HRX131" s="199"/>
      <c r="HRY131" s="167"/>
      <c r="HRZ131" s="199"/>
      <c r="HSA131" s="200"/>
      <c r="HSB131" s="201"/>
      <c r="HSC131" s="202"/>
      <c r="HSD131" s="202"/>
      <c r="HSE131" s="202"/>
      <c r="HSF131" s="202"/>
      <c r="HSG131" s="203"/>
      <c r="HSH131" s="204"/>
      <c r="HSI131" s="204"/>
      <c r="HSJ131" s="204"/>
      <c r="HSK131" s="205"/>
      <c r="HSL131" s="206"/>
      <c r="HSM131" s="207"/>
      <c r="HSN131" s="207"/>
      <c r="HSO131" s="208"/>
      <c r="HSP131" s="209"/>
      <c r="HSQ131" s="207"/>
      <c r="HSR131" s="210"/>
      <c r="HSS131" s="209"/>
      <c r="HST131" s="204"/>
      <c r="HSU131" s="204"/>
      <c r="HSV131" s="204"/>
      <c r="HSW131" s="199"/>
      <c r="HSX131" s="167"/>
      <c r="HSY131" s="199"/>
      <c r="HSZ131" s="200"/>
      <c r="HTA131" s="201"/>
      <c r="HTB131" s="202"/>
      <c r="HTC131" s="202"/>
      <c r="HTD131" s="202"/>
      <c r="HTE131" s="202"/>
      <c r="HTF131" s="203"/>
      <c r="HTG131" s="204"/>
      <c r="HTH131" s="204"/>
      <c r="HTI131" s="204"/>
      <c r="HTJ131" s="205"/>
      <c r="HTK131" s="206"/>
      <c r="HTL131" s="207"/>
      <c r="HTM131" s="207"/>
      <c r="HTN131" s="208"/>
      <c r="HTO131" s="209"/>
      <c r="HTP131" s="207"/>
      <c r="HTQ131" s="210"/>
      <c r="HTR131" s="209"/>
      <c r="HTS131" s="204"/>
      <c r="HTT131" s="204"/>
      <c r="HTU131" s="204"/>
      <c r="HTV131" s="199"/>
      <c r="HTW131" s="167"/>
      <c r="HTX131" s="199"/>
      <c r="HTY131" s="200"/>
      <c r="HTZ131" s="201"/>
      <c r="HUA131" s="202"/>
      <c r="HUB131" s="202"/>
      <c r="HUC131" s="202"/>
      <c r="HUD131" s="202"/>
      <c r="HUE131" s="203"/>
      <c r="HUF131" s="204"/>
      <c r="HUG131" s="204"/>
      <c r="HUH131" s="204"/>
      <c r="HUI131" s="205"/>
      <c r="HUJ131" s="206"/>
      <c r="HUK131" s="207"/>
      <c r="HUL131" s="207"/>
      <c r="HUM131" s="208"/>
      <c r="HUN131" s="209"/>
      <c r="HUO131" s="207"/>
      <c r="HUP131" s="210"/>
      <c r="HUQ131" s="209"/>
      <c r="HUR131" s="204"/>
      <c r="HUS131" s="204"/>
      <c r="HUT131" s="204"/>
      <c r="HUU131" s="199"/>
      <c r="HUV131" s="167"/>
      <c r="HUW131" s="199"/>
      <c r="HUX131" s="200"/>
      <c r="HUY131" s="201"/>
      <c r="HUZ131" s="202"/>
      <c r="HVA131" s="202"/>
      <c r="HVB131" s="202"/>
      <c r="HVC131" s="202"/>
      <c r="HVD131" s="203"/>
      <c r="HVE131" s="204"/>
      <c r="HVF131" s="204"/>
      <c r="HVG131" s="204"/>
      <c r="HVH131" s="205"/>
      <c r="HVI131" s="206"/>
      <c r="HVJ131" s="207"/>
      <c r="HVK131" s="207"/>
      <c r="HVL131" s="208"/>
      <c r="HVM131" s="209"/>
      <c r="HVN131" s="207"/>
      <c r="HVO131" s="210"/>
      <c r="HVP131" s="209"/>
      <c r="HVQ131" s="204"/>
      <c r="HVR131" s="204"/>
      <c r="HVS131" s="204"/>
      <c r="HVT131" s="199"/>
      <c r="HVU131" s="167"/>
      <c r="HVV131" s="199"/>
      <c r="HVW131" s="200"/>
      <c r="HVX131" s="201"/>
      <c r="HVY131" s="202"/>
      <c r="HVZ131" s="202"/>
      <c r="HWA131" s="202"/>
      <c r="HWB131" s="202"/>
      <c r="HWC131" s="203"/>
      <c r="HWD131" s="204"/>
      <c r="HWE131" s="204"/>
      <c r="HWF131" s="204"/>
      <c r="HWG131" s="205"/>
      <c r="HWH131" s="206"/>
      <c r="HWI131" s="207"/>
      <c r="HWJ131" s="207"/>
      <c r="HWK131" s="208"/>
      <c r="HWL131" s="209"/>
      <c r="HWM131" s="207"/>
      <c r="HWN131" s="210"/>
      <c r="HWO131" s="209"/>
      <c r="HWP131" s="204"/>
      <c r="HWQ131" s="204"/>
      <c r="HWR131" s="204"/>
      <c r="HWS131" s="199"/>
      <c r="HWT131" s="167"/>
      <c r="HWU131" s="199"/>
      <c r="HWV131" s="200"/>
      <c r="HWW131" s="201"/>
      <c r="HWX131" s="202"/>
      <c r="HWY131" s="202"/>
      <c r="HWZ131" s="202"/>
      <c r="HXA131" s="202"/>
      <c r="HXB131" s="203"/>
      <c r="HXC131" s="204"/>
      <c r="HXD131" s="204"/>
      <c r="HXE131" s="204"/>
      <c r="HXF131" s="205"/>
      <c r="HXG131" s="206"/>
      <c r="HXH131" s="207"/>
      <c r="HXI131" s="207"/>
      <c r="HXJ131" s="208"/>
      <c r="HXK131" s="209"/>
      <c r="HXL131" s="207"/>
      <c r="HXM131" s="210"/>
      <c r="HXN131" s="209"/>
      <c r="HXO131" s="204"/>
      <c r="HXP131" s="204"/>
      <c r="HXQ131" s="204"/>
      <c r="HXR131" s="199"/>
      <c r="HXS131" s="167"/>
      <c r="HXT131" s="199"/>
      <c r="HXU131" s="200"/>
      <c r="HXV131" s="201"/>
      <c r="HXW131" s="202"/>
      <c r="HXX131" s="202"/>
      <c r="HXY131" s="202"/>
      <c r="HXZ131" s="202"/>
      <c r="HYA131" s="203"/>
      <c r="HYB131" s="204"/>
      <c r="HYC131" s="204"/>
      <c r="HYD131" s="204"/>
      <c r="HYE131" s="205"/>
      <c r="HYF131" s="206"/>
      <c r="HYG131" s="207"/>
      <c r="HYH131" s="207"/>
      <c r="HYI131" s="208"/>
      <c r="HYJ131" s="209"/>
      <c r="HYK131" s="207"/>
      <c r="HYL131" s="210"/>
      <c r="HYM131" s="209"/>
      <c r="HYN131" s="204"/>
      <c r="HYO131" s="204"/>
      <c r="HYP131" s="204"/>
      <c r="HYQ131" s="199"/>
      <c r="HYR131" s="167"/>
      <c r="HYS131" s="199"/>
      <c r="HYT131" s="200"/>
      <c r="HYU131" s="201"/>
      <c r="HYV131" s="202"/>
      <c r="HYW131" s="202"/>
      <c r="HYX131" s="202"/>
      <c r="HYY131" s="202"/>
      <c r="HYZ131" s="203"/>
      <c r="HZA131" s="204"/>
      <c r="HZB131" s="204"/>
      <c r="HZC131" s="204"/>
      <c r="HZD131" s="205"/>
      <c r="HZE131" s="206"/>
      <c r="HZF131" s="207"/>
      <c r="HZG131" s="207"/>
      <c r="HZH131" s="208"/>
      <c r="HZI131" s="209"/>
      <c r="HZJ131" s="207"/>
      <c r="HZK131" s="210"/>
      <c r="HZL131" s="209"/>
      <c r="HZM131" s="204"/>
      <c r="HZN131" s="204"/>
      <c r="HZO131" s="204"/>
      <c r="HZP131" s="199"/>
      <c r="HZQ131" s="167"/>
      <c r="HZR131" s="199"/>
      <c r="HZS131" s="200"/>
      <c r="HZT131" s="201"/>
      <c r="HZU131" s="202"/>
      <c r="HZV131" s="202"/>
      <c r="HZW131" s="202"/>
      <c r="HZX131" s="202"/>
      <c r="HZY131" s="203"/>
      <c r="HZZ131" s="204"/>
      <c r="IAA131" s="204"/>
      <c r="IAB131" s="204"/>
      <c r="IAC131" s="205"/>
      <c r="IAD131" s="206"/>
      <c r="IAE131" s="207"/>
      <c r="IAF131" s="207"/>
      <c r="IAG131" s="208"/>
      <c r="IAH131" s="209"/>
      <c r="IAI131" s="207"/>
      <c r="IAJ131" s="210"/>
      <c r="IAK131" s="209"/>
      <c r="IAL131" s="204"/>
      <c r="IAM131" s="204"/>
      <c r="IAN131" s="204"/>
      <c r="IAO131" s="199"/>
      <c r="IAP131" s="167"/>
      <c r="IAQ131" s="199"/>
      <c r="IAR131" s="200"/>
      <c r="IAS131" s="201"/>
      <c r="IAT131" s="202"/>
      <c r="IAU131" s="202"/>
      <c r="IAV131" s="202"/>
      <c r="IAW131" s="202"/>
      <c r="IAX131" s="203"/>
      <c r="IAY131" s="204"/>
      <c r="IAZ131" s="204"/>
      <c r="IBA131" s="204"/>
      <c r="IBB131" s="205"/>
      <c r="IBC131" s="206"/>
      <c r="IBD131" s="207"/>
      <c r="IBE131" s="207"/>
      <c r="IBF131" s="208"/>
      <c r="IBG131" s="209"/>
      <c r="IBH131" s="207"/>
      <c r="IBI131" s="210"/>
      <c r="IBJ131" s="209"/>
      <c r="IBK131" s="204"/>
      <c r="IBL131" s="204"/>
      <c r="IBM131" s="204"/>
      <c r="IBN131" s="199"/>
      <c r="IBO131" s="167"/>
      <c r="IBP131" s="199"/>
      <c r="IBQ131" s="200"/>
      <c r="IBR131" s="201"/>
      <c r="IBS131" s="202"/>
      <c r="IBT131" s="202"/>
      <c r="IBU131" s="202"/>
      <c r="IBV131" s="202"/>
      <c r="IBW131" s="203"/>
      <c r="IBX131" s="204"/>
      <c r="IBY131" s="204"/>
      <c r="IBZ131" s="204"/>
      <c r="ICA131" s="205"/>
      <c r="ICB131" s="206"/>
      <c r="ICC131" s="207"/>
      <c r="ICD131" s="207"/>
      <c r="ICE131" s="208"/>
      <c r="ICF131" s="209"/>
      <c r="ICG131" s="207"/>
      <c r="ICH131" s="210"/>
      <c r="ICI131" s="209"/>
      <c r="ICJ131" s="204"/>
      <c r="ICK131" s="204"/>
      <c r="ICL131" s="204"/>
      <c r="ICM131" s="199"/>
      <c r="ICN131" s="167"/>
      <c r="ICO131" s="199"/>
      <c r="ICP131" s="200"/>
      <c r="ICQ131" s="201"/>
      <c r="ICR131" s="202"/>
      <c r="ICS131" s="202"/>
      <c r="ICT131" s="202"/>
      <c r="ICU131" s="202"/>
      <c r="ICV131" s="203"/>
      <c r="ICW131" s="204"/>
      <c r="ICX131" s="204"/>
      <c r="ICY131" s="204"/>
      <c r="ICZ131" s="205"/>
      <c r="IDA131" s="206"/>
      <c r="IDB131" s="207"/>
      <c r="IDC131" s="207"/>
      <c r="IDD131" s="208"/>
      <c r="IDE131" s="209"/>
      <c r="IDF131" s="207"/>
      <c r="IDG131" s="210"/>
      <c r="IDH131" s="209"/>
      <c r="IDI131" s="204"/>
      <c r="IDJ131" s="204"/>
      <c r="IDK131" s="204"/>
      <c r="IDL131" s="199"/>
      <c r="IDM131" s="167"/>
      <c r="IDN131" s="199"/>
      <c r="IDO131" s="200"/>
      <c r="IDP131" s="201"/>
      <c r="IDQ131" s="202"/>
      <c r="IDR131" s="202"/>
      <c r="IDS131" s="202"/>
      <c r="IDT131" s="202"/>
      <c r="IDU131" s="203"/>
      <c r="IDV131" s="204"/>
      <c r="IDW131" s="204"/>
      <c r="IDX131" s="204"/>
      <c r="IDY131" s="205"/>
      <c r="IDZ131" s="206"/>
      <c r="IEA131" s="207"/>
      <c r="IEB131" s="207"/>
      <c r="IEC131" s="208"/>
      <c r="IED131" s="209"/>
      <c r="IEE131" s="207"/>
      <c r="IEF131" s="210"/>
      <c r="IEG131" s="209"/>
      <c r="IEH131" s="204"/>
      <c r="IEI131" s="204"/>
      <c r="IEJ131" s="204"/>
      <c r="IEK131" s="199"/>
      <c r="IEL131" s="167"/>
      <c r="IEM131" s="199"/>
      <c r="IEN131" s="200"/>
      <c r="IEO131" s="201"/>
      <c r="IEP131" s="202"/>
      <c r="IEQ131" s="202"/>
      <c r="IER131" s="202"/>
      <c r="IES131" s="202"/>
      <c r="IET131" s="203"/>
      <c r="IEU131" s="204"/>
      <c r="IEV131" s="204"/>
      <c r="IEW131" s="204"/>
      <c r="IEX131" s="205"/>
      <c r="IEY131" s="206"/>
      <c r="IEZ131" s="207"/>
      <c r="IFA131" s="207"/>
      <c r="IFB131" s="208"/>
      <c r="IFC131" s="209"/>
      <c r="IFD131" s="207"/>
      <c r="IFE131" s="210"/>
      <c r="IFF131" s="209"/>
      <c r="IFG131" s="204"/>
      <c r="IFH131" s="204"/>
      <c r="IFI131" s="204"/>
      <c r="IFJ131" s="199"/>
      <c r="IFK131" s="167"/>
      <c r="IFL131" s="199"/>
      <c r="IFM131" s="200"/>
      <c r="IFN131" s="201"/>
      <c r="IFO131" s="202"/>
      <c r="IFP131" s="202"/>
      <c r="IFQ131" s="202"/>
      <c r="IFR131" s="202"/>
      <c r="IFS131" s="203"/>
      <c r="IFT131" s="204"/>
      <c r="IFU131" s="204"/>
      <c r="IFV131" s="204"/>
      <c r="IFW131" s="205"/>
      <c r="IFX131" s="206"/>
      <c r="IFY131" s="207"/>
      <c r="IFZ131" s="207"/>
      <c r="IGA131" s="208"/>
      <c r="IGB131" s="209"/>
      <c r="IGC131" s="207"/>
      <c r="IGD131" s="210"/>
      <c r="IGE131" s="209"/>
      <c r="IGF131" s="204"/>
      <c r="IGG131" s="204"/>
      <c r="IGH131" s="204"/>
      <c r="IGI131" s="199"/>
      <c r="IGJ131" s="167"/>
      <c r="IGK131" s="199"/>
      <c r="IGL131" s="200"/>
      <c r="IGM131" s="201"/>
      <c r="IGN131" s="202"/>
      <c r="IGO131" s="202"/>
      <c r="IGP131" s="202"/>
      <c r="IGQ131" s="202"/>
      <c r="IGR131" s="203"/>
      <c r="IGS131" s="204"/>
      <c r="IGT131" s="204"/>
      <c r="IGU131" s="204"/>
      <c r="IGV131" s="205"/>
      <c r="IGW131" s="206"/>
      <c r="IGX131" s="207"/>
      <c r="IGY131" s="207"/>
      <c r="IGZ131" s="208"/>
      <c r="IHA131" s="209"/>
      <c r="IHB131" s="207"/>
      <c r="IHC131" s="210"/>
      <c r="IHD131" s="209"/>
      <c r="IHE131" s="204"/>
      <c r="IHF131" s="204"/>
      <c r="IHG131" s="204"/>
      <c r="IHH131" s="199"/>
      <c r="IHI131" s="167"/>
      <c r="IHJ131" s="199"/>
      <c r="IHK131" s="200"/>
      <c r="IHL131" s="201"/>
      <c r="IHM131" s="202"/>
      <c r="IHN131" s="202"/>
      <c r="IHO131" s="202"/>
      <c r="IHP131" s="202"/>
      <c r="IHQ131" s="203"/>
      <c r="IHR131" s="204"/>
      <c r="IHS131" s="204"/>
      <c r="IHT131" s="204"/>
      <c r="IHU131" s="205"/>
      <c r="IHV131" s="206"/>
      <c r="IHW131" s="207"/>
      <c r="IHX131" s="207"/>
      <c r="IHY131" s="208"/>
      <c r="IHZ131" s="209"/>
      <c r="IIA131" s="207"/>
      <c r="IIB131" s="210"/>
      <c r="IIC131" s="209"/>
      <c r="IID131" s="204"/>
      <c r="IIE131" s="204"/>
      <c r="IIF131" s="204"/>
      <c r="IIG131" s="199"/>
      <c r="IIH131" s="167"/>
      <c r="III131" s="199"/>
      <c r="IIJ131" s="200"/>
      <c r="IIK131" s="201"/>
      <c r="IIL131" s="202"/>
      <c r="IIM131" s="202"/>
      <c r="IIN131" s="202"/>
      <c r="IIO131" s="202"/>
      <c r="IIP131" s="203"/>
      <c r="IIQ131" s="204"/>
      <c r="IIR131" s="204"/>
      <c r="IIS131" s="204"/>
      <c r="IIT131" s="205"/>
      <c r="IIU131" s="206"/>
      <c r="IIV131" s="207"/>
      <c r="IIW131" s="207"/>
      <c r="IIX131" s="208"/>
      <c r="IIY131" s="209"/>
      <c r="IIZ131" s="207"/>
      <c r="IJA131" s="210"/>
      <c r="IJB131" s="209"/>
      <c r="IJC131" s="204"/>
      <c r="IJD131" s="204"/>
      <c r="IJE131" s="204"/>
      <c r="IJF131" s="199"/>
      <c r="IJG131" s="167"/>
      <c r="IJH131" s="199"/>
      <c r="IJI131" s="200"/>
      <c r="IJJ131" s="201"/>
      <c r="IJK131" s="202"/>
      <c r="IJL131" s="202"/>
      <c r="IJM131" s="202"/>
      <c r="IJN131" s="202"/>
      <c r="IJO131" s="203"/>
      <c r="IJP131" s="204"/>
      <c r="IJQ131" s="204"/>
      <c r="IJR131" s="204"/>
      <c r="IJS131" s="205"/>
      <c r="IJT131" s="206"/>
      <c r="IJU131" s="207"/>
      <c r="IJV131" s="207"/>
      <c r="IJW131" s="208"/>
      <c r="IJX131" s="209"/>
      <c r="IJY131" s="207"/>
      <c r="IJZ131" s="210"/>
      <c r="IKA131" s="209"/>
      <c r="IKB131" s="204"/>
      <c r="IKC131" s="204"/>
      <c r="IKD131" s="204"/>
      <c r="IKE131" s="199"/>
      <c r="IKF131" s="167"/>
      <c r="IKG131" s="199"/>
      <c r="IKH131" s="200"/>
      <c r="IKI131" s="201"/>
      <c r="IKJ131" s="202"/>
      <c r="IKK131" s="202"/>
      <c r="IKL131" s="202"/>
      <c r="IKM131" s="202"/>
      <c r="IKN131" s="203"/>
      <c r="IKO131" s="204"/>
      <c r="IKP131" s="204"/>
      <c r="IKQ131" s="204"/>
      <c r="IKR131" s="205"/>
      <c r="IKS131" s="206"/>
      <c r="IKT131" s="207"/>
      <c r="IKU131" s="207"/>
      <c r="IKV131" s="208"/>
      <c r="IKW131" s="209"/>
      <c r="IKX131" s="207"/>
      <c r="IKY131" s="210"/>
      <c r="IKZ131" s="209"/>
      <c r="ILA131" s="204"/>
      <c r="ILB131" s="204"/>
      <c r="ILC131" s="204"/>
      <c r="ILD131" s="199"/>
      <c r="ILE131" s="167"/>
      <c r="ILF131" s="199"/>
      <c r="ILG131" s="200"/>
      <c r="ILH131" s="201"/>
      <c r="ILI131" s="202"/>
      <c r="ILJ131" s="202"/>
      <c r="ILK131" s="202"/>
      <c r="ILL131" s="202"/>
      <c r="ILM131" s="203"/>
      <c r="ILN131" s="204"/>
      <c r="ILO131" s="204"/>
      <c r="ILP131" s="204"/>
      <c r="ILQ131" s="205"/>
      <c r="ILR131" s="206"/>
      <c r="ILS131" s="207"/>
      <c r="ILT131" s="207"/>
      <c r="ILU131" s="208"/>
      <c r="ILV131" s="209"/>
      <c r="ILW131" s="207"/>
      <c r="ILX131" s="210"/>
      <c r="ILY131" s="209"/>
      <c r="ILZ131" s="204"/>
      <c r="IMA131" s="204"/>
      <c r="IMB131" s="204"/>
      <c r="IMC131" s="199"/>
      <c r="IMD131" s="167"/>
      <c r="IME131" s="199"/>
      <c r="IMF131" s="200"/>
      <c r="IMG131" s="201"/>
      <c r="IMH131" s="202"/>
      <c r="IMI131" s="202"/>
      <c r="IMJ131" s="202"/>
      <c r="IMK131" s="202"/>
      <c r="IML131" s="203"/>
      <c r="IMM131" s="204"/>
      <c r="IMN131" s="204"/>
      <c r="IMO131" s="204"/>
      <c r="IMP131" s="205"/>
      <c r="IMQ131" s="206"/>
      <c r="IMR131" s="207"/>
      <c r="IMS131" s="207"/>
      <c r="IMT131" s="208"/>
      <c r="IMU131" s="209"/>
      <c r="IMV131" s="207"/>
      <c r="IMW131" s="210"/>
      <c r="IMX131" s="209"/>
      <c r="IMY131" s="204"/>
      <c r="IMZ131" s="204"/>
      <c r="INA131" s="204"/>
      <c r="INB131" s="199"/>
      <c r="INC131" s="167"/>
      <c r="IND131" s="199"/>
      <c r="INE131" s="200"/>
      <c r="INF131" s="201"/>
      <c r="ING131" s="202"/>
      <c r="INH131" s="202"/>
      <c r="INI131" s="202"/>
      <c r="INJ131" s="202"/>
      <c r="INK131" s="203"/>
      <c r="INL131" s="204"/>
      <c r="INM131" s="204"/>
      <c r="INN131" s="204"/>
      <c r="INO131" s="205"/>
      <c r="INP131" s="206"/>
      <c r="INQ131" s="207"/>
      <c r="INR131" s="207"/>
      <c r="INS131" s="208"/>
      <c r="INT131" s="209"/>
      <c r="INU131" s="207"/>
      <c r="INV131" s="210"/>
      <c r="INW131" s="209"/>
      <c r="INX131" s="204"/>
      <c r="INY131" s="204"/>
      <c r="INZ131" s="204"/>
      <c r="IOA131" s="199"/>
      <c r="IOB131" s="167"/>
      <c r="IOC131" s="199"/>
      <c r="IOD131" s="200"/>
      <c r="IOE131" s="201"/>
      <c r="IOF131" s="202"/>
      <c r="IOG131" s="202"/>
      <c r="IOH131" s="202"/>
      <c r="IOI131" s="202"/>
      <c r="IOJ131" s="203"/>
      <c r="IOK131" s="204"/>
      <c r="IOL131" s="204"/>
      <c r="IOM131" s="204"/>
      <c r="ION131" s="205"/>
      <c r="IOO131" s="206"/>
      <c r="IOP131" s="207"/>
      <c r="IOQ131" s="207"/>
      <c r="IOR131" s="208"/>
      <c r="IOS131" s="209"/>
      <c r="IOT131" s="207"/>
      <c r="IOU131" s="210"/>
      <c r="IOV131" s="209"/>
      <c r="IOW131" s="204"/>
      <c r="IOX131" s="204"/>
      <c r="IOY131" s="204"/>
      <c r="IOZ131" s="199"/>
      <c r="IPA131" s="167"/>
      <c r="IPB131" s="199"/>
      <c r="IPC131" s="200"/>
      <c r="IPD131" s="201"/>
      <c r="IPE131" s="202"/>
      <c r="IPF131" s="202"/>
      <c r="IPG131" s="202"/>
      <c r="IPH131" s="202"/>
      <c r="IPI131" s="203"/>
      <c r="IPJ131" s="204"/>
      <c r="IPK131" s="204"/>
      <c r="IPL131" s="204"/>
      <c r="IPM131" s="205"/>
      <c r="IPN131" s="206"/>
      <c r="IPO131" s="207"/>
      <c r="IPP131" s="207"/>
      <c r="IPQ131" s="208"/>
      <c r="IPR131" s="209"/>
      <c r="IPS131" s="207"/>
      <c r="IPT131" s="210"/>
      <c r="IPU131" s="209"/>
      <c r="IPV131" s="204"/>
      <c r="IPW131" s="204"/>
      <c r="IPX131" s="204"/>
      <c r="IPY131" s="199"/>
      <c r="IPZ131" s="167"/>
      <c r="IQA131" s="199"/>
      <c r="IQB131" s="200"/>
      <c r="IQC131" s="201"/>
      <c r="IQD131" s="202"/>
      <c r="IQE131" s="202"/>
      <c r="IQF131" s="202"/>
      <c r="IQG131" s="202"/>
      <c r="IQH131" s="203"/>
      <c r="IQI131" s="204"/>
      <c r="IQJ131" s="204"/>
      <c r="IQK131" s="204"/>
      <c r="IQL131" s="205"/>
      <c r="IQM131" s="206"/>
      <c r="IQN131" s="207"/>
      <c r="IQO131" s="207"/>
      <c r="IQP131" s="208"/>
      <c r="IQQ131" s="209"/>
      <c r="IQR131" s="207"/>
      <c r="IQS131" s="210"/>
      <c r="IQT131" s="209"/>
      <c r="IQU131" s="204"/>
      <c r="IQV131" s="204"/>
      <c r="IQW131" s="204"/>
      <c r="IQX131" s="199"/>
      <c r="IQY131" s="167"/>
      <c r="IQZ131" s="199"/>
      <c r="IRA131" s="200"/>
      <c r="IRB131" s="201"/>
      <c r="IRC131" s="202"/>
      <c r="IRD131" s="202"/>
      <c r="IRE131" s="202"/>
      <c r="IRF131" s="202"/>
      <c r="IRG131" s="203"/>
      <c r="IRH131" s="204"/>
      <c r="IRI131" s="204"/>
      <c r="IRJ131" s="204"/>
      <c r="IRK131" s="205"/>
      <c r="IRL131" s="206"/>
      <c r="IRM131" s="207"/>
      <c r="IRN131" s="207"/>
      <c r="IRO131" s="208"/>
      <c r="IRP131" s="209"/>
      <c r="IRQ131" s="207"/>
      <c r="IRR131" s="210"/>
      <c r="IRS131" s="209"/>
      <c r="IRT131" s="204"/>
      <c r="IRU131" s="204"/>
      <c r="IRV131" s="204"/>
      <c r="IRW131" s="199"/>
      <c r="IRX131" s="167"/>
      <c r="IRY131" s="199"/>
      <c r="IRZ131" s="200"/>
      <c r="ISA131" s="201"/>
      <c r="ISB131" s="202"/>
      <c r="ISC131" s="202"/>
      <c r="ISD131" s="202"/>
      <c r="ISE131" s="202"/>
      <c r="ISF131" s="203"/>
      <c r="ISG131" s="204"/>
      <c r="ISH131" s="204"/>
      <c r="ISI131" s="204"/>
      <c r="ISJ131" s="205"/>
      <c r="ISK131" s="206"/>
      <c r="ISL131" s="207"/>
      <c r="ISM131" s="207"/>
      <c r="ISN131" s="208"/>
      <c r="ISO131" s="209"/>
      <c r="ISP131" s="207"/>
      <c r="ISQ131" s="210"/>
      <c r="ISR131" s="209"/>
      <c r="ISS131" s="204"/>
      <c r="IST131" s="204"/>
      <c r="ISU131" s="204"/>
      <c r="ISV131" s="199"/>
      <c r="ISW131" s="167"/>
      <c r="ISX131" s="199"/>
      <c r="ISY131" s="200"/>
      <c r="ISZ131" s="201"/>
      <c r="ITA131" s="202"/>
      <c r="ITB131" s="202"/>
      <c r="ITC131" s="202"/>
      <c r="ITD131" s="202"/>
      <c r="ITE131" s="203"/>
      <c r="ITF131" s="204"/>
      <c r="ITG131" s="204"/>
      <c r="ITH131" s="204"/>
      <c r="ITI131" s="205"/>
      <c r="ITJ131" s="206"/>
      <c r="ITK131" s="207"/>
      <c r="ITL131" s="207"/>
      <c r="ITM131" s="208"/>
      <c r="ITN131" s="209"/>
      <c r="ITO131" s="207"/>
      <c r="ITP131" s="210"/>
      <c r="ITQ131" s="209"/>
      <c r="ITR131" s="204"/>
      <c r="ITS131" s="204"/>
      <c r="ITT131" s="204"/>
      <c r="ITU131" s="199"/>
      <c r="ITV131" s="167"/>
      <c r="ITW131" s="199"/>
      <c r="ITX131" s="200"/>
      <c r="ITY131" s="201"/>
      <c r="ITZ131" s="202"/>
      <c r="IUA131" s="202"/>
      <c r="IUB131" s="202"/>
      <c r="IUC131" s="202"/>
      <c r="IUD131" s="203"/>
      <c r="IUE131" s="204"/>
      <c r="IUF131" s="204"/>
      <c r="IUG131" s="204"/>
      <c r="IUH131" s="205"/>
      <c r="IUI131" s="206"/>
      <c r="IUJ131" s="207"/>
      <c r="IUK131" s="207"/>
      <c r="IUL131" s="208"/>
      <c r="IUM131" s="209"/>
      <c r="IUN131" s="207"/>
      <c r="IUO131" s="210"/>
      <c r="IUP131" s="209"/>
      <c r="IUQ131" s="204"/>
      <c r="IUR131" s="204"/>
      <c r="IUS131" s="204"/>
      <c r="IUT131" s="199"/>
      <c r="IUU131" s="167"/>
      <c r="IUV131" s="199"/>
      <c r="IUW131" s="200"/>
      <c r="IUX131" s="201"/>
      <c r="IUY131" s="202"/>
      <c r="IUZ131" s="202"/>
      <c r="IVA131" s="202"/>
      <c r="IVB131" s="202"/>
      <c r="IVC131" s="203"/>
      <c r="IVD131" s="204"/>
      <c r="IVE131" s="204"/>
      <c r="IVF131" s="204"/>
      <c r="IVG131" s="205"/>
      <c r="IVH131" s="206"/>
      <c r="IVI131" s="207"/>
      <c r="IVJ131" s="207"/>
      <c r="IVK131" s="208"/>
      <c r="IVL131" s="209"/>
      <c r="IVM131" s="207"/>
      <c r="IVN131" s="210"/>
      <c r="IVO131" s="209"/>
      <c r="IVP131" s="204"/>
      <c r="IVQ131" s="204"/>
      <c r="IVR131" s="204"/>
      <c r="IVS131" s="199"/>
      <c r="IVT131" s="167"/>
      <c r="IVU131" s="199"/>
      <c r="IVV131" s="200"/>
      <c r="IVW131" s="201"/>
      <c r="IVX131" s="202"/>
      <c r="IVY131" s="202"/>
      <c r="IVZ131" s="202"/>
      <c r="IWA131" s="202"/>
      <c r="IWB131" s="203"/>
      <c r="IWC131" s="204"/>
      <c r="IWD131" s="204"/>
      <c r="IWE131" s="204"/>
      <c r="IWF131" s="205"/>
      <c r="IWG131" s="206"/>
      <c r="IWH131" s="207"/>
      <c r="IWI131" s="207"/>
      <c r="IWJ131" s="208"/>
      <c r="IWK131" s="209"/>
      <c r="IWL131" s="207"/>
      <c r="IWM131" s="210"/>
      <c r="IWN131" s="209"/>
      <c r="IWO131" s="204"/>
      <c r="IWP131" s="204"/>
      <c r="IWQ131" s="204"/>
      <c r="IWR131" s="199"/>
      <c r="IWS131" s="167"/>
      <c r="IWT131" s="199"/>
      <c r="IWU131" s="200"/>
      <c r="IWV131" s="201"/>
      <c r="IWW131" s="202"/>
      <c r="IWX131" s="202"/>
      <c r="IWY131" s="202"/>
      <c r="IWZ131" s="202"/>
      <c r="IXA131" s="203"/>
      <c r="IXB131" s="204"/>
      <c r="IXC131" s="204"/>
      <c r="IXD131" s="204"/>
      <c r="IXE131" s="205"/>
      <c r="IXF131" s="206"/>
      <c r="IXG131" s="207"/>
      <c r="IXH131" s="207"/>
      <c r="IXI131" s="208"/>
      <c r="IXJ131" s="209"/>
      <c r="IXK131" s="207"/>
      <c r="IXL131" s="210"/>
      <c r="IXM131" s="209"/>
      <c r="IXN131" s="204"/>
      <c r="IXO131" s="204"/>
      <c r="IXP131" s="204"/>
      <c r="IXQ131" s="199"/>
      <c r="IXR131" s="167"/>
      <c r="IXS131" s="199"/>
      <c r="IXT131" s="200"/>
      <c r="IXU131" s="201"/>
      <c r="IXV131" s="202"/>
      <c r="IXW131" s="202"/>
      <c r="IXX131" s="202"/>
      <c r="IXY131" s="202"/>
      <c r="IXZ131" s="203"/>
      <c r="IYA131" s="204"/>
      <c r="IYB131" s="204"/>
      <c r="IYC131" s="204"/>
      <c r="IYD131" s="205"/>
      <c r="IYE131" s="206"/>
      <c r="IYF131" s="207"/>
      <c r="IYG131" s="207"/>
      <c r="IYH131" s="208"/>
      <c r="IYI131" s="209"/>
      <c r="IYJ131" s="207"/>
      <c r="IYK131" s="210"/>
      <c r="IYL131" s="209"/>
      <c r="IYM131" s="204"/>
      <c r="IYN131" s="204"/>
      <c r="IYO131" s="204"/>
      <c r="IYP131" s="199"/>
      <c r="IYQ131" s="167"/>
      <c r="IYR131" s="199"/>
      <c r="IYS131" s="200"/>
      <c r="IYT131" s="201"/>
      <c r="IYU131" s="202"/>
      <c r="IYV131" s="202"/>
      <c r="IYW131" s="202"/>
      <c r="IYX131" s="202"/>
      <c r="IYY131" s="203"/>
      <c r="IYZ131" s="204"/>
      <c r="IZA131" s="204"/>
      <c r="IZB131" s="204"/>
      <c r="IZC131" s="205"/>
      <c r="IZD131" s="206"/>
      <c r="IZE131" s="207"/>
      <c r="IZF131" s="207"/>
      <c r="IZG131" s="208"/>
      <c r="IZH131" s="209"/>
      <c r="IZI131" s="207"/>
      <c r="IZJ131" s="210"/>
      <c r="IZK131" s="209"/>
      <c r="IZL131" s="204"/>
      <c r="IZM131" s="204"/>
      <c r="IZN131" s="204"/>
      <c r="IZO131" s="199"/>
      <c r="IZP131" s="167"/>
      <c r="IZQ131" s="199"/>
      <c r="IZR131" s="200"/>
      <c r="IZS131" s="201"/>
      <c r="IZT131" s="202"/>
      <c r="IZU131" s="202"/>
      <c r="IZV131" s="202"/>
      <c r="IZW131" s="202"/>
      <c r="IZX131" s="203"/>
      <c r="IZY131" s="204"/>
      <c r="IZZ131" s="204"/>
      <c r="JAA131" s="204"/>
      <c r="JAB131" s="205"/>
      <c r="JAC131" s="206"/>
      <c r="JAD131" s="207"/>
      <c r="JAE131" s="207"/>
      <c r="JAF131" s="208"/>
      <c r="JAG131" s="209"/>
      <c r="JAH131" s="207"/>
      <c r="JAI131" s="210"/>
      <c r="JAJ131" s="209"/>
      <c r="JAK131" s="204"/>
      <c r="JAL131" s="204"/>
      <c r="JAM131" s="204"/>
      <c r="JAN131" s="199"/>
      <c r="JAO131" s="167"/>
      <c r="JAP131" s="199"/>
      <c r="JAQ131" s="200"/>
      <c r="JAR131" s="201"/>
      <c r="JAS131" s="202"/>
      <c r="JAT131" s="202"/>
      <c r="JAU131" s="202"/>
      <c r="JAV131" s="202"/>
      <c r="JAW131" s="203"/>
      <c r="JAX131" s="204"/>
      <c r="JAY131" s="204"/>
      <c r="JAZ131" s="204"/>
      <c r="JBA131" s="205"/>
      <c r="JBB131" s="206"/>
      <c r="JBC131" s="207"/>
      <c r="JBD131" s="207"/>
      <c r="JBE131" s="208"/>
      <c r="JBF131" s="209"/>
      <c r="JBG131" s="207"/>
      <c r="JBH131" s="210"/>
      <c r="JBI131" s="209"/>
      <c r="JBJ131" s="204"/>
      <c r="JBK131" s="204"/>
      <c r="JBL131" s="204"/>
      <c r="JBM131" s="199"/>
      <c r="JBN131" s="167"/>
      <c r="JBO131" s="199"/>
      <c r="JBP131" s="200"/>
      <c r="JBQ131" s="201"/>
      <c r="JBR131" s="202"/>
      <c r="JBS131" s="202"/>
      <c r="JBT131" s="202"/>
      <c r="JBU131" s="202"/>
      <c r="JBV131" s="203"/>
      <c r="JBW131" s="204"/>
      <c r="JBX131" s="204"/>
      <c r="JBY131" s="204"/>
      <c r="JBZ131" s="205"/>
      <c r="JCA131" s="206"/>
      <c r="JCB131" s="207"/>
      <c r="JCC131" s="207"/>
      <c r="JCD131" s="208"/>
      <c r="JCE131" s="209"/>
      <c r="JCF131" s="207"/>
      <c r="JCG131" s="210"/>
      <c r="JCH131" s="209"/>
      <c r="JCI131" s="204"/>
      <c r="JCJ131" s="204"/>
      <c r="JCK131" s="204"/>
      <c r="JCL131" s="199"/>
      <c r="JCM131" s="167"/>
      <c r="JCN131" s="199"/>
      <c r="JCO131" s="200"/>
      <c r="JCP131" s="201"/>
      <c r="JCQ131" s="202"/>
      <c r="JCR131" s="202"/>
      <c r="JCS131" s="202"/>
      <c r="JCT131" s="202"/>
      <c r="JCU131" s="203"/>
      <c r="JCV131" s="204"/>
      <c r="JCW131" s="204"/>
      <c r="JCX131" s="204"/>
      <c r="JCY131" s="205"/>
      <c r="JCZ131" s="206"/>
      <c r="JDA131" s="207"/>
      <c r="JDB131" s="207"/>
      <c r="JDC131" s="208"/>
      <c r="JDD131" s="209"/>
      <c r="JDE131" s="207"/>
      <c r="JDF131" s="210"/>
      <c r="JDG131" s="209"/>
      <c r="JDH131" s="204"/>
      <c r="JDI131" s="204"/>
      <c r="JDJ131" s="204"/>
      <c r="JDK131" s="199"/>
      <c r="JDL131" s="167"/>
      <c r="JDM131" s="199"/>
      <c r="JDN131" s="200"/>
      <c r="JDO131" s="201"/>
      <c r="JDP131" s="202"/>
      <c r="JDQ131" s="202"/>
      <c r="JDR131" s="202"/>
      <c r="JDS131" s="202"/>
      <c r="JDT131" s="203"/>
      <c r="JDU131" s="204"/>
      <c r="JDV131" s="204"/>
      <c r="JDW131" s="204"/>
      <c r="JDX131" s="205"/>
      <c r="JDY131" s="206"/>
      <c r="JDZ131" s="207"/>
      <c r="JEA131" s="207"/>
      <c r="JEB131" s="208"/>
      <c r="JEC131" s="209"/>
      <c r="JED131" s="207"/>
      <c r="JEE131" s="210"/>
      <c r="JEF131" s="209"/>
      <c r="JEG131" s="204"/>
      <c r="JEH131" s="204"/>
      <c r="JEI131" s="204"/>
      <c r="JEJ131" s="199"/>
      <c r="JEK131" s="167"/>
      <c r="JEL131" s="199"/>
      <c r="JEM131" s="200"/>
      <c r="JEN131" s="201"/>
      <c r="JEO131" s="202"/>
      <c r="JEP131" s="202"/>
      <c r="JEQ131" s="202"/>
      <c r="JER131" s="202"/>
      <c r="JES131" s="203"/>
      <c r="JET131" s="204"/>
      <c r="JEU131" s="204"/>
      <c r="JEV131" s="204"/>
      <c r="JEW131" s="205"/>
      <c r="JEX131" s="206"/>
      <c r="JEY131" s="207"/>
      <c r="JEZ131" s="207"/>
      <c r="JFA131" s="208"/>
      <c r="JFB131" s="209"/>
      <c r="JFC131" s="207"/>
      <c r="JFD131" s="210"/>
      <c r="JFE131" s="209"/>
      <c r="JFF131" s="204"/>
      <c r="JFG131" s="204"/>
      <c r="JFH131" s="204"/>
      <c r="JFI131" s="199"/>
      <c r="JFJ131" s="167"/>
      <c r="JFK131" s="199"/>
      <c r="JFL131" s="200"/>
      <c r="JFM131" s="201"/>
      <c r="JFN131" s="202"/>
      <c r="JFO131" s="202"/>
      <c r="JFP131" s="202"/>
      <c r="JFQ131" s="202"/>
      <c r="JFR131" s="203"/>
      <c r="JFS131" s="204"/>
      <c r="JFT131" s="204"/>
      <c r="JFU131" s="204"/>
      <c r="JFV131" s="205"/>
      <c r="JFW131" s="206"/>
      <c r="JFX131" s="207"/>
      <c r="JFY131" s="207"/>
      <c r="JFZ131" s="208"/>
      <c r="JGA131" s="209"/>
      <c r="JGB131" s="207"/>
      <c r="JGC131" s="210"/>
      <c r="JGD131" s="209"/>
      <c r="JGE131" s="204"/>
      <c r="JGF131" s="204"/>
      <c r="JGG131" s="204"/>
      <c r="JGH131" s="199"/>
      <c r="JGI131" s="167"/>
      <c r="JGJ131" s="199"/>
      <c r="JGK131" s="200"/>
      <c r="JGL131" s="201"/>
      <c r="JGM131" s="202"/>
      <c r="JGN131" s="202"/>
      <c r="JGO131" s="202"/>
      <c r="JGP131" s="202"/>
      <c r="JGQ131" s="203"/>
      <c r="JGR131" s="204"/>
      <c r="JGS131" s="204"/>
      <c r="JGT131" s="204"/>
      <c r="JGU131" s="205"/>
      <c r="JGV131" s="206"/>
      <c r="JGW131" s="207"/>
      <c r="JGX131" s="207"/>
      <c r="JGY131" s="208"/>
      <c r="JGZ131" s="209"/>
      <c r="JHA131" s="207"/>
      <c r="JHB131" s="210"/>
      <c r="JHC131" s="209"/>
      <c r="JHD131" s="204"/>
      <c r="JHE131" s="204"/>
      <c r="JHF131" s="204"/>
      <c r="JHG131" s="199"/>
      <c r="JHH131" s="167"/>
      <c r="JHI131" s="199"/>
      <c r="JHJ131" s="200"/>
      <c r="JHK131" s="201"/>
      <c r="JHL131" s="202"/>
      <c r="JHM131" s="202"/>
      <c r="JHN131" s="202"/>
      <c r="JHO131" s="202"/>
      <c r="JHP131" s="203"/>
      <c r="JHQ131" s="204"/>
      <c r="JHR131" s="204"/>
      <c r="JHS131" s="204"/>
      <c r="JHT131" s="205"/>
      <c r="JHU131" s="206"/>
      <c r="JHV131" s="207"/>
      <c r="JHW131" s="207"/>
      <c r="JHX131" s="208"/>
      <c r="JHY131" s="209"/>
      <c r="JHZ131" s="207"/>
      <c r="JIA131" s="210"/>
      <c r="JIB131" s="209"/>
      <c r="JIC131" s="204"/>
      <c r="JID131" s="204"/>
      <c r="JIE131" s="204"/>
      <c r="JIF131" s="199"/>
      <c r="JIG131" s="167"/>
      <c r="JIH131" s="199"/>
      <c r="JII131" s="200"/>
      <c r="JIJ131" s="201"/>
      <c r="JIK131" s="202"/>
      <c r="JIL131" s="202"/>
      <c r="JIM131" s="202"/>
      <c r="JIN131" s="202"/>
      <c r="JIO131" s="203"/>
      <c r="JIP131" s="204"/>
      <c r="JIQ131" s="204"/>
      <c r="JIR131" s="204"/>
      <c r="JIS131" s="205"/>
      <c r="JIT131" s="206"/>
      <c r="JIU131" s="207"/>
      <c r="JIV131" s="207"/>
      <c r="JIW131" s="208"/>
      <c r="JIX131" s="209"/>
      <c r="JIY131" s="207"/>
      <c r="JIZ131" s="210"/>
      <c r="JJA131" s="209"/>
      <c r="JJB131" s="204"/>
      <c r="JJC131" s="204"/>
      <c r="JJD131" s="204"/>
      <c r="JJE131" s="199"/>
      <c r="JJF131" s="167"/>
      <c r="JJG131" s="199"/>
      <c r="JJH131" s="200"/>
      <c r="JJI131" s="201"/>
      <c r="JJJ131" s="202"/>
      <c r="JJK131" s="202"/>
      <c r="JJL131" s="202"/>
      <c r="JJM131" s="202"/>
      <c r="JJN131" s="203"/>
      <c r="JJO131" s="204"/>
      <c r="JJP131" s="204"/>
      <c r="JJQ131" s="204"/>
      <c r="JJR131" s="205"/>
      <c r="JJS131" s="206"/>
      <c r="JJT131" s="207"/>
      <c r="JJU131" s="207"/>
      <c r="JJV131" s="208"/>
      <c r="JJW131" s="209"/>
      <c r="JJX131" s="207"/>
      <c r="JJY131" s="210"/>
      <c r="JJZ131" s="209"/>
      <c r="JKA131" s="204"/>
      <c r="JKB131" s="204"/>
      <c r="JKC131" s="204"/>
      <c r="JKD131" s="199"/>
      <c r="JKE131" s="167"/>
      <c r="JKF131" s="199"/>
      <c r="JKG131" s="200"/>
      <c r="JKH131" s="201"/>
      <c r="JKI131" s="202"/>
      <c r="JKJ131" s="202"/>
      <c r="JKK131" s="202"/>
      <c r="JKL131" s="202"/>
      <c r="JKM131" s="203"/>
      <c r="JKN131" s="204"/>
      <c r="JKO131" s="204"/>
      <c r="JKP131" s="204"/>
      <c r="JKQ131" s="205"/>
      <c r="JKR131" s="206"/>
      <c r="JKS131" s="207"/>
      <c r="JKT131" s="207"/>
      <c r="JKU131" s="208"/>
      <c r="JKV131" s="209"/>
      <c r="JKW131" s="207"/>
      <c r="JKX131" s="210"/>
      <c r="JKY131" s="209"/>
      <c r="JKZ131" s="204"/>
      <c r="JLA131" s="204"/>
      <c r="JLB131" s="204"/>
      <c r="JLC131" s="199"/>
      <c r="JLD131" s="167"/>
      <c r="JLE131" s="199"/>
      <c r="JLF131" s="200"/>
      <c r="JLG131" s="201"/>
      <c r="JLH131" s="202"/>
      <c r="JLI131" s="202"/>
      <c r="JLJ131" s="202"/>
      <c r="JLK131" s="202"/>
      <c r="JLL131" s="203"/>
      <c r="JLM131" s="204"/>
      <c r="JLN131" s="204"/>
      <c r="JLO131" s="204"/>
      <c r="JLP131" s="205"/>
      <c r="JLQ131" s="206"/>
      <c r="JLR131" s="207"/>
      <c r="JLS131" s="207"/>
      <c r="JLT131" s="208"/>
      <c r="JLU131" s="209"/>
      <c r="JLV131" s="207"/>
      <c r="JLW131" s="210"/>
      <c r="JLX131" s="209"/>
      <c r="JLY131" s="204"/>
      <c r="JLZ131" s="204"/>
      <c r="JMA131" s="204"/>
      <c r="JMB131" s="199"/>
      <c r="JMC131" s="167"/>
      <c r="JMD131" s="199"/>
      <c r="JME131" s="200"/>
      <c r="JMF131" s="201"/>
      <c r="JMG131" s="202"/>
      <c r="JMH131" s="202"/>
      <c r="JMI131" s="202"/>
      <c r="JMJ131" s="202"/>
      <c r="JMK131" s="203"/>
      <c r="JML131" s="204"/>
      <c r="JMM131" s="204"/>
      <c r="JMN131" s="204"/>
      <c r="JMO131" s="205"/>
      <c r="JMP131" s="206"/>
      <c r="JMQ131" s="207"/>
      <c r="JMR131" s="207"/>
      <c r="JMS131" s="208"/>
      <c r="JMT131" s="209"/>
      <c r="JMU131" s="207"/>
      <c r="JMV131" s="210"/>
      <c r="JMW131" s="209"/>
      <c r="JMX131" s="204"/>
      <c r="JMY131" s="204"/>
      <c r="JMZ131" s="204"/>
      <c r="JNA131" s="199"/>
      <c r="JNB131" s="167"/>
      <c r="JNC131" s="199"/>
      <c r="JND131" s="200"/>
      <c r="JNE131" s="201"/>
      <c r="JNF131" s="202"/>
      <c r="JNG131" s="202"/>
      <c r="JNH131" s="202"/>
      <c r="JNI131" s="202"/>
      <c r="JNJ131" s="203"/>
      <c r="JNK131" s="204"/>
      <c r="JNL131" s="204"/>
      <c r="JNM131" s="204"/>
      <c r="JNN131" s="205"/>
      <c r="JNO131" s="206"/>
      <c r="JNP131" s="207"/>
      <c r="JNQ131" s="207"/>
      <c r="JNR131" s="208"/>
      <c r="JNS131" s="209"/>
      <c r="JNT131" s="207"/>
      <c r="JNU131" s="210"/>
      <c r="JNV131" s="209"/>
      <c r="JNW131" s="204"/>
      <c r="JNX131" s="204"/>
      <c r="JNY131" s="204"/>
      <c r="JNZ131" s="199"/>
      <c r="JOA131" s="167"/>
      <c r="JOB131" s="199"/>
      <c r="JOC131" s="200"/>
      <c r="JOD131" s="201"/>
      <c r="JOE131" s="202"/>
      <c r="JOF131" s="202"/>
      <c r="JOG131" s="202"/>
      <c r="JOH131" s="202"/>
      <c r="JOI131" s="203"/>
      <c r="JOJ131" s="204"/>
      <c r="JOK131" s="204"/>
      <c r="JOL131" s="204"/>
      <c r="JOM131" s="205"/>
      <c r="JON131" s="206"/>
      <c r="JOO131" s="207"/>
      <c r="JOP131" s="207"/>
      <c r="JOQ131" s="208"/>
      <c r="JOR131" s="209"/>
      <c r="JOS131" s="207"/>
      <c r="JOT131" s="210"/>
      <c r="JOU131" s="209"/>
      <c r="JOV131" s="204"/>
      <c r="JOW131" s="204"/>
      <c r="JOX131" s="204"/>
      <c r="JOY131" s="199"/>
      <c r="JOZ131" s="167"/>
      <c r="JPA131" s="199"/>
      <c r="JPB131" s="200"/>
      <c r="JPC131" s="201"/>
      <c r="JPD131" s="202"/>
      <c r="JPE131" s="202"/>
      <c r="JPF131" s="202"/>
      <c r="JPG131" s="202"/>
      <c r="JPH131" s="203"/>
      <c r="JPI131" s="204"/>
      <c r="JPJ131" s="204"/>
      <c r="JPK131" s="204"/>
      <c r="JPL131" s="205"/>
      <c r="JPM131" s="206"/>
      <c r="JPN131" s="207"/>
      <c r="JPO131" s="207"/>
      <c r="JPP131" s="208"/>
      <c r="JPQ131" s="209"/>
      <c r="JPR131" s="207"/>
      <c r="JPS131" s="210"/>
      <c r="JPT131" s="209"/>
      <c r="JPU131" s="204"/>
      <c r="JPV131" s="204"/>
      <c r="JPW131" s="204"/>
      <c r="JPX131" s="199"/>
      <c r="JPY131" s="167"/>
      <c r="JPZ131" s="199"/>
      <c r="JQA131" s="200"/>
      <c r="JQB131" s="201"/>
      <c r="JQC131" s="202"/>
      <c r="JQD131" s="202"/>
      <c r="JQE131" s="202"/>
      <c r="JQF131" s="202"/>
      <c r="JQG131" s="203"/>
      <c r="JQH131" s="204"/>
      <c r="JQI131" s="204"/>
      <c r="JQJ131" s="204"/>
      <c r="JQK131" s="205"/>
      <c r="JQL131" s="206"/>
      <c r="JQM131" s="207"/>
      <c r="JQN131" s="207"/>
      <c r="JQO131" s="208"/>
      <c r="JQP131" s="209"/>
      <c r="JQQ131" s="207"/>
      <c r="JQR131" s="210"/>
      <c r="JQS131" s="209"/>
      <c r="JQT131" s="204"/>
      <c r="JQU131" s="204"/>
      <c r="JQV131" s="204"/>
      <c r="JQW131" s="199"/>
      <c r="JQX131" s="167"/>
      <c r="JQY131" s="199"/>
      <c r="JQZ131" s="200"/>
      <c r="JRA131" s="201"/>
      <c r="JRB131" s="202"/>
      <c r="JRC131" s="202"/>
      <c r="JRD131" s="202"/>
      <c r="JRE131" s="202"/>
      <c r="JRF131" s="203"/>
      <c r="JRG131" s="204"/>
      <c r="JRH131" s="204"/>
      <c r="JRI131" s="204"/>
      <c r="JRJ131" s="205"/>
      <c r="JRK131" s="206"/>
      <c r="JRL131" s="207"/>
      <c r="JRM131" s="207"/>
      <c r="JRN131" s="208"/>
      <c r="JRO131" s="209"/>
      <c r="JRP131" s="207"/>
      <c r="JRQ131" s="210"/>
      <c r="JRR131" s="209"/>
      <c r="JRS131" s="204"/>
      <c r="JRT131" s="204"/>
      <c r="JRU131" s="204"/>
      <c r="JRV131" s="199"/>
      <c r="JRW131" s="167"/>
      <c r="JRX131" s="199"/>
      <c r="JRY131" s="200"/>
      <c r="JRZ131" s="201"/>
      <c r="JSA131" s="202"/>
      <c r="JSB131" s="202"/>
      <c r="JSC131" s="202"/>
      <c r="JSD131" s="202"/>
      <c r="JSE131" s="203"/>
      <c r="JSF131" s="204"/>
      <c r="JSG131" s="204"/>
      <c r="JSH131" s="204"/>
      <c r="JSI131" s="205"/>
      <c r="JSJ131" s="206"/>
      <c r="JSK131" s="207"/>
      <c r="JSL131" s="207"/>
      <c r="JSM131" s="208"/>
      <c r="JSN131" s="209"/>
      <c r="JSO131" s="207"/>
      <c r="JSP131" s="210"/>
      <c r="JSQ131" s="209"/>
      <c r="JSR131" s="204"/>
      <c r="JSS131" s="204"/>
      <c r="JST131" s="204"/>
      <c r="JSU131" s="199"/>
      <c r="JSV131" s="167"/>
      <c r="JSW131" s="199"/>
      <c r="JSX131" s="200"/>
      <c r="JSY131" s="201"/>
      <c r="JSZ131" s="202"/>
      <c r="JTA131" s="202"/>
      <c r="JTB131" s="202"/>
      <c r="JTC131" s="202"/>
      <c r="JTD131" s="203"/>
      <c r="JTE131" s="204"/>
      <c r="JTF131" s="204"/>
      <c r="JTG131" s="204"/>
      <c r="JTH131" s="205"/>
      <c r="JTI131" s="206"/>
      <c r="JTJ131" s="207"/>
      <c r="JTK131" s="207"/>
      <c r="JTL131" s="208"/>
      <c r="JTM131" s="209"/>
      <c r="JTN131" s="207"/>
      <c r="JTO131" s="210"/>
      <c r="JTP131" s="209"/>
      <c r="JTQ131" s="204"/>
      <c r="JTR131" s="204"/>
      <c r="JTS131" s="204"/>
      <c r="JTT131" s="199"/>
      <c r="JTU131" s="167"/>
      <c r="JTV131" s="199"/>
      <c r="JTW131" s="200"/>
      <c r="JTX131" s="201"/>
      <c r="JTY131" s="202"/>
      <c r="JTZ131" s="202"/>
      <c r="JUA131" s="202"/>
      <c r="JUB131" s="202"/>
      <c r="JUC131" s="203"/>
      <c r="JUD131" s="204"/>
      <c r="JUE131" s="204"/>
      <c r="JUF131" s="204"/>
      <c r="JUG131" s="205"/>
      <c r="JUH131" s="206"/>
      <c r="JUI131" s="207"/>
      <c r="JUJ131" s="207"/>
      <c r="JUK131" s="208"/>
      <c r="JUL131" s="209"/>
      <c r="JUM131" s="207"/>
      <c r="JUN131" s="210"/>
      <c r="JUO131" s="209"/>
      <c r="JUP131" s="204"/>
      <c r="JUQ131" s="204"/>
      <c r="JUR131" s="204"/>
      <c r="JUS131" s="199"/>
      <c r="JUT131" s="167"/>
      <c r="JUU131" s="199"/>
      <c r="JUV131" s="200"/>
      <c r="JUW131" s="201"/>
      <c r="JUX131" s="202"/>
      <c r="JUY131" s="202"/>
      <c r="JUZ131" s="202"/>
      <c r="JVA131" s="202"/>
      <c r="JVB131" s="203"/>
      <c r="JVC131" s="204"/>
      <c r="JVD131" s="204"/>
      <c r="JVE131" s="204"/>
      <c r="JVF131" s="205"/>
      <c r="JVG131" s="206"/>
      <c r="JVH131" s="207"/>
      <c r="JVI131" s="207"/>
      <c r="JVJ131" s="208"/>
      <c r="JVK131" s="209"/>
      <c r="JVL131" s="207"/>
      <c r="JVM131" s="210"/>
      <c r="JVN131" s="209"/>
      <c r="JVO131" s="204"/>
      <c r="JVP131" s="204"/>
      <c r="JVQ131" s="204"/>
      <c r="JVR131" s="199"/>
      <c r="JVS131" s="167"/>
      <c r="JVT131" s="199"/>
      <c r="JVU131" s="200"/>
      <c r="JVV131" s="201"/>
      <c r="JVW131" s="202"/>
      <c r="JVX131" s="202"/>
      <c r="JVY131" s="202"/>
      <c r="JVZ131" s="202"/>
      <c r="JWA131" s="203"/>
      <c r="JWB131" s="204"/>
      <c r="JWC131" s="204"/>
      <c r="JWD131" s="204"/>
      <c r="JWE131" s="205"/>
      <c r="JWF131" s="206"/>
      <c r="JWG131" s="207"/>
      <c r="JWH131" s="207"/>
      <c r="JWI131" s="208"/>
      <c r="JWJ131" s="209"/>
      <c r="JWK131" s="207"/>
      <c r="JWL131" s="210"/>
      <c r="JWM131" s="209"/>
      <c r="JWN131" s="204"/>
      <c r="JWO131" s="204"/>
      <c r="JWP131" s="204"/>
      <c r="JWQ131" s="199"/>
      <c r="JWR131" s="167"/>
      <c r="JWS131" s="199"/>
      <c r="JWT131" s="200"/>
      <c r="JWU131" s="201"/>
      <c r="JWV131" s="202"/>
      <c r="JWW131" s="202"/>
      <c r="JWX131" s="202"/>
      <c r="JWY131" s="202"/>
      <c r="JWZ131" s="203"/>
      <c r="JXA131" s="204"/>
      <c r="JXB131" s="204"/>
      <c r="JXC131" s="204"/>
      <c r="JXD131" s="205"/>
      <c r="JXE131" s="206"/>
      <c r="JXF131" s="207"/>
      <c r="JXG131" s="207"/>
      <c r="JXH131" s="208"/>
      <c r="JXI131" s="209"/>
      <c r="JXJ131" s="207"/>
      <c r="JXK131" s="210"/>
      <c r="JXL131" s="209"/>
      <c r="JXM131" s="204"/>
      <c r="JXN131" s="204"/>
      <c r="JXO131" s="204"/>
      <c r="JXP131" s="199"/>
      <c r="JXQ131" s="167"/>
      <c r="JXR131" s="199"/>
      <c r="JXS131" s="200"/>
      <c r="JXT131" s="201"/>
      <c r="JXU131" s="202"/>
      <c r="JXV131" s="202"/>
      <c r="JXW131" s="202"/>
      <c r="JXX131" s="202"/>
      <c r="JXY131" s="203"/>
      <c r="JXZ131" s="204"/>
      <c r="JYA131" s="204"/>
      <c r="JYB131" s="204"/>
      <c r="JYC131" s="205"/>
      <c r="JYD131" s="206"/>
      <c r="JYE131" s="207"/>
      <c r="JYF131" s="207"/>
      <c r="JYG131" s="208"/>
      <c r="JYH131" s="209"/>
      <c r="JYI131" s="207"/>
      <c r="JYJ131" s="210"/>
      <c r="JYK131" s="209"/>
      <c r="JYL131" s="204"/>
      <c r="JYM131" s="204"/>
      <c r="JYN131" s="204"/>
      <c r="JYO131" s="199"/>
      <c r="JYP131" s="167"/>
      <c r="JYQ131" s="199"/>
      <c r="JYR131" s="200"/>
      <c r="JYS131" s="201"/>
      <c r="JYT131" s="202"/>
      <c r="JYU131" s="202"/>
      <c r="JYV131" s="202"/>
      <c r="JYW131" s="202"/>
      <c r="JYX131" s="203"/>
      <c r="JYY131" s="204"/>
      <c r="JYZ131" s="204"/>
      <c r="JZA131" s="204"/>
      <c r="JZB131" s="205"/>
      <c r="JZC131" s="206"/>
      <c r="JZD131" s="207"/>
      <c r="JZE131" s="207"/>
      <c r="JZF131" s="208"/>
      <c r="JZG131" s="209"/>
      <c r="JZH131" s="207"/>
      <c r="JZI131" s="210"/>
      <c r="JZJ131" s="209"/>
      <c r="JZK131" s="204"/>
      <c r="JZL131" s="204"/>
      <c r="JZM131" s="204"/>
      <c r="JZN131" s="199"/>
      <c r="JZO131" s="167"/>
      <c r="JZP131" s="199"/>
      <c r="JZQ131" s="200"/>
      <c r="JZR131" s="201"/>
      <c r="JZS131" s="202"/>
      <c r="JZT131" s="202"/>
      <c r="JZU131" s="202"/>
      <c r="JZV131" s="202"/>
      <c r="JZW131" s="203"/>
      <c r="JZX131" s="204"/>
      <c r="JZY131" s="204"/>
      <c r="JZZ131" s="204"/>
      <c r="KAA131" s="205"/>
      <c r="KAB131" s="206"/>
      <c r="KAC131" s="207"/>
      <c r="KAD131" s="207"/>
      <c r="KAE131" s="208"/>
      <c r="KAF131" s="209"/>
      <c r="KAG131" s="207"/>
      <c r="KAH131" s="210"/>
      <c r="KAI131" s="209"/>
      <c r="KAJ131" s="204"/>
      <c r="KAK131" s="204"/>
      <c r="KAL131" s="204"/>
      <c r="KAM131" s="199"/>
      <c r="KAN131" s="167"/>
      <c r="KAO131" s="199"/>
      <c r="KAP131" s="200"/>
      <c r="KAQ131" s="201"/>
      <c r="KAR131" s="202"/>
      <c r="KAS131" s="202"/>
      <c r="KAT131" s="202"/>
      <c r="KAU131" s="202"/>
      <c r="KAV131" s="203"/>
      <c r="KAW131" s="204"/>
      <c r="KAX131" s="204"/>
      <c r="KAY131" s="204"/>
      <c r="KAZ131" s="205"/>
      <c r="KBA131" s="206"/>
      <c r="KBB131" s="207"/>
      <c r="KBC131" s="207"/>
      <c r="KBD131" s="208"/>
      <c r="KBE131" s="209"/>
      <c r="KBF131" s="207"/>
      <c r="KBG131" s="210"/>
      <c r="KBH131" s="209"/>
      <c r="KBI131" s="204"/>
      <c r="KBJ131" s="204"/>
      <c r="KBK131" s="204"/>
      <c r="KBL131" s="199"/>
      <c r="KBM131" s="167"/>
      <c r="KBN131" s="199"/>
      <c r="KBO131" s="200"/>
      <c r="KBP131" s="201"/>
      <c r="KBQ131" s="202"/>
      <c r="KBR131" s="202"/>
      <c r="KBS131" s="202"/>
      <c r="KBT131" s="202"/>
      <c r="KBU131" s="203"/>
      <c r="KBV131" s="204"/>
      <c r="KBW131" s="204"/>
      <c r="KBX131" s="204"/>
      <c r="KBY131" s="205"/>
      <c r="KBZ131" s="206"/>
      <c r="KCA131" s="207"/>
      <c r="KCB131" s="207"/>
      <c r="KCC131" s="208"/>
      <c r="KCD131" s="209"/>
      <c r="KCE131" s="207"/>
      <c r="KCF131" s="210"/>
      <c r="KCG131" s="209"/>
      <c r="KCH131" s="204"/>
      <c r="KCI131" s="204"/>
      <c r="KCJ131" s="204"/>
      <c r="KCK131" s="199"/>
      <c r="KCL131" s="167"/>
      <c r="KCM131" s="199"/>
      <c r="KCN131" s="200"/>
      <c r="KCO131" s="201"/>
      <c r="KCP131" s="202"/>
      <c r="KCQ131" s="202"/>
      <c r="KCR131" s="202"/>
      <c r="KCS131" s="202"/>
      <c r="KCT131" s="203"/>
      <c r="KCU131" s="204"/>
      <c r="KCV131" s="204"/>
      <c r="KCW131" s="204"/>
      <c r="KCX131" s="205"/>
      <c r="KCY131" s="206"/>
      <c r="KCZ131" s="207"/>
      <c r="KDA131" s="207"/>
      <c r="KDB131" s="208"/>
      <c r="KDC131" s="209"/>
      <c r="KDD131" s="207"/>
      <c r="KDE131" s="210"/>
      <c r="KDF131" s="209"/>
      <c r="KDG131" s="204"/>
      <c r="KDH131" s="204"/>
      <c r="KDI131" s="204"/>
      <c r="KDJ131" s="199"/>
      <c r="KDK131" s="167"/>
      <c r="KDL131" s="199"/>
      <c r="KDM131" s="200"/>
      <c r="KDN131" s="201"/>
      <c r="KDO131" s="202"/>
      <c r="KDP131" s="202"/>
      <c r="KDQ131" s="202"/>
      <c r="KDR131" s="202"/>
      <c r="KDS131" s="203"/>
      <c r="KDT131" s="204"/>
      <c r="KDU131" s="204"/>
      <c r="KDV131" s="204"/>
      <c r="KDW131" s="205"/>
      <c r="KDX131" s="206"/>
      <c r="KDY131" s="207"/>
      <c r="KDZ131" s="207"/>
      <c r="KEA131" s="208"/>
      <c r="KEB131" s="209"/>
      <c r="KEC131" s="207"/>
      <c r="KED131" s="210"/>
      <c r="KEE131" s="209"/>
      <c r="KEF131" s="204"/>
      <c r="KEG131" s="204"/>
      <c r="KEH131" s="204"/>
      <c r="KEI131" s="199"/>
      <c r="KEJ131" s="167"/>
      <c r="KEK131" s="199"/>
      <c r="KEL131" s="200"/>
      <c r="KEM131" s="201"/>
      <c r="KEN131" s="202"/>
      <c r="KEO131" s="202"/>
      <c r="KEP131" s="202"/>
      <c r="KEQ131" s="202"/>
      <c r="KER131" s="203"/>
      <c r="KES131" s="204"/>
      <c r="KET131" s="204"/>
      <c r="KEU131" s="204"/>
      <c r="KEV131" s="205"/>
      <c r="KEW131" s="206"/>
      <c r="KEX131" s="207"/>
      <c r="KEY131" s="207"/>
      <c r="KEZ131" s="208"/>
      <c r="KFA131" s="209"/>
      <c r="KFB131" s="207"/>
      <c r="KFC131" s="210"/>
      <c r="KFD131" s="209"/>
      <c r="KFE131" s="204"/>
      <c r="KFF131" s="204"/>
      <c r="KFG131" s="204"/>
      <c r="KFH131" s="199"/>
      <c r="KFI131" s="167"/>
      <c r="KFJ131" s="199"/>
      <c r="KFK131" s="200"/>
      <c r="KFL131" s="201"/>
      <c r="KFM131" s="202"/>
      <c r="KFN131" s="202"/>
      <c r="KFO131" s="202"/>
      <c r="KFP131" s="202"/>
      <c r="KFQ131" s="203"/>
      <c r="KFR131" s="204"/>
      <c r="KFS131" s="204"/>
      <c r="KFT131" s="204"/>
      <c r="KFU131" s="205"/>
      <c r="KFV131" s="206"/>
      <c r="KFW131" s="207"/>
      <c r="KFX131" s="207"/>
      <c r="KFY131" s="208"/>
      <c r="KFZ131" s="209"/>
      <c r="KGA131" s="207"/>
      <c r="KGB131" s="210"/>
      <c r="KGC131" s="209"/>
      <c r="KGD131" s="204"/>
      <c r="KGE131" s="204"/>
      <c r="KGF131" s="204"/>
      <c r="KGG131" s="199"/>
      <c r="KGH131" s="167"/>
      <c r="KGI131" s="199"/>
      <c r="KGJ131" s="200"/>
      <c r="KGK131" s="201"/>
      <c r="KGL131" s="202"/>
      <c r="KGM131" s="202"/>
      <c r="KGN131" s="202"/>
      <c r="KGO131" s="202"/>
      <c r="KGP131" s="203"/>
      <c r="KGQ131" s="204"/>
      <c r="KGR131" s="204"/>
      <c r="KGS131" s="204"/>
      <c r="KGT131" s="205"/>
      <c r="KGU131" s="206"/>
      <c r="KGV131" s="207"/>
      <c r="KGW131" s="207"/>
      <c r="KGX131" s="208"/>
      <c r="KGY131" s="209"/>
      <c r="KGZ131" s="207"/>
      <c r="KHA131" s="210"/>
      <c r="KHB131" s="209"/>
      <c r="KHC131" s="204"/>
      <c r="KHD131" s="204"/>
      <c r="KHE131" s="204"/>
      <c r="KHF131" s="199"/>
      <c r="KHG131" s="167"/>
      <c r="KHH131" s="199"/>
      <c r="KHI131" s="200"/>
      <c r="KHJ131" s="201"/>
      <c r="KHK131" s="202"/>
      <c r="KHL131" s="202"/>
      <c r="KHM131" s="202"/>
      <c r="KHN131" s="202"/>
      <c r="KHO131" s="203"/>
      <c r="KHP131" s="204"/>
      <c r="KHQ131" s="204"/>
      <c r="KHR131" s="204"/>
      <c r="KHS131" s="205"/>
      <c r="KHT131" s="206"/>
      <c r="KHU131" s="207"/>
      <c r="KHV131" s="207"/>
      <c r="KHW131" s="208"/>
      <c r="KHX131" s="209"/>
      <c r="KHY131" s="207"/>
      <c r="KHZ131" s="210"/>
      <c r="KIA131" s="209"/>
      <c r="KIB131" s="204"/>
      <c r="KIC131" s="204"/>
      <c r="KID131" s="204"/>
      <c r="KIE131" s="199"/>
      <c r="KIF131" s="167"/>
      <c r="KIG131" s="199"/>
      <c r="KIH131" s="200"/>
      <c r="KII131" s="201"/>
      <c r="KIJ131" s="202"/>
      <c r="KIK131" s="202"/>
      <c r="KIL131" s="202"/>
      <c r="KIM131" s="202"/>
      <c r="KIN131" s="203"/>
      <c r="KIO131" s="204"/>
      <c r="KIP131" s="204"/>
      <c r="KIQ131" s="204"/>
      <c r="KIR131" s="205"/>
      <c r="KIS131" s="206"/>
      <c r="KIT131" s="207"/>
      <c r="KIU131" s="207"/>
      <c r="KIV131" s="208"/>
      <c r="KIW131" s="209"/>
      <c r="KIX131" s="207"/>
      <c r="KIY131" s="210"/>
      <c r="KIZ131" s="209"/>
      <c r="KJA131" s="204"/>
      <c r="KJB131" s="204"/>
      <c r="KJC131" s="204"/>
      <c r="KJD131" s="199"/>
      <c r="KJE131" s="167"/>
      <c r="KJF131" s="199"/>
      <c r="KJG131" s="200"/>
      <c r="KJH131" s="201"/>
      <c r="KJI131" s="202"/>
      <c r="KJJ131" s="202"/>
      <c r="KJK131" s="202"/>
      <c r="KJL131" s="202"/>
      <c r="KJM131" s="203"/>
      <c r="KJN131" s="204"/>
      <c r="KJO131" s="204"/>
      <c r="KJP131" s="204"/>
      <c r="KJQ131" s="205"/>
      <c r="KJR131" s="206"/>
      <c r="KJS131" s="207"/>
      <c r="KJT131" s="207"/>
      <c r="KJU131" s="208"/>
      <c r="KJV131" s="209"/>
      <c r="KJW131" s="207"/>
      <c r="KJX131" s="210"/>
      <c r="KJY131" s="209"/>
      <c r="KJZ131" s="204"/>
      <c r="KKA131" s="204"/>
      <c r="KKB131" s="204"/>
      <c r="KKC131" s="199"/>
      <c r="KKD131" s="167"/>
      <c r="KKE131" s="199"/>
      <c r="KKF131" s="200"/>
      <c r="KKG131" s="201"/>
      <c r="KKH131" s="202"/>
      <c r="KKI131" s="202"/>
      <c r="KKJ131" s="202"/>
      <c r="KKK131" s="202"/>
      <c r="KKL131" s="203"/>
      <c r="KKM131" s="204"/>
      <c r="KKN131" s="204"/>
      <c r="KKO131" s="204"/>
      <c r="KKP131" s="205"/>
      <c r="KKQ131" s="206"/>
      <c r="KKR131" s="207"/>
      <c r="KKS131" s="207"/>
      <c r="KKT131" s="208"/>
      <c r="KKU131" s="209"/>
      <c r="KKV131" s="207"/>
      <c r="KKW131" s="210"/>
      <c r="KKX131" s="209"/>
      <c r="KKY131" s="204"/>
      <c r="KKZ131" s="204"/>
      <c r="KLA131" s="204"/>
      <c r="KLB131" s="199"/>
      <c r="KLC131" s="167"/>
      <c r="KLD131" s="199"/>
      <c r="KLE131" s="200"/>
      <c r="KLF131" s="201"/>
      <c r="KLG131" s="202"/>
      <c r="KLH131" s="202"/>
      <c r="KLI131" s="202"/>
      <c r="KLJ131" s="202"/>
      <c r="KLK131" s="203"/>
      <c r="KLL131" s="204"/>
      <c r="KLM131" s="204"/>
      <c r="KLN131" s="204"/>
      <c r="KLO131" s="205"/>
      <c r="KLP131" s="206"/>
      <c r="KLQ131" s="207"/>
      <c r="KLR131" s="207"/>
      <c r="KLS131" s="208"/>
      <c r="KLT131" s="209"/>
      <c r="KLU131" s="207"/>
      <c r="KLV131" s="210"/>
      <c r="KLW131" s="209"/>
      <c r="KLX131" s="204"/>
      <c r="KLY131" s="204"/>
      <c r="KLZ131" s="204"/>
      <c r="KMA131" s="199"/>
      <c r="KMB131" s="167"/>
      <c r="KMC131" s="199"/>
      <c r="KMD131" s="200"/>
      <c r="KME131" s="201"/>
      <c r="KMF131" s="202"/>
      <c r="KMG131" s="202"/>
      <c r="KMH131" s="202"/>
      <c r="KMI131" s="202"/>
      <c r="KMJ131" s="203"/>
      <c r="KMK131" s="204"/>
      <c r="KML131" s="204"/>
      <c r="KMM131" s="204"/>
      <c r="KMN131" s="205"/>
      <c r="KMO131" s="206"/>
      <c r="KMP131" s="207"/>
      <c r="KMQ131" s="207"/>
      <c r="KMR131" s="208"/>
      <c r="KMS131" s="209"/>
      <c r="KMT131" s="207"/>
      <c r="KMU131" s="210"/>
      <c r="KMV131" s="209"/>
      <c r="KMW131" s="204"/>
      <c r="KMX131" s="204"/>
      <c r="KMY131" s="204"/>
      <c r="KMZ131" s="199"/>
      <c r="KNA131" s="167"/>
      <c r="KNB131" s="199"/>
      <c r="KNC131" s="200"/>
      <c r="KND131" s="201"/>
      <c r="KNE131" s="202"/>
      <c r="KNF131" s="202"/>
      <c r="KNG131" s="202"/>
      <c r="KNH131" s="202"/>
      <c r="KNI131" s="203"/>
      <c r="KNJ131" s="204"/>
      <c r="KNK131" s="204"/>
      <c r="KNL131" s="204"/>
      <c r="KNM131" s="205"/>
      <c r="KNN131" s="206"/>
      <c r="KNO131" s="207"/>
      <c r="KNP131" s="207"/>
      <c r="KNQ131" s="208"/>
      <c r="KNR131" s="209"/>
      <c r="KNS131" s="207"/>
      <c r="KNT131" s="210"/>
      <c r="KNU131" s="209"/>
      <c r="KNV131" s="204"/>
      <c r="KNW131" s="204"/>
      <c r="KNX131" s="204"/>
      <c r="KNY131" s="199"/>
      <c r="KNZ131" s="167"/>
      <c r="KOA131" s="199"/>
      <c r="KOB131" s="200"/>
      <c r="KOC131" s="201"/>
      <c r="KOD131" s="202"/>
      <c r="KOE131" s="202"/>
      <c r="KOF131" s="202"/>
      <c r="KOG131" s="202"/>
      <c r="KOH131" s="203"/>
      <c r="KOI131" s="204"/>
      <c r="KOJ131" s="204"/>
      <c r="KOK131" s="204"/>
      <c r="KOL131" s="205"/>
      <c r="KOM131" s="206"/>
      <c r="KON131" s="207"/>
      <c r="KOO131" s="207"/>
      <c r="KOP131" s="208"/>
      <c r="KOQ131" s="209"/>
      <c r="KOR131" s="207"/>
      <c r="KOS131" s="210"/>
      <c r="KOT131" s="209"/>
      <c r="KOU131" s="204"/>
      <c r="KOV131" s="204"/>
      <c r="KOW131" s="204"/>
      <c r="KOX131" s="199"/>
      <c r="KOY131" s="167"/>
      <c r="KOZ131" s="199"/>
      <c r="KPA131" s="200"/>
      <c r="KPB131" s="201"/>
      <c r="KPC131" s="202"/>
      <c r="KPD131" s="202"/>
      <c r="KPE131" s="202"/>
      <c r="KPF131" s="202"/>
      <c r="KPG131" s="203"/>
      <c r="KPH131" s="204"/>
      <c r="KPI131" s="204"/>
      <c r="KPJ131" s="204"/>
      <c r="KPK131" s="205"/>
      <c r="KPL131" s="206"/>
      <c r="KPM131" s="207"/>
      <c r="KPN131" s="207"/>
      <c r="KPO131" s="208"/>
      <c r="KPP131" s="209"/>
      <c r="KPQ131" s="207"/>
      <c r="KPR131" s="210"/>
      <c r="KPS131" s="209"/>
      <c r="KPT131" s="204"/>
      <c r="KPU131" s="204"/>
      <c r="KPV131" s="204"/>
      <c r="KPW131" s="199"/>
      <c r="KPX131" s="167"/>
      <c r="KPY131" s="199"/>
      <c r="KPZ131" s="200"/>
      <c r="KQA131" s="201"/>
      <c r="KQB131" s="202"/>
      <c r="KQC131" s="202"/>
      <c r="KQD131" s="202"/>
      <c r="KQE131" s="202"/>
      <c r="KQF131" s="203"/>
      <c r="KQG131" s="204"/>
      <c r="KQH131" s="204"/>
      <c r="KQI131" s="204"/>
      <c r="KQJ131" s="205"/>
      <c r="KQK131" s="206"/>
      <c r="KQL131" s="207"/>
      <c r="KQM131" s="207"/>
      <c r="KQN131" s="208"/>
      <c r="KQO131" s="209"/>
      <c r="KQP131" s="207"/>
      <c r="KQQ131" s="210"/>
      <c r="KQR131" s="209"/>
      <c r="KQS131" s="204"/>
      <c r="KQT131" s="204"/>
      <c r="KQU131" s="204"/>
      <c r="KQV131" s="199"/>
      <c r="KQW131" s="167"/>
      <c r="KQX131" s="199"/>
      <c r="KQY131" s="200"/>
      <c r="KQZ131" s="201"/>
      <c r="KRA131" s="202"/>
      <c r="KRB131" s="202"/>
      <c r="KRC131" s="202"/>
      <c r="KRD131" s="202"/>
      <c r="KRE131" s="203"/>
      <c r="KRF131" s="204"/>
      <c r="KRG131" s="204"/>
      <c r="KRH131" s="204"/>
      <c r="KRI131" s="205"/>
      <c r="KRJ131" s="206"/>
      <c r="KRK131" s="207"/>
      <c r="KRL131" s="207"/>
      <c r="KRM131" s="208"/>
      <c r="KRN131" s="209"/>
      <c r="KRO131" s="207"/>
      <c r="KRP131" s="210"/>
      <c r="KRQ131" s="209"/>
      <c r="KRR131" s="204"/>
      <c r="KRS131" s="204"/>
      <c r="KRT131" s="204"/>
      <c r="KRU131" s="199"/>
      <c r="KRV131" s="167"/>
      <c r="KRW131" s="199"/>
      <c r="KRX131" s="200"/>
      <c r="KRY131" s="201"/>
      <c r="KRZ131" s="202"/>
      <c r="KSA131" s="202"/>
      <c r="KSB131" s="202"/>
      <c r="KSC131" s="202"/>
      <c r="KSD131" s="203"/>
      <c r="KSE131" s="204"/>
      <c r="KSF131" s="204"/>
      <c r="KSG131" s="204"/>
      <c r="KSH131" s="205"/>
      <c r="KSI131" s="206"/>
      <c r="KSJ131" s="207"/>
      <c r="KSK131" s="207"/>
      <c r="KSL131" s="208"/>
      <c r="KSM131" s="209"/>
      <c r="KSN131" s="207"/>
      <c r="KSO131" s="210"/>
      <c r="KSP131" s="209"/>
      <c r="KSQ131" s="204"/>
      <c r="KSR131" s="204"/>
      <c r="KSS131" s="204"/>
      <c r="KST131" s="199"/>
      <c r="KSU131" s="167"/>
      <c r="KSV131" s="199"/>
      <c r="KSW131" s="200"/>
      <c r="KSX131" s="201"/>
      <c r="KSY131" s="202"/>
      <c r="KSZ131" s="202"/>
      <c r="KTA131" s="202"/>
      <c r="KTB131" s="202"/>
      <c r="KTC131" s="203"/>
      <c r="KTD131" s="204"/>
      <c r="KTE131" s="204"/>
      <c r="KTF131" s="204"/>
      <c r="KTG131" s="205"/>
      <c r="KTH131" s="206"/>
      <c r="KTI131" s="207"/>
      <c r="KTJ131" s="207"/>
      <c r="KTK131" s="208"/>
      <c r="KTL131" s="209"/>
      <c r="KTM131" s="207"/>
      <c r="KTN131" s="210"/>
      <c r="KTO131" s="209"/>
      <c r="KTP131" s="204"/>
      <c r="KTQ131" s="204"/>
      <c r="KTR131" s="204"/>
      <c r="KTS131" s="199"/>
      <c r="KTT131" s="167"/>
      <c r="KTU131" s="199"/>
      <c r="KTV131" s="200"/>
      <c r="KTW131" s="201"/>
      <c r="KTX131" s="202"/>
      <c r="KTY131" s="202"/>
      <c r="KTZ131" s="202"/>
      <c r="KUA131" s="202"/>
      <c r="KUB131" s="203"/>
      <c r="KUC131" s="204"/>
      <c r="KUD131" s="204"/>
      <c r="KUE131" s="204"/>
      <c r="KUF131" s="205"/>
      <c r="KUG131" s="206"/>
      <c r="KUH131" s="207"/>
      <c r="KUI131" s="207"/>
      <c r="KUJ131" s="208"/>
      <c r="KUK131" s="209"/>
      <c r="KUL131" s="207"/>
      <c r="KUM131" s="210"/>
      <c r="KUN131" s="209"/>
      <c r="KUO131" s="204"/>
      <c r="KUP131" s="204"/>
      <c r="KUQ131" s="204"/>
      <c r="KUR131" s="199"/>
      <c r="KUS131" s="167"/>
      <c r="KUT131" s="199"/>
      <c r="KUU131" s="200"/>
      <c r="KUV131" s="201"/>
      <c r="KUW131" s="202"/>
      <c r="KUX131" s="202"/>
      <c r="KUY131" s="202"/>
      <c r="KUZ131" s="202"/>
      <c r="KVA131" s="203"/>
      <c r="KVB131" s="204"/>
      <c r="KVC131" s="204"/>
      <c r="KVD131" s="204"/>
      <c r="KVE131" s="205"/>
      <c r="KVF131" s="206"/>
      <c r="KVG131" s="207"/>
      <c r="KVH131" s="207"/>
      <c r="KVI131" s="208"/>
      <c r="KVJ131" s="209"/>
      <c r="KVK131" s="207"/>
      <c r="KVL131" s="210"/>
      <c r="KVM131" s="209"/>
      <c r="KVN131" s="204"/>
      <c r="KVO131" s="204"/>
      <c r="KVP131" s="204"/>
      <c r="KVQ131" s="199"/>
      <c r="KVR131" s="167"/>
      <c r="KVS131" s="199"/>
      <c r="KVT131" s="200"/>
      <c r="KVU131" s="201"/>
      <c r="KVV131" s="202"/>
      <c r="KVW131" s="202"/>
      <c r="KVX131" s="202"/>
      <c r="KVY131" s="202"/>
      <c r="KVZ131" s="203"/>
      <c r="KWA131" s="204"/>
      <c r="KWB131" s="204"/>
      <c r="KWC131" s="204"/>
      <c r="KWD131" s="205"/>
      <c r="KWE131" s="206"/>
      <c r="KWF131" s="207"/>
      <c r="KWG131" s="207"/>
      <c r="KWH131" s="208"/>
      <c r="KWI131" s="209"/>
      <c r="KWJ131" s="207"/>
      <c r="KWK131" s="210"/>
      <c r="KWL131" s="209"/>
      <c r="KWM131" s="204"/>
      <c r="KWN131" s="204"/>
      <c r="KWO131" s="204"/>
      <c r="KWP131" s="199"/>
      <c r="KWQ131" s="167"/>
      <c r="KWR131" s="199"/>
      <c r="KWS131" s="200"/>
      <c r="KWT131" s="201"/>
      <c r="KWU131" s="202"/>
      <c r="KWV131" s="202"/>
      <c r="KWW131" s="202"/>
      <c r="KWX131" s="202"/>
      <c r="KWY131" s="203"/>
      <c r="KWZ131" s="204"/>
      <c r="KXA131" s="204"/>
      <c r="KXB131" s="204"/>
      <c r="KXC131" s="205"/>
      <c r="KXD131" s="206"/>
      <c r="KXE131" s="207"/>
      <c r="KXF131" s="207"/>
      <c r="KXG131" s="208"/>
      <c r="KXH131" s="209"/>
      <c r="KXI131" s="207"/>
      <c r="KXJ131" s="210"/>
      <c r="KXK131" s="209"/>
      <c r="KXL131" s="204"/>
      <c r="KXM131" s="204"/>
      <c r="KXN131" s="204"/>
      <c r="KXO131" s="199"/>
      <c r="KXP131" s="167"/>
      <c r="KXQ131" s="199"/>
      <c r="KXR131" s="200"/>
      <c r="KXS131" s="201"/>
      <c r="KXT131" s="202"/>
      <c r="KXU131" s="202"/>
      <c r="KXV131" s="202"/>
      <c r="KXW131" s="202"/>
      <c r="KXX131" s="203"/>
      <c r="KXY131" s="204"/>
      <c r="KXZ131" s="204"/>
      <c r="KYA131" s="204"/>
      <c r="KYB131" s="205"/>
      <c r="KYC131" s="206"/>
      <c r="KYD131" s="207"/>
      <c r="KYE131" s="207"/>
      <c r="KYF131" s="208"/>
      <c r="KYG131" s="209"/>
      <c r="KYH131" s="207"/>
      <c r="KYI131" s="210"/>
      <c r="KYJ131" s="209"/>
      <c r="KYK131" s="204"/>
      <c r="KYL131" s="204"/>
      <c r="KYM131" s="204"/>
      <c r="KYN131" s="199"/>
      <c r="KYO131" s="167"/>
      <c r="KYP131" s="199"/>
      <c r="KYQ131" s="200"/>
      <c r="KYR131" s="201"/>
      <c r="KYS131" s="202"/>
      <c r="KYT131" s="202"/>
      <c r="KYU131" s="202"/>
      <c r="KYV131" s="202"/>
      <c r="KYW131" s="203"/>
      <c r="KYX131" s="204"/>
      <c r="KYY131" s="204"/>
      <c r="KYZ131" s="204"/>
      <c r="KZA131" s="205"/>
      <c r="KZB131" s="206"/>
      <c r="KZC131" s="207"/>
      <c r="KZD131" s="207"/>
      <c r="KZE131" s="208"/>
      <c r="KZF131" s="209"/>
      <c r="KZG131" s="207"/>
      <c r="KZH131" s="210"/>
      <c r="KZI131" s="209"/>
      <c r="KZJ131" s="204"/>
      <c r="KZK131" s="204"/>
      <c r="KZL131" s="204"/>
      <c r="KZM131" s="199"/>
      <c r="KZN131" s="167"/>
      <c r="KZO131" s="199"/>
      <c r="KZP131" s="200"/>
      <c r="KZQ131" s="201"/>
      <c r="KZR131" s="202"/>
      <c r="KZS131" s="202"/>
      <c r="KZT131" s="202"/>
      <c r="KZU131" s="202"/>
      <c r="KZV131" s="203"/>
      <c r="KZW131" s="204"/>
      <c r="KZX131" s="204"/>
      <c r="KZY131" s="204"/>
      <c r="KZZ131" s="205"/>
      <c r="LAA131" s="206"/>
      <c r="LAB131" s="207"/>
      <c r="LAC131" s="207"/>
      <c r="LAD131" s="208"/>
      <c r="LAE131" s="209"/>
      <c r="LAF131" s="207"/>
      <c r="LAG131" s="210"/>
      <c r="LAH131" s="209"/>
      <c r="LAI131" s="204"/>
      <c r="LAJ131" s="204"/>
      <c r="LAK131" s="204"/>
      <c r="LAL131" s="199"/>
      <c r="LAM131" s="167"/>
      <c r="LAN131" s="199"/>
      <c r="LAO131" s="200"/>
      <c r="LAP131" s="201"/>
      <c r="LAQ131" s="202"/>
      <c r="LAR131" s="202"/>
      <c r="LAS131" s="202"/>
      <c r="LAT131" s="202"/>
      <c r="LAU131" s="203"/>
      <c r="LAV131" s="204"/>
      <c r="LAW131" s="204"/>
      <c r="LAX131" s="204"/>
      <c r="LAY131" s="205"/>
      <c r="LAZ131" s="206"/>
      <c r="LBA131" s="207"/>
      <c r="LBB131" s="207"/>
      <c r="LBC131" s="208"/>
      <c r="LBD131" s="209"/>
      <c r="LBE131" s="207"/>
      <c r="LBF131" s="210"/>
      <c r="LBG131" s="209"/>
      <c r="LBH131" s="204"/>
      <c r="LBI131" s="204"/>
      <c r="LBJ131" s="204"/>
      <c r="LBK131" s="199"/>
      <c r="LBL131" s="167"/>
      <c r="LBM131" s="199"/>
      <c r="LBN131" s="200"/>
      <c r="LBO131" s="201"/>
      <c r="LBP131" s="202"/>
      <c r="LBQ131" s="202"/>
      <c r="LBR131" s="202"/>
      <c r="LBS131" s="202"/>
      <c r="LBT131" s="203"/>
      <c r="LBU131" s="204"/>
      <c r="LBV131" s="204"/>
      <c r="LBW131" s="204"/>
      <c r="LBX131" s="205"/>
      <c r="LBY131" s="206"/>
      <c r="LBZ131" s="207"/>
      <c r="LCA131" s="207"/>
      <c r="LCB131" s="208"/>
      <c r="LCC131" s="209"/>
      <c r="LCD131" s="207"/>
      <c r="LCE131" s="210"/>
      <c r="LCF131" s="209"/>
      <c r="LCG131" s="204"/>
      <c r="LCH131" s="204"/>
      <c r="LCI131" s="204"/>
      <c r="LCJ131" s="199"/>
      <c r="LCK131" s="167"/>
      <c r="LCL131" s="199"/>
      <c r="LCM131" s="200"/>
      <c r="LCN131" s="201"/>
      <c r="LCO131" s="202"/>
      <c r="LCP131" s="202"/>
      <c r="LCQ131" s="202"/>
      <c r="LCR131" s="202"/>
      <c r="LCS131" s="203"/>
      <c r="LCT131" s="204"/>
      <c r="LCU131" s="204"/>
      <c r="LCV131" s="204"/>
      <c r="LCW131" s="205"/>
      <c r="LCX131" s="206"/>
      <c r="LCY131" s="207"/>
      <c r="LCZ131" s="207"/>
      <c r="LDA131" s="208"/>
      <c r="LDB131" s="209"/>
      <c r="LDC131" s="207"/>
      <c r="LDD131" s="210"/>
      <c r="LDE131" s="209"/>
      <c r="LDF131" s="204"/>
      <c r="LDG131" s="204"/>
      <c r="LDH131" s="204"/>
      <c r="LDI131" s="199"/>
      <c r="LDJ131" s="167"/>
      <c r="LDK131" s="199"/>
      <c r="LDL131" s="200"/>
      <c r="LDM131" s="201"/>
      <c r="LDN131" s="202"/>
      <c r="LDO131" s="202"/>
      <c r="LDP131" s="202"/>
      <c r="LDQ131" s="202"/>
      <c r="LDR131" s="203"/>
      <c r="LDS131" s="204"/>
      <c r="LDT131" s="204"/>
      <c r="LDU131" s="204"/>
      <c r="LDV131" s="205"/>
      <c r="LDW131" s="206"/>
      <c r="LDX131" s="207"/>
      <c r="LDY131" s="207"/>
      <c r="LDZ131" s="208"/>
      <c r="LEA131" s="209"/>
      <c r="LEB131" s="207"/>
      <c r="LEC131" s="210"/>
      <c r="LED131" s="209"/>
      <c r="LEE131" s="204"/>
      <c r="LEF131" s="204"/>
      <c r="LEG131" s="204"/>
      <c r="LEH131" s="199"/>
      <c r="LEI131" s="167"/>
      <c r="LEJ131" s="199"/>
      <c r="LEK131" s="200"/>
      <c r="LEL131" s="201"/>
      <c r="LEM131" s="202"/>
      <c r="LEN131" s="202"/>
      <c r="LEO131" s="202"/>
      <c r="LEP131" s="202"/>
      <c r="LEQ131" s="203"/>
      <c r="LER131" s="204"/>
      <c r="LES131" s="204"/>
      <c r="LET131" s="204"/>
      <c r="LEU131" s="205"/>
      <c r="LEV131" s="206"/>
      <c r="LEW131" s="207"/>
      <c r="LEX131" s="207"/>
      <c r="LEY131" s="208"/>
      <c r="LEZ131" s="209"/>
      <c r="LFA131" s="207"/>
      <c r="LFB131" s="210"/>
      <c r="LFC131" s="209"/>
      <c r="LFD131" s="204"/>
      <c r="LFE131" s="204"/>
      <c r="LFF131" s="204"/>
      <c r="LFG131" s="199"/>
      <c r="LFH131" s="167"/>
      <c r="LFI131" s="199"/>
      <c r="LFJ131" s="200"/>
      <c r="LFK131" s="201"/>
      <c r="LFL131" s="202"/>
      <c r="LFM131" s="202"/>
      <c r="LFN131" s="202"/>
      <c r="LFO131" s="202"/>
      <c r="LFP131" s="203"/>
      <c r="LFQ131" s="204"/>
      <c r="LFR131" s="204"/>
      <c r="LFS131" s="204"/>
      <c r="LFT131" s="205"/>
      <c r="LFU131" s="206"/>
      <c r="LFV131" s="207"/>
      <c r="LFW131" s="207"/>
      <c r="LFX131" s="208"/>
      <c r="LFY131" s="209"/>
      <c r="LFZ131" s="207"/>
      <c r="LGA131" s="210"/>
      <c r="LGB131" s="209"/>
      <c r="LGC131" s="204"/>
      <c r="LGD131" s="204"/>
      <c r="LGE131" s="204"/>
      <c r="LGF131" s="199"/>
      <c r="LGG131" s="167"/>
      <c r="LGH131" s="199"/>
      <c r="LGI131" s="200"/>
      <c r="LGJ131" s="201"/>
      <c r="LGK131" s="202"/>
      <c r="LGL131" s="202"/>
      <c r="LGM131" s="202"/>
      <c r="LGN131" s="202"/>
      <c r="LGO131" s="203"/>
      <c r="LGP131" s="204"/>
      <c r="LGQ131" s="204"/>
      <c r="LGR131" s="204"/>
      <c r="LGS131" s="205"/>
      <c r="LGT131" s="206"/>
      <c r="LGU131" s="207"/>
      <c r="LGV131" s="207"/>
      <c r="LGW131" s="208"/>
      <c r="LGX131" s="209"/>
      <c r="LGY131" s="207"/>
      <c r="LGZ131" s="210"/>
      <c r="LHA131" s="209"/>
      <c r="LHB131" s="204"/>
      <c r="LHC131" s="204"/>
      <c r="LHD131" s="204"/>
      <c r="LHE131" s="199"/>
      <c r="LHF131" s="167"/>
      <c r="LHG131" s="199"/>
      <c r="LHH131" s="200"/>
      <c r="LHI131" s="201"/>
      <c r="LHJ131" s="202"/>
      <c r="LHK131" s="202"/>
      <c r="LHL131" s="202"/>
      <c r="LHM131" s="202"/>
      <c r="LHN131" s="203"/>
      <c r="LHO131" s="204"/>
      <c r="LHP131" s="204"/>
      <c r="LHQ131" s="204"/>
      <c r="LHR131" s="205"/>
      <c r="LHS131" s="206"/>
      <c r="LHT131" s="207"/>
      <c r="LHU131" s="207"/>
      <c r="LHV131" s="208"/>
      <c r="LHW131" s="209"/>
      <c r="LHX131" s="207"/>
      <c r="LHY131" s="210"/>
      <c r="LHZ131" s="209"/>
      <c r="LIA131" s="204"/>
      <c r="LIB131" s="204"/>
      <c r="LIC131" s="204"/>
      <c r="LID131" s="199"/>
      <c r="LIE131" s="167"/>
      <c r="LIF131" s="199"/>
      <c r="LIG131" s="200"/>
      <c r="LIH131" s="201"/>
      <c r="LII131" s="202"/>
      <c r="LIJ131" s="202"/>
      <c r="LIK131" s="202"/>
      <c r="LIL131" s="202"/>
      <c r="LIM131" s="203"/>
      <c r="LIN131" s="204"/>
      <c r="LIO131" s="204"/>
      <c r="LIP131" s="204"/>
      <c r="LIQ131" s="205"/>
      <c r="LIR131" s="206"/>
      <c r="LIS131" s="207"/>
      <c r="LIT131" s="207"/>
      <c r="LIU131" s="208"/>
      <c r="LIV131" s="209"/>
      <c r="LIW131" s="207"/>
      <c r="LIX131" s="210"/>
      <c r="LIY131" s="209"/>
      <c r="LIZ131" s="204"/>
      <c r="LJA131" s="204"/>
      <c r="LJB131" s="204"/>
      <c r="LJC131" s="199"/>
      <c r="LJD131" s="167"/>
      <c r="LJE131" s="199"/>
      <c r="LJF131" s="200"/>
      <c r="LJG131" s="201"/>
      <c r="LJH131" s="202"/>
      <c r="LJI131" s="202"/>
      <c r="LJJ131" s="202"/>
      <c r="LJK131" s="202"/>
      <c r="LJL131" s="203"/>
      <c r="LJM131" s="204"/>
      <c r="LJN131" s="204"/>
      <c r="LJO131" s="204"/>
      <c r="LJP131" s="205"/>
      <c r="LJQ131" s="206"/>
      <c r="LJR131" s="207"/>
      <c r="LJS131" s="207"/>
      <c r="LJT131" s="208"/>
      <c r="LJU131" s="209"/>
      <c r="LJV131" s="207"/>
      <c r="LJW131" s="210"/>
      <c r="LJX131" s="209"/>
      <c r="LJY131" s="204"/>
      <c r="LJZ131" s="204"/>
      <c r="LKA131" s="204"/>
      <c r="LKB131" s="199"/>
      <c r="LKC131" s="167"/>
      <c r="LKD131" s="199"/>
      <c r="LKE131" s="200"/>
      <c r="LKF131" s="201"/>
      <c r="LKG131" s="202"/>
      <c r="LKH131" s="202"/>
      <c r="LKI131" s="202"/>
      <c r="LKJ131" s="202"/>
      <c r="LKK131" s="203"/>
      <c r="LKL131" s="204"/>
      <c r="LKM131" s="204"/>
      <c r="LKN131" s="204"/>
      <c r="LKO131" s="205"/>
      <c r="LKP131" s="206"/>
      <c r="LKQ131" s="207"/>
      <c r="LKR131" s="207"/>
      <c r="LKS131" s="208"/>
      <c r="LKT131" s="209"/>
      <c r="LKU131" s="207"/>
      <c r="LKV131" s="210"/>
      <c r="LKW131" s="209"/>
      <c r="LKX131" s="204"/>
      <c r="LKY131" s="204"/>
      <c r="LKZ131" s="204"/>
      <c r="LLA131" s="199"/>
      <c r="LLB131" s="167"/>
      <c r="LLC131" s="199"/>
      <c r="LLD131" s="200"/>
      <c r="LLE131" s="201"/>
      <c r="LLF131" s="202"/>
      <c r="LLG131" s="202"/>
      <c r="LLH131" s="202"/>
      <c r="LLI131" s="202"/>
      <c r="LLJ131" s="203"/>
      <c r="LLK131" s="204"/>
      <c r="LLL131" s="204"/>
      <c r="LLM131" s="204"/>
      <c r="LLN131" s="205"/>
      <c r="LLO131" s="206"/>
      <c r="LLP131" s="207"/>
      <c r="LLQ131" s="207"/>
      <c r="LLR131" s="208"/>
      <c r="LLS131" s="209"/>
      <c r="LLT131" s="207"/>
      <c r="LLU131" s="210"/>
      <c r="LLV131" s="209"/>
      <c r="LLW131" s="204"/>
      <c r="LLX131" s="204"/>
      <c r="LLY131" s="204"/>
      <c r="LLZ131" s="199"/>
      <c r="LMA131" s="167"/>
      <c r="LMB131" s="199"/>
      <c r="LMC131" s="200"/>
      <c r="LMD131" s="201"/>
      <c r="LME131" s="202"/>
      <c r="LMF131" s="202"/>
      <c r="LMG131" s="202"/>
      <c r="LMH131" s="202"/>
      <c r="LMI131" s="203"/>
      <c r="LMJ131" s="204"/>
      <c r="LMK131" s="204"/>
      <c r="LML131" s="204"/>
      <c r="LMM131" s="205"/>
      <c r="LMN131" s="206"/>
      <c r="LMO131" s="207"/>
      <c r="LMP131" s="207"/>
      <c r="LMQ131" s="208"/>
      <c r="LMR131" s="209"/>
      <c r="LMS131" s="207"/>
      <c r="LMT131" s="210"/>
      <c r="LMU131" s="209"/>
      <c r="LMV131" s="204"/>
      <c r="LMW131" s="204"/>
      <c r="LMX131" s="204"/>
      <c r="LMY131" s="199"/>
      <c r="LMZ131" s="167"/>
      <c r="LNA131" s="199"/>
      <c r="LNB131" s="200"/>
      <c r="LNC131" s="201"/>
      <c r="LND131" s="202"/>
      <c r="LNE131" s="202"/>
      <c r="LNF131" s="202"/>
      <c r="LNG131" s="202"/>
      <c r="LNH131" s="203"/>
      <c r="LNI131" s="204"/>
      <c r="LNJ131" s="204"/>
      <c r="LNK131" s="204"/>
      <c r="LNL131" s="205"/>
      <c r="LNM131" s="206"/>
      <c r="LNN131" s="207"/>
      <c r="LNO131" s="207"/>
      <c r="LNP131" s="208"/>
      <c r="LNQ131" s="209"/>
      <c r="LNR131" s="207"/>
      <c r="LNS131" s="210"/>
      <c r="LNT131" s="209"/>
      <c r="LNU131" s="204"/>
      <c r="LNV131" s="204"/>
      <c r="LNW131" s="204"/>
      <c r="LNX131" s="199"/>
      <c r="LNY131" s="167"/>
      <c r="LNZ131" s="199"/>
      <c r="LOA131" s="200"/>
      <c r="LOB131" s="201"/>
      <c r="LOC131" s="202"/>
      <c r="LOD131" s="202"/>
      <c r="LOE131" s="202"/>
      <c r="LOF131" s="202"/>
      <c r="LOG131" s="203"/>
      <c r="LOH131" s="204"/>
      <c r="LOI131" s="204"/>
      <c r="LOJ131" s="204"/>
      <c r="LOK131" s="205"/>
      <c r="LOL131" s="206"/>
      <c r="LOM131" s="207"/>
      <c r="LON131" s="207"/>
      <c r="LOO131" s="208"/>
      <c r="LOP131" s="209"/>
      <c r="LOQ131" s="207"/>
      <c r="LOR131" s="210"/>
      <c r="LOS131" s="209"/>
      <c r="LOT131" s="204"/>
      <c r="LOU131" s="204"/>
      <c r="LOV131" s="204"/>
      <c r="LOW131" s="199"/>
      <c r="LOX131" s="167"/>
      <c r="LOY131" s="199"/>
      <c r="LOZ131" s="200"/>
      <c r="LPA131" s="201"/>
      <c r="LPB131" s="202"/>
      <c r="LPC131" s="202"/>
      <c r="LPD131" s="202"/>
      <c r="LPE131" s="202"/>
      <c r="LPF131" s="203"/>
      <c r="LPG131" s="204"/>
      <c r="LPH131" s="204"/>
      <c r="LPI131" s="204"/>
      <c r="LPJ131" s="205"/>
      <c r="LPK131" s="206"/>
      <c r="LPL131" s="207"/>
      <c r="LPM131" s="207"/>
      <c r="LPN131" s="208"/>
      <c r="LPO131" s="209"/>
      <c r="LPP131" s="207"/>
      <c r="LPQ131" s="210"/>
      <c r="LPR131" s="209"/>
      <c r="LPS131" s="204"/>
      <c r="LPT131" s="204"/>
      <c r="LPU131" s="204"/>
      <c r="LPV131" s="199"/>
      <c r="LPW131" s="167"/>
      <c r="LPX131" s="199"/>
      <c r="LPY131" s="200"/>
      <c r="LPZ131" s="201"/>
      <c r="LQA131" s="202"/>
      <c r="LQB131" s="202"/>
      <c r="LQC131" s="202"/>
      <c r="LQD131" s="202"/>
      <c r="LQE131" s="203"/>
      <c r="LQF131" s="204"/>
      <c r="LQG131" s="204"/>
      <c r="LQH131" s="204"/>
      <c r="LQI131" s="205"/>
      <c r="LQJ131" s="206"/>
      <c r="LQK131" s="207"/>
      <c r="LQL131" s="207"/>
      <c r="LQM131" s="208"/>
      <c r="LQN131" s="209"/>
      <c r="LQO131" s="207"/>
      <c r="LQP131" s="210"/>
      <c r="LQQ131" s="209"/>
      <c r="LQR131" s="204"/>
      <c r="LQS131" s="204"/>
      <c r="LQT131" s="204"/>
      <c r="LQU131" s="199"/>
      <c r="LQV131" s="167"/>
      <c r="LQW131" s="199"/>
      <c r="LQX131" s="200"/>
      <c r="LQY131" s="201"/>
      <c r="LQZ131" s="202"/>
      <c r="LRA131" s="202"/>
      <c r="LRB131" s="202"/>
      <c r="LRC131" s="202"/>
      <c r="LRD131" s="203"/>
      <c r="LRE131" s="204"/>
      <c r="LRF131" s="204"/>
      <c r="LRG131" s="204"/>
      <c r="LRH131" s="205"/>
      <c r="LRI131" s="206"/>
      <c r="LRJ131" s="207"/>
      <c r="LRK131" s="207"/>
      <c r="LRL131" s="208"/>
      <c r="LRM131" s="209"/>
      <c r="LRN131" s="207"/>
      <c r="LRO131" s="210"/>
      <c r="LRP131" s="209"/>
      <c r="LRQ131" s="204"/>
      <c r="LRR131" s="204"/>
      <c r="LRS131" s="204"/>
      <c r="LRT131" s="199"/>
      <c r="LRU131" s="167"/>
      <c r="LRV131" s="199"/>
      <c r="LRW131" s="200"/>
      <c r="LRX131" s="201"/>
      <c r="LRY131" s="202"/>
      <c r="LRZ131" s="202"/>
      <c r="LSA131" s="202"/>
      <c r="LSB131" s="202"/>
      <c r="LSC131" s="203"/>
      <c r="LSD131" s="204"/>
      <c r="LSE131" s="204"/>
      <c r="LSF131" s="204"/>
      <c r="LSG131" s="205"/>
      <c r="LSH131" s="206"/>
      <c r="LSI131" s="207"/>
      <c r="LSJ131" s="207"/>
      <c r="LSK131" s="208"/>
      <c r="LSL131" s="209"/>
      <c r="LSM131" s="207"/>
      <c r="LSN131" s="210"/>
      <c r="LSO131" s="209"/>
      <c r="LSP131" s="204"/>
      <c r="LSQ131" s="204"/>
      <c r="LSR131" s="204"/>
      <c r="LSS131" s="199"/>
      <c r="LST131" s="167"/>
      <c r="LSU131" s="199"/>
      <c r="LSV131" s="200"/>
      <c r="LSW131" s="201"/>
      <c r="LSX131" s="202"/>
      <c r="LSY131" s="202"/>
      <c r="LSZ131" s="202"/>
      <c r="LTA131" s="202"/>
      <c r="LTB131" s="203"/>
      <c r="LTC131" s="204"/>
      <c r="LTD131" s="204"/>
      <c r="LTE131" s="204"/>
      <c r="LTF131" s="205"/>
      <c r="LTG131" s="206"/>
      <c r="LTH131" s="207"/>
      <c r="LTI131" s="207"/>
      <c r="LTJ131" s="208"/>
      <c r="LTK131" s="209"/>
      <c r="LTL131" s="207"/>
      <c r="LTM131" s="210"/>
      <c r="LTN131" s="209"/>
      <c r="LTO131" s="204"/>
      <c r="LTP131" s="204"/>
      <c r="LTQ131" s="204"/>
      <c r="LTR131" s="199"/>
      <c r="LTS131" s="167"/>
      <c r="LTT131" s="199"/>
      <c r="LTU131" s="200"/>
      <c r="LTV131" s="201"/>
      <c r="LTW131" s="202"/>
      <c r="LTX131" s="202"/>
      <c r="LTY131" s="202"/>
      <c r="LTZ131" s="202"/>
      <c r="LUA131" s="203"/>
      <c r="LUB131" s="204"/>
      <c r="LUC131" s="204"/>
      <c r="LUD131" s="204"/>
      <c r="LUE131" s="205"/>
      <c r="LUF131" s="206"/>
      <c r="LUG131" s="207"/>
      <c r="LUH131" s="207"/>
      <c r="LUI131" s="208"/>
      <c r="LUJ131" s="209"/>
      <c r="LUK131" s="207"/>
      <c r="LUL131" s="210"/>
      <c r="LUM131" s="209"/>
      <c r="LUN131" s="204"/>
      <c r="LUO131" s="204"/>
      <c r="LUP131" s="204"/>
      <c r="LUQ131" s="199"/>
      <c r="LUR131" s="167"/>
      <c r="LUS131" s="199"/>
      <c r="LUT131" s="200"/>
      <c r="LUU131" s="201"/>
      <c r="LUV131" s="202"/>
      <c r="LUW131" s="202"/>
      <c r="LUX131" s="202"/>
      <c r="LUY131" s="202"/>
      <c r="LUZ131" s="203"/>
      <c r="LVA131" s="204"/>
      <c r="LVB131" s="204"/>
      <c r="LVC131" s="204"/>
      <c r="LVD131" s="205"/>
      <c r="LVE131" s="206"/>
      <c r="LVF131" s="207"/>
      <c r="LVG131" s="207"/>
      <c r="LVH131" s="208"/>
      <c r="LVI131" s="209"/>
      <c r="LVJ131" s="207"/>
      <c r="LVK131" s="210"/>
      <c r="LVL131" s="209"/>
      <c r="LVM131" s="204"/>
      <c r="LVN131" s="204"/>
      <c r="LVO131" s="204"/>
      <c r="LVP131" s="199"/>
      <c r="LVQ131" s="167"/>
      <c r="LVR131" s="199"/>
      <c r="LVS131" s="200"/>
      <c r="LVT131" s="201"/>
      <c r="LVU131" s="202"/>
      <c r="LVV131" s="202"/>
      <c r="LVW131" s="202"/>
      <c r="LVX131" s="202"/>
      <c r="LVY131" s="203"/>
      <c r="LVZ131" s="204"/>
      <c r="LWA131" s="204"/>
      <c r="LWB131" s="204"/>
      <c r="LWC131" s="205"/>
      <c r="LWD131" s="206"/>
      <c r="LWE131" s="207"/>
      <c r="LWF131" s="207"/>
      <c r="LWG131" s="208"/>
      <c r="LWH131" s="209"/>
      <c r="LWI131" s="207"/>
      <c r="LWJ131" s="210"/>
      <c r="LWK131" s="209"/>
      <c r="LWL131" s="204"/>
      <c r="LWM131" s="204"/>
      <c r="LWN131" s="204"/>
      <c r="LWO131" s="199"/>
      <c r="LWP131" s="167"/>
      <c r="LWQ131" s="199"/>
      <c r="LWR131" s="200"/>
      <c r="LWS131" s="201"/>
      <c r="LWT131" s="202"/>
      <c r="LWU131" s="202"/>
      <c r="LWV131" s="202"/>
      <c r="LWW131" s="202"/>
      <c r="LWX131" s="203"/>
      <c r="LWY131" s="204"/>
      <c r="LWZ131" s="204"/>
      <c r="LXA131" s="204"/>
      <c r="LXB131" s="205"/>
      <c r="LXC131" s="206"/>
      <c r="LXD131" s="207"/>
      <c r="LXE131" s="207"/>
      <c r="LXF131" s="208"/>
      <c r="LXG131" s="209"/>
      <c r="LXH131" s="207"/>
      <c r="LXI131" s="210"/>
      <c r="LXJ131" s="209"/>
      <c r="LXK131" s="204"/>
      <c r="LXL131" s="204"/>
      <c r="LXM131" s="204"/>
      <c r="LXN131" s="199"/>
      <c r="LXO131" s="167"/>
      <c r="LXP131" s="199"/>
      <c r="LXQ131" s="200"/>
      <c r="LXR131" s="201"/>
      <c r="LXS131" s="202"/>
      <c r="LXT131" s="202"/>
      <c r="LXU131" s="202"/>
      <c r="LXV131" s="202"/>
      <c r="LXW131" s="203"/>
      <c r="LXX131" s="204"/>
      <c r="LXY131" s="204"/>
      <c r="LXZ131" s="204"/>
      <c r="LYA131" s="205"/>
      <c r="LYB131" s="206"/>
      <c r="LYC131" s="207"/>
      <c r="LYD131" s="207"/>
      <c r="LYE131" s="208"/>
      <c r="LYF131" s="209"/>
      <c r="LYG131" s="207"/>
      <c r="LYH131" s="210"/>
      <c r="LYI131" s="209"/>
      <c r="LYJ131" s="204"/>
      <c r="LYK131" s="204"/>
      <c r="LYL131" s="204"/>
      <c r="LYM131" s="199"/>
      <c r="LYN131" s="167"/>
      <c r="LYO131" s="199"/>
      <c r="LYP131" s="200"/>
      <c r="LYQ131" s="201"/>
      <c r="LYR131" s="202"/>
      <c r="LYS131" s="202"/>
      <c r="LYT131" s="202"/>
      <c r="LYU131" s="202"/>
      <c r="LYV131" s="203"/>
      <c r="LYW131" s="204"/>
      <c r="LYX131" s="204"/>
      <c r="LYY131" s="204"/>
      <c r="LYZ131" s="205"/>
      <c r="LZA131" s="206"/>
      <c r="LZB131" s="207"/>
      <c r="LZC131" s="207"/>
      <c r="LZD131" s="208"/>
      <c r="LZE131" s="209"/>
      <c r="LZF131" s="207"/>
      <c r="LZG131" s="210"/>
      <c r="LZH131" s="209"/>
      <c r="LZI131" s="204"/>
      <c r="LZJ131" s="204"/>
      <c r="LZK131" s="204"/>
      <c r="LZL131" s="199"/>
      <c r="LZM131" s="167"/>
      <c r="LZN131" s="199"/>
      <c r="LZO131" s="200"/>
      <c r="LZP131" s="201"/>
      <c r="LZQ131" s="202"/>
      <c r="LZR131" s="202"/>
      <c r="LZS131" s="202"/>
      <c r="LZT131" s="202"/>
      <c r="LZU131" s="203"/>
      <c r="LZV131" s="204"/>
      <c r="LZW131" s="204"/>
      <c r="LZX131" s="204"/>
      <c r="LZY131" s="205"/>
      <c r="LZZ131" s="206"/>
      <c r="MAA131" s="207"/>
      <c r="MAB131" s="207"/>
      <c r="MAC131" s="208"/>
      <c r="MAD131" s="209"/>
      <c r="MAE131" s="207"/>
      <c r="MAF131" s="210"/>
      <c r="MAG131" s="209"/>
      <c r="MAH131" s="204"/>
      <c r="MAI131" s="204"/>
      <c r="MAJ131" s="204"/>
      <c r="MAK131" s="199"/>
      <c r="MAL131" s="167"/>
      <c r="MAM131" s="199"/>
      <c r="MAN131" s="200"/>
      <c r="MAO131" s="201"/>
      <c r="MAP131" s="202"/>
      <c r="MAQ131" s="202"/>
      <c r="MAR131" s="202"/>
      <c r="MAS131" s="202"/>
      <c r="MAT131" s="203"/>
      <c r="MAU131" s="204"/>
      <c r="MAV131" s="204"/>
      <c r="MAW131" s="204"/>
      <c r="MAX131" s="205"/>
      <c r="MAY131" s="206"/>
      <c r="MAZ131" s="207"/>
      <c r="MBA131" s="207"/>
      <c r="MBB131" s="208"/>
      <c r="MBC131" s="209"/>
      <c r="MBD131" s="207"/>
      <c r="MBE131" s="210"/>
      <c r="MBF131" s="209"/>
      <c r="MBG131" s="204"/>
      <c r="MBH131" s="204"/>
      <c r="MBI131" s="204"/>
      <c r="MBJ131" s="199"/>
      <c r="MBK131" s="167"/>
      <c r="MBL131" s="199"/>
      <c r="MBM131" s="200"/>
      <c r="MBN131" s="201"/>
      <c r="MBO131" s="202"/>
      <c r="MBP131" s="202"/>
      <c r="MBQ131" s="202"/>
      <c r="MBR131" s="202"/>
      <c r="MBS131" s="203"/>
      <c r="MBT131" s="204"/>
      <c r="MBU131" s="204"/>
      <c r="MBV131" s="204"/>
      <c r="MBW131" s="205"/>
      <c r="MBX131" s="206"/>
      <c r="MBY131" s="207"/>
      <c r="MBZ131" s="207"/>
      <c r="MCA131" s="208"/>
      <c r="MCB131" s="209"/>
      <c r="MCC131" s="207"/>
      <c r="MCD131" s="210"/>
      <c r="MCE131" s="209"/>
      <c r="MCF131" s="204"/>
      <c r="MCG131" s="204"/>
      <c r="MCH131" s="204"/>
      <c r="MCI131" s="199"/>
      <c r="MCJ131" s="167"/>
      <c r="MCK131" s="199"/>
      <c r="MCL131" s="200"/>
      <c r="MCM131" s="201"/>
      <c r="MCN131" s="202"/>
      <c r="MCO131" s="202"/>
      <c r="MCP131" s="202"/>
      <c r="MCQ131" s="202"/>
      <c r="MCR131" s="203"/>
      <c r="MCS131" s="204"/>
      <c r="MCT131" s="204"/>
      <c r="MCU131" s="204"/>
      <c r="MCV131" s="205"/>
      <c r="MCW131" s="206"/>
      <c r="MCX131" s="207"/>
      <c r="MCY131" s="207"/>
      <c r="MCZ131" s="208"/>
      <c r="MDA131" s="209"/>
      <c r="MDB131" s="207"/>
      <c r="MDC131" s="210"/>
      <c r="MDD131" s="209"/>
      <c r="MDE131" s="204"/>
      <c r="MDF131" s="204"/>
      <c r="MDG131" s="204"/>
      <c r="MDH131" s="199"/>
      <c r="MDI131" s="167"/>
      <c r="MDJ131" s="199"/>
      <c r="MDK131" s="200"/>
      <c r="MDL131" s="201"/>
      <c r="MDM131" s="202"/>
      <c r="MDN131" s="202"/>
      <c r="MDO131" s="202"/>
      <c r="MDP131" s="202"/>
      <c r="MDQ131" s="203"/>
      <c r="MDR131" s="204"/>
      <c r="MDS131" s="204"/>
      <c r="MDT131" s="204"/>
      <c r="MDU131" s="205"/>
      <c r="MDV131" s="206"/>
      <c r="MDW131" s="207"/>
      <c r="MDX131" s="207"/>
      <c r="MDY131" s="208"/>
      <c r="MDZ131" s="209"/>
      <c r="MEA131" s="207"/>
      <c r="MEB131" s="210"/>
      <c r="MEC131" s="209"/>
      <c r="MED131" s="204"/>
      <c r="MEE131" s="204"/>
      <c r="MEF131" s="204"/>
      <c r="MEG131" s="199"/>
      <c r="MEH131" s="167"/>
      <c r="MEI131" s="199"/>
      <c r="MEJ131" s="200"/>
      <c r="MEK131" s="201"/>
      <c r="MEL131" s="202"/>
      <c r="MEM131" s="202"/>
      <c r="MEN131" s="202"/>
      <c r="MEO131" s="202"/>
      <c r="MEP131" s="203"/>
      <c r="MEQ131" s="204"/>
      <c r="MER131" s="204"/>
      <c r="MES131" s="204"/>
      <c r="MET131" s="205"/>
      <c r="MEU131" s="206"/>
      <c r="MEV131" s="207"/>
      <c r="MEW131" s="207"/>
      <c r="MEX131" s="208"/>
      <c r="MEY131" s="209"/>
      <c r="MEZ131" s="207"/>
      <c r="MFA131" s="210"/>
      <c r="MFB131" s="209"/>
      <c r="MFC131" s="204"/>
      <c r="MFD131" s="204"/>
      <c r="MFE131" s="204"/>
      <c r="MFF131" s="199"/>
      <c r="MFG131" s="167"/>
      <c r="MFH131" s="199"/>
      <c r="MFI131" s="200"/>
      <c r="MFJ131" s="201"/>
      <c r="MFK131" s="202"/>
      <c r="MFL131" s="202"/>
      <c r="MFM131" s="202"/>
      <c r="MFN131" s="202"/>
      <c r="MFO131" s="203"/>
      <c r="MFP131" s="204"/>
      <c r="MFQ131" s="204"/>
      <c r="MFR131" s="204"/>
      <c r="MFS131" s="205"/>
      <c r="MFT131" s="206"/>
      <c r="MFU131" s="207"/>
      <c r="MFV131" s="207"/>
      <c r="MFW131" s="208"/>
      <c r="MFX131" s="209"/>
      <c r="MFY131" s="207"/>
      <c r="MFZ131" s="210"/>
      <c r="MGA131" s="209"/>
      <c r="MGB131" s="204"/>
      <c r="MGC131" s="204"/>
      <c r="MGD131" s="204"/>
      <c r="MGE131" s="199"/>
      <c r="MGF131" s="167"/>
      <c r="MGG131" s="199"/>
      <c r="MGH131" s="200"/>
      <c r="MGI131" s="201"/>
      <c r="MGJ131" s="202"/>
      <c r="MGK131" s="202"/>
      <c r="MGL131" s="202"/>
      <c r="MGM131" s="202"/>
      <c r="MGN131" s="203"/>
      <c r="MGO131" s="204"/>
      <c r="MGP131" s="204"/>
      <c r="MGQ131" s="204"/>
      <c r="MGR131" s="205"/>
      <c r="MGS131" s="206"/>
      <c r="MGT131" s="207"/>
      <c r="MGU131" s="207"/>
      <c r="MGV131" s="208"/>
      <c r="MGW131" s="209"/>
      <c r="MGX131" s="207"/>
      <c r="MGY131" s="210"/>
      <c r="MGZ131" s="209"/>
      <c r="MHA131" s="204"/>
      <c r="MHB131" s="204"/>
      <c r="MHC131" s="204"/>
      <c r="MHD131" s="199"/>
      <c r="MHE131" s="167"/>
      <c r="MHF131" s="199"/>
      <c r="MHG131" s="200"/>
      <c r="MHH131" s="201"/>
      <c r="MHI131" s="202"/>
      <c r="MHJ131" s="202"/>
      <c r="MHK131" s="202"/>
      <c r="MHL131" s="202"/>
      <c r="MHM131" s="203"/>
      <c r="MHN131" s="204"/>
      <c r="MHO131" s="204"/>
      <c r="MHP131" s="204"/>
      <c r="MHQ131" s="205"/>
      <c r="MHR131" s="206"/>
      <c r="MHS131" s="207"/>
      <c r="MHT131" s="207"/>
      <c r="MHU131" s="208"/>
      <c r="MHV131" s="209"/>
      <c r="MHW131" s="207"/>
      <c r="MHX131" s="210"/>
      <c r="MHY131" s="209"/>
      <c r="MHZ131" s="204"/>
      <c r="MIA131" s="204"/>
      <c r="MIB131" s="204"/>
      <c r="MIC131" s="199"/>
      <c r="MID131" s="167"/>
      <c r="MIE131" s="199"/>
      <c r="MIF131" s="200"/>
      <c r="MIG131" s="201"/>
      <c r="MIH131" s="202"/>
      <c r="MII131" s="202"/>
      <c r="MIJ131" s="202"/>
      <c r="MIK131" s="202"/>
      <c r="MIL131" s="203"/>
      <c r="MIM131" s="204"/>
      <c r="MIN131" s="204"/>
      <c r="MIO131" s="204"/>
      <c r="MIP131" s="205"/>
      <c r="MIQ131" s="206"/>
      <c r="MIR131" s="207"/>
      <c r="MIS131" s="207"/>
      <c r="MIT131" s="208"/>
      <c r="MIU131" s="209"/>
      <c r="MIV131" s="207"/>
      <c r="MIW131" s="210"/>
      <c r="MIX131" s="209"/>
      <c r="MIY131" s="204"/>
      <c r="MIZ131" s="204"/>
      <c r="MJA131" s="204"/>
      <c r="MJB131" s="199"/>
      <c r="MJC131" s="167"/>
      <c r="MJD131" s="199"/>
      <c r="MJE131" s="200"/>
      <c r="MJF131" s="201"/>
      <c r="MJG131" s="202"/>
      <c r="MJH131" s="202"/>
      <c r="MJI131" s="202"/>
      <c r="MJJ131" s="202"/>
      <c r="MJK131" s="203"/>
      <c r="MJL131" s="204"/>
      <c r="MJM131" s="204"/>
      <c r="MJN131" s="204"/>
      <c r="MJO131" s="205"/>
      <c r="MJP131" s="206"/>
      <c r="MJQ131" s="207"/>
      <c r="MJR131" s="207"/>
      <c r="MJS131" s="208"/>
      <c r="MJT131" s="209"/>
      <c r="MJU131" s="207"/>
      <c r="MJV131" s="210"/>
      <c r="MJW131" s="209"/>
      <c r="MJX131" s="204"/>
      <c r="MJY131" s="204"/>
      <c r="MJZ131" s="204"/>
      <c r="MKA131" s="199"/>
      <c r="MKB131" s="167"/>
      <c r="MKC131" s="199"/>
      <c r="MKD131" s="200"/>
      <c r="MKE131" s="201"/>
      <c r="MKF131" s="202"/>
      <c r="MKG131" s="202"/>
      <c r="MKH131" s="202"/>
      <c r="MKI131" s="202"/>
      <c r="MKJ131" s="203"/>
      <c r="MKK131" s="204"/>
      <c r="MKL131" s="204"/>
      <c r="MKM131" s="204"/>
      <c r="MKN131" s="205"/>
      <c r="MKO131" s="206"/>
      <c r="MKP131" s="207"/>
      <c r="MKQ131" s="207"/>
      <c r="MKR131" s="208"/>
      <c r="MKS131" s="209"/>
      <c r="MKT131" s="207"/>
      <c r="MKU131" s="210"/>
      <c r="MKV131" s="209"/>
      <c r="MKW131" s="204"/>
      <c r="MKX131" s="204"/>
      <c r="MKY131" s="204"/>
      <c r="MKZ131" s="199"/>
      <c r="MLA131" s="167"/>
      <c r="MLB131" s="199"/>
      <c r="MLC131" s="200"/>
      <c r="MLD131" s="201"/>
      <c r="MLE131" s="202"/>
      <c r="MLF131" s="202"/>
      <c r="MLG131" s="202"/>
      <c r="MLH131" s="202"/>
      <c r="MLI131" s="203"/>
      <c r="MLJ131" s="204"/>
      <c r="MLK131" s="204"/>
      <c r="MLL131" s="204"/>
      <c r="MLM131" s="205"/>
      <c r="MLN131" s="206"/>
      <c r="MLO131" s="207"/>
      <c r="MLP131" s="207"/>
      <c r="MLQ131" s="208"/>
      <c r="MLR131" s="209"/>
      <c r="MLS131" s="207"/>
      <c r="MLT131" s="210"/>
      <c r="MLU131" s="209"/>
      <c r="MLV131" s="204"/>
      <c r="MLW131" s="204"/>
      <c r="MLX131" s="204"/>
      <c r="MLY131" s="199"/>
      <c r="MLZ131" s="167"/>
      <c r="MMA131" s="199"/>
      <c r="MMB131" s="200"/>
      <c r="MMC131" s="201"/>
      <c r="MMD131" s="202"/>
      <c r="MME131" s="202"/>
      <c r="MMF131" s="202"/>
      <c r="MMG131" s="202"/>
      <c r="MMH131" s="203"/>
      <c r="MMI131" s="204"/>
      <c r="MMJ131" s="204"/>
      <c r="MMK131" s="204"/>
      <c r="MML131" s="205"/>
      <c r="MMM131" s="206"/>
      <c r="MMN131" s="207"/>
      <c r="MMO131" s="207"/>
      <c r="MMP131" s="208"/>
      <c r="MMQ131" s="209"/>
      <c r="MMR131" s="207"/>
      <c r="MMS131" s="210"/>
      <c r="MMT131" s="209"/>
      <c r="MMU131" s="204"/>
      <c r="MMV131" s="204"/>
      <c r="MMW131" s="204"/>
      <c r="MMX131" s="199"/>
      <c r="MMY131" s="167"/>
      <c r="MMZ131" s="199"/>
      <c r="MNA131" s="200"/>
      <c r="MNB131" s="201"/>
      <c r="MNC131" s="202"/>
      <c r="MND131" s="202"/>
      <c r="MNE131" s="202"/>
      <c r="MNF131" s="202"/>
      <c r="MNG131" s="203"/>
      <c r="MNH131" s="204"/>
      <c r="MNI131" s="204"/>
      <c r="MNJ131" s="204"/>
      <c r="MNK131" s="205"/>
      <c r="MNL131" s="206"/>
      <c r="MNM131" s="207"/>
      <c r="MNN131" s="207"/>
      <c r="MNO131" s="208"/>
      <c r="MNP131" s="209"/>
      <c r="MNQ131" s="207"/>
      <c r="MNR131" s="210"/>
      <c r="MNS131" s="209"/>
      <c r="MNT131" s="204"/>
      <c r="MNU131" s="204"/>
      <c r="MNV131" s="204"/>
      <c r="MNW131" s="199"/>
      <c r="MNX131" s="167"/>
      <c r="MNY131" s="199"/>
      <c r="MNZ131" s="200"/>
      <c r="MOA131" s="201"/>
      <c r="MOB131" s="202"/>
      <c r="MOC131" s="202"/>
      <c r="MOD131" s="202"/>
      <c r="MOE131" s="202"/>
      <c r="MOF131" s="203"/>
      <c r="MOG131" s="204"/>
      <c r="MOH131" s="204"/>
      <c r="MOI131" s="204"/>
      <c r="MOJ131" s="205"/>
      <c r="MOK131" s="206"/>
      <c r="MOL131" s="207"/>
      <c r="MOM131" s="207"/>
      <c r="MON131" s="208"/>
      <c r="MOO131" s="209"/>
      <c r="MOP131" s="207"/>
      <c r="MOQ131" s="210"/>
      <c r="MOR131" s="209"/>
      <c r="MOS131" s="204"/>
      <c r="MOT131" s="204"/>
      <c r="MOU131" s="204"/>
      <c r="MOV131" s="199"/>
      <c r="MOW131" s="167"/>
      <c r="MOX131" s="199"/>
      <c r="MOY131" s="200"/>
      <c r="MOZ131" s="201"/>
      <c r="MPA131" s="202"/>
      <c r="MPB131" s="202"/>
      <c r="MPC131" s="202"/>
      <c r="MPD131" s="202"/>
      <c r="MPE131" s="203"/>
      <c r="MPF131" s="204"/>
      <c r="MPG131" s="204"/>
      <c r="MPH131" s="204"/>
      <c r="MPI131" s="205"/>
      <c r="MPJ131" s="206"/>
      <c r="MPK131" s="207"/>
      <c r="MPL131" s="207"/>
      <c r="MPM131" s="208"/>
      <c r="MPN131" s="209"/>
      <c r="MPO131" s="207"/>
      <c r="MPP131" s="210"/>
      <c r="MPQ131" s="209"/>
      <c r="MPR131" s="204"/>
      <c r="MPS131" s="204"/>
      <c r="MPT131" s="204"/>
      <c r="MPU131" s="199"/>
      <c r="MPV131" s="167"/>
      <c r="MPW131" s="199"/>
      <c r="MPX131" s="200"/>
      <c r="MPY131" s="201"/>
      <c r="MPZ131" s="202"/>
      <c r="MQA131" s="202"/>
      <c r="MQB131" s="202"/>
      <c r="MQC131" s="202"/>
      <c r="MQD131" s="203"/>
      <c r="MQE131" s="204"/>
      <c r="MQF131" s="204"/>
      <c r="MQG131" s="204"/>
      <c r="MQH131" s="205"/>
      <c r="MQI131" s="206"/>
      <c r="MQJ131" s="207"/>
      <c r="MQK131" s="207"/>
      <c r="MQL131" s="208"/>
      <c r="MQM131" s="209"/>
      <c r="MQN131" s="207"/>
      <c r="MQO131" s="210"/>
      <c r="MQP131" s="209"/>
      <c r="MQQ131" s="204"/>
      <c r="MQR131" s="204"/>
      <c r="MQS131" s="204"/>
      <c r="MQT131" s="199"/>
      <c r="MQU131" s="167"/>
      <c r="MQV131" s="199"/>
      <c r="MQW131" s="200"/>
      <c r="MQX131" s="201"/>
      <c r="MQY131" s="202"/>
      <c r="MQZ131" s="202"/>
      <c r="MRA131" s="202"/>
      <c r="MRB131" s="202"/>
      <c r="MRC131" s="203"/>
      <c r="MRD131" s="204"/>
      <c r="MRE131" s="204"/>
      <c r="MRF131" s="204"/>
      <c r="MRG131" s="205"/>
      <c r="MRH131" s="206"/>
      <c r="MRI131" s="207"/>
      <c r="MRJ131" s="207"/>
      <c r="MRK131" s="208"/>
      <c r="MRL131" s="209"/>
      <c r="MRM131" s="207"/>
      <c r="MRN131" s="210"/>
      <c r="MRO131" s="209"/>
      <c r="MRP131" s="204"/>
      <c r="MRQ131" s="204"/>
      <c r="MRR131" s="204"/>
      <c r="MRS131" s="199"/>
      <c r="MRT131" s="167"/>
      <c r="MRU131" s="199"/>
      <c r="MRV131" s="200"/>
      <c r="MRW131" s="201"/>
      <c r="MRX131" s="202"/>
      <c r="MRY131" s="202"/>
      <c r="MRZ131" s="202"/>
      <c r="MSA131" s="202"/>
      <c r="MSB131" s="203"/>
      <c r="MSC131" s="204"/>
      <c r="MSD131" s="204"/>
      <c r="MSE131" s="204"/>
      <c r="MSF131" s="205"/>
      <c r="MSG131" s="206"/>
      <c r="MSH131" s="207"/>
      <c r="MSI131" s="207"/>
      <c r="MSJ131" s="208"/>
      <c r="MSK131" s="209"/>
      <c r="MSL131" s="207"/>
      <c r="MSM131" s="210"/>
      <c r="MSN131" s="209"/>
      <c r="MSO131" s="204"/>
      <c r="MSP131" s="204"/>
      <c r="MSQ131" s="204"/>
      <c r="MSR131" s="199"/>
      <c r="MSS131" s="167"/>
      <c r="MST131" s="199"/>
      <c r="MSU131" s="200"/>
      <c r="MSV131" s="201"/>
      <c r="MSW131" s="202"/>
      <c r="MSX131" s="202"/>
      <c r="MSY131" s="202"/>
      <c r="MSZ131" s="202"/>
      <c r="MTA131" s="203"/>
      <c r="MTB131" s="204"/>
      <c r="MTC131" s="204"/>
      <c r="MTD131" s="204"/>
      <c r="MTE131" s="205"/>
      <c r="MTF131" s="206"/>
      <c r="MTG131" s="207"/>
      <c r="MTH131" s="207"/>
      <c r="MTI131" s="208"/>
      <c r="MTJ131" s="209"/>
      <c r="MTK131" s="207"/>
      <c r="MTL131" s="210"/>
      <c r="MTM131" s="209"/>
      <c r="MTN131" s="204"/>
      <c r="MTO131" s="204"/>
      <c r="MTP131" s="204"/>
      <c r="MTQ131" s="199"/>
      <c r="MTR131" s="167"/>
      <c r="MTS131" s="199"/>
      <c r="MTT131" s="200"/>
      <c r="MTU131" s="201"/>
      <c r="MTV131" s="202"/>
      <c r="MTW131" s="202"/>
      <c r="MTX131" s="202"/>
      <c r="MTY131" s="202"/>
      <c r="MTZ131" s="203"/>
      <c r="MUA131" s="204"/>
      <c r="MUB131" s="204"/>
      <c r="MUC131" s="204"/>
      <c r="MUD131" s="205"/>
      <c r="MUE131" s="206"/>
      <c r="MUF131" s="207"/>
      <c r="MUG131" s="207"/>
      <c r="MUH131" s="208"/>
      <c r="MUI131" s="209"/>
      <c r="MUJ131" s="207"/>
      <c r="MUK131" s="210"/>
      <c r="MUL131" s="209"/>
      <c r="MUM131" s="204"/>
      <c r="MUN131" s="204"/>
      <c r="MUO131" s="204"/>
      <c r="MUP131" s="199"/>
      <c r="MUQ131" s="167"/>
      <c r="MUR131" s="199"/>
      <c r="MUS131" s="200"/>
      <c r="MUT131" s="201"/>
      <c r="MUU131" s="202"/>
      <c r="MUV131" s="202"/>
      <c r="MUW131" s="202"/>
      <c r="MUX131" s="202"/>
      <c r="MUY131" s="203"/>
      <c r="MUZ131" s="204"/>
      <c r="MVA131" s="204"/>
      <c r="MVB131" s="204"/>
      <c r="MVC131" s="205"/>
      <c r="MVD131" s="206"/>
      <c r="MVE131" s="207"/>
      <c r="MVF131" s="207"/>
      <c r="MVG131" s="208"/>
      <c r="MVH131" s="209"/>
      <c r="MVI131" s="207"/>
      <c r="MVJ131" s="210"/>
      <c r="MVK131" s="209"/>
      <c r="MVL131" s="204"/>
      <c r="MVM131" s="204"/>
      <c r="MVN131" s="204"/>
      <c r="MVO131" s="199"/>
      <c r="MVP131" s="167"/>
      <c r="MVQ131" s="199"/>
      <c r="MVR131" s="200"/>
      <c r="MVS131" s="201"/>
      <c r="MVT131" s="202"/>
      <c r="MVU131" s="202"/>
      <c r="MVV131" s="202"/>
      <c r="MVW131" s="202"/>
      <c r="MVX131" s="203"/>
      <c r="MVY131" s="204"/>
      <c r="MVZ131" s="204"/>
      <c r="MWA131" s="204"/>
      <c r="MWB131" s="205"/>
      <c r="MWC131" s="206"/>
      <c r="MWD131" s="207"/>
      <c r="MWE131" s="207"/>
      <c r="MWF131" s="208"/>
      <c r="MWG131" s="209"/>
      <c r="MWH131" s="207"/>
      <c r="MWI131" s="210"/>
      <c r="MWJ131" s="209"/>
      <c r="MWK131" s="204"/>
      <c r="MWL131" s="204"/>
      <c r="MWM131" s="204"/>
      <c r="MWN131" s="199"/>
      <c r="MWO131" s="167"/>
      <c r="MWP131" s="199"/>
      <c r="MWQ131" s="200"/>
      <c r="MWR131" s="201"/>
      <c r="MWS131" s="202"/>
      <c r="MWT131" s="202"/>
      <c r="MWU131" s="202"/>
      <c r="MWV131" s="202"/>
      <c r="MWW131" s="203"/>
      <c r="MWX131" s="204"/>
      <c r="MWY131" s="204"/>
      <c r="MWZ131" s="204"/>
      <c r="MXA131" s="205"/>
      <c r="MXB131" s="206"/>
      <c r="MXC131" s="207"/>
      <c r="MXD131" s="207"/>
      <c r="MXE131" s="208"/>
      <c r="MXF131" s="209"/>
      <c r="MXG131" s="207"/>
      <c r="MXH131" s="210"/>
      <c r="MXI131" s="209"/>
      <c r="MXJ131" s="204"/>
      <c r="MXK131" s="204"/>
      <c r="MXL131" s="204"/>
      <c r="MXM131" s="199"/>
      <c r="MXN131" s="167"/>
      <c r="MXO131" s="199"/>
      <c r="MXP131" s="200"/>
      <c r="MXQ131" s="201"/>
      <c r="MXR131" s="202"/>
      <c r="MXS131" s="202"/>
      <c r="MXT131" s="202"/>
      <c r="MXU131" s="202"/>
      <c r="MXV131" s="203"/>
      <c r="MXW131" s="204"/>
      <c r="MXX131" s="204"/>
      <c r="MXY131" s="204"/>
      <c r="MXZ131" s="205"/>
      <c r="MYA131" s="206"/>
      <c r="MYB131" s="207"/>
      <c r="MYC131" s="207"/>
      <c r="MYD131" s="208"/>
      <c r="MYE131" s="209"/>
      <c r="MYF131" s="207"/>
      <c r="MYG131" s="210"/>
      <c r="MYH131" s="209"/>
      <c r="MYI131" s="204"/>
      <c r="MYJ131" s="204"/>
      <c r="MYK131" s="204"/>
      <c r="MYL131" s="199"/>
      <c r="MYM131" s="167"/>
      <c r="MYN131" s="199"/>
      <c r="MYO131" s="200"/>
      <c r="MYP131" s="201"/>
      <c r="MYQ131" s="202"/>
      <c r="MYR131" s="202"/>
      <c r="MYS131" s="202"/>
      <c r="MYT131" s="202"/>
      <c r="MYU131" s="203"/>
      <c r="MYV131" s="204"/>
      <c r="MYW131" s="204"/>
      <c r="MYX131" s="204"/>
      <c r="MYY131" s="205"/>
      <c r="MYZ131" s="206"/>
      <c r="MZA131" s="207"/>
      <c r="MZB131" s="207"/>
      <c r="MZC131" s="208"/>
      <c r="MZD131" s="209"/>
      <c r="MZE131" s="207"/>
      <c r="MZF131" s="210"/>
      <c r="MZG131" s="209"/>
      <c r="MZH131" s="204"/>
      <c r="MZI131" s="204"/>
      <c r="MZJ131" s="204"/>
      <c r="MZK131" s="199"/>
      <c r="MZL131" s="167"/>
      <c r="MZM131" s="199"/>
      <c r="MZN131" s="200"/>
      <c r="MZO131" s="201"/>
      <c r="MZP131" s="202"/>
      <c r="MZQ131" s="202"/>
      <c r="MZR131" s="202"/>
      <c r="MZS131" s="202"/>
      <c r="MZT131" s="203"/>
      <c r="MZU131" s="204"/>
      <c r="MZV131" s="204"/>
      <c r="MZW131" s="204"/>
      <c r="MZX131" s="205"/>
      <c r="MZY131" s="206"/>
      <c r="MZZ131" s="207"/>
      <c r="NAA131" s="207"/>
      <c r="NAB131" s="208"/>
      <c r="NAC131" s="209"/>
      <c r="NAD131" s="207"/>
      <c r="NAE131" s="210"/>
      <c r="NAF131" s="209"/>
      <c r="NAG131" s="204"/>
      <c r="NAH131" s="204"/>
      <c r="NAI131" s="204"/>
      <c r="NAJ131" s="199"/>
      <c r="NAK131" s="167"/>
      <c r="NAL131" s="199"/>
      <c r="NAM131" s="200"/>
      <c r="NAN131" s="201"/>
      <c r="NAO131" s="202"/>
      <c r="NAP131" s="202"/>
      <c r="NAQ131" s="202"/>
      <c r="NAR131" s="202"/>
      <c r="NAS131" s="203"/>
      <c r="NAT131" s="204"/>
      <c r="NAU131" s="204"/>
      <c r="NAV131" s="204"/>
      <c r="NAW131" s="205"/>
      <c r="NAX131" s="206"/>
      <c r="NAY131" s="207"/>
      <c r="NAZ131" s="207"/>
      <c r="NBA131" s="208"/>
      <c r="NBB131" s="209"/>
      <c r="NBC131" s="207"/>
      <c r="NBD131" s="210"/>
      <c r="NBE131" s="209"/>
      <c r="NBF131" s="204"/>
      <c r="NBG131" s="204"/>
      <c r="NBH131" s="204"/>
      <c r="NBI131" s="199"/>
      <c r="NBJ131" s="167"/>
      <c r="NBK131" s="199"/>
      <c r="NBL131" s="200"/>
      <c r="NBM131" s="201"/>
      <c r="NBN131" s="202"/>
      <c r="NBO131" s="202"/>
      <c r="NBP131" s="202"/>
      <c r="NBQ131" s="202"/>
      <c r="NBR131" s="203"/>
      <c r="NBS131" s="204"/>
      <c r="NBT131" s="204"/>
      <c r="NBU131" s="204"/>
      <c r="NBV131" s="205"/>
      <c r="NBW131" s="206"/>
      <c r="NBX131" s="207"/>
      <c r="NBY131" s="207"/>
      <c r="NBZ131" s="208"/>
      <c r="NCA131" s="209"/>
      <c r="NCB131" s="207"/>
      <c r="NCC131" s="210"/>
      <c r="NCD131" s="209"/>
      <c r="NCE131" s="204"/>
      <c r="NCF131" s="204"/>
      <c r="NCG131" s="204"/>
      <c r="NCH131" s="199"/>
      <c r="NCI131" s="167"/>
      <c r="NCJ131" s="199"/>
      <c r="NCK131" s="200"/>
      <c r="NCL131" s="201"/>
      <c r="NCM131" s="202"/>
      <c r="NCN131" s="202"/>
      <c r="NCO131" s="202"/>
      <c r="NCP131" s="202"/>
      <c r="NCQ131" s="203"/>
      <c r="NCR131" s="204"/>
      <c r="NCS131" s="204"/>
      <c r="NCT131" s="204"/>
      <c r="NCU131" s="205"/>
      <c r="NCV131" s="206"/>
      <c r="NCW131" s="207"/>
      <c r="NCX131" s="207"/>
      <c r="NCY131" s="208"/>
      <c r="NCZ131" s="209"/>
      <c r="NDA131" s="207"/>
      <c r="NDB131" s="210"/>
      <c r="NDC131" s="209"/>
      <c r="NDD131" s="204"/>
      <c r="NDE131" s="204"/>
      <c r="NDF131" s="204"/>
      <c r="NDG131" s="199"/>
      <c r="NDH131" s="167"/>
      <c r="NDI131" s="199"/>
      <c r="NDJ131" s="200"/>
      <c r="NDK131" s="201"/>
      <c r="NDL131" s="202"/>
      <c r="NDM131" s="202"/>
      <c r="NDN131" s="202"/>
      <c r="NDO131" s="202"/>
      <c r="NDP131" s="203"/>
      <c r="NDQ131" s="204"/>
      <c r="NDR131" s="204"/>
      <c r="NDS131" s="204"/>
      <c r="NDT131" s="205"/>
      <c r="NDU131" s="206"/>
      <c r="NDV131" s="207"/>
      <c r="NDW131" s="207"/>
      <c r="NDX131" s="208"/>
      <c r="NDY131" s="209"/>
      <c r="NDZ131" s="207"/>
      <c r="NEA131" s="210"/>
      <c r="NEB131" s="209"/>
      <c r="NEC131" s="204"/>
      <c r="NED131" s="204"/>
      <c r="NEE131" s="204"/>
      <c r="NEF131" s="199"/>
      <c r="NEG131" s="167"/>
      <c r="NEH131" s="199"/>
      <c r="NEI131" s="200"/>
      <c r="NEJ131" s="201"/>
      <c r="NEK131" s="202"/>
      <c r="NEL131" s="202"/>
      <c r="NEM131" s="202"/>
      <c r="NEN131" s="202"/>
      <c r="NEO131" s="203"/>
      <c r="NEP131" s="204"/>
      <c r="NEQ131" s="204"/>
      <c r="NER131" s="204"/>
      <c r="NES131" s="205"/>
      <c r="NET131" s="206"/>
      <c r="NEU131" s="207"/>
      <c r="NEV131" s="207"/>
      <c r="NEW131" s="208"/>
      <c r="NEX131" s="209"/>
      <c r="NEY131" s="207"/>
      <c r="NEZ131" s="210"/>
      <c r="NFA131" s="209"/>
      <c r="NFB131" s="204"/>
      <c r="NFC131" s="204"/>
      <c r="NFD131" s="204"/>
      <c r="NFE131" s="199"/>
      <c r="NFF131" s="167"/>
      <c r="NFG131" s="199"/>
      <c r="NFH131" s="200"/>
      <c r="NFI131" s="201"/>
      <c r="NFJ131" s="202"/>
      <c r="NFK131" s="202"/>
      <c r="NFL131" s="202"/>
      <c r="NFM131" s="202"/>
      <c r="NFN131" s="203"/>
      <c r="NFO131" s="204"/>
      <c r="NFP131" s="204"/>
      <c r="NFQ131" s="204"/>
      <c r="NFR131" s="205"/>
      <c r="NFS131" s="206"/>
      <c r="NFT131" s="207"/>
      <c r="NFU131" s="207"/>
      <c r="NFV131" s="208"/>
      <c r="NFW131" s="209"/>
      <c r="NFX131" s="207"/>
      <c r="NFY131" s="210"/>
      <c r="NFZ131" s="209"/>
      <c r="NGA131" s="204"/>
      <c r="NGB131" s="204"/>
      <c r="NGC131" s="204"/>
      <c r="NGD131" s="199"/>
      <c r="NGE131" s="167"/>
      <c r="NGF131" s="199"/>
      <c r="NGG131" s="200"/>
      <c r="NGH131" s="201"/>
      <c r="NGI131" s="202"/>
      <c r="NGJ131" s="202"/>
      <c r="NGK131" s="202"/>
      <c r="NGL131" s="202"/>
      <c r="NGM131" s="203"/>
      <c r="NGN131" s="204"/>
      <c r="NGO131" s="204"/>
      <c r="NGP131" s="204"/>
      <c r="NGQ131" s="205"/>
      <c r="NGR131" s="206"/>
      <c r="NGS131" s="207"/>
      <c r="NGT131" s="207"/>
      <c r="NGU131" s="208"/>
      <c r="NGV131" s="209"/>
      <c r="NGW131" s="207"/>
      <c r="NGX131" s="210"/>
      <c r="NGY131" s="209"/>
      <c r="NGZ131" s="204"/>
      <c r="NHA131" s="204"/>
      <c r="NHB131" s="204"/>
      <c r="NHC131" s="199"/>
      <c r="NHD131" s="167"/>
      <c r="NHE131" s="199"/>
      <c r="NHF131" s="200"/>
      <c r="NHG131" s="201"/>
      <c r="NHH131" s="202"/>
      <c r="NHI131" s="202"/>
      <c r="NHJ131" s="202"/>
      <c r="NHK131" s="202"/>
      <c r="NHL131" s="203"/>
      <c r="NHM131" s="204"/>
      <c r="NHN131" s="204"/>
      <c r="NHO131" s="204"/>
      <c r="NHP131" s="205"/>
      <c r="NHQ131" s="206"/>
      <c r="NHR131" s="207"/>
      <c r="NHS131" s="207"/>
      <c r="NHT131" s="208"/>
      <c r="NHU131" s="209"/>
      <c r="NHV131" s="207"/>
      <c r="NHW131" s="210"/>
      <c r="NHX131" s="209"/>
      <c r="NHY131" s="204"/>
      <c r="NHZ131" s="204"/>
      <c r="NIA131" s="204"/>
      <c r="NIB131" s="199"/>
      <c r="NIC131" s="167"/>
      <c r="NID131" s="199"/>
      <c r="NIE131" s="200"/>
      <c r="NIF131" s="201"/>
      <c r="NIG131" s="202"/>
      <c r="NIH131" s="202"/>
      <c r="NII131" s="202"/>
      <c r="NIJ131" s="202"/>
      <c r="NIK131" s="203"/>
      <c r="NIL131" s="204"/>
      <c r="NIM131" s="204"/>
      <c r="NIN131" s="204"/>
      <c r="NIO131" s="205"/>
      <c r="NIP131" s="206"/>
      <c r="NIQ131" s="207"/>
      <c r="NIR131" s="207"/>
      <c r="NIS131" s="208"/>
      <c r="NIT131" s="209"/>
      <c r="NIU131" s="207"/>
      <c r="NIV131" s="210"/>
      <c r="NIW131" s="209"/>
      <c r="NIX131" s="204"/>
      <c r="NIY131" s="204"/>
      <c r="NIZ131" s="204"/>
      <c r="NJA131" s="199"/>
      <c r="NJB131" s="167"/>
      <c r="NJC131" s="199"/>
      <c r="NJD131" s="200"/>
      <c r="NJE131" s="201"/>
      <c r="NJF131" s="202"/>
      <c r="NJG131" s="202"/>
      <c r="NJH131" s="202"/>
      <c r="NJI131" s="202"/>
      <c r="NJJ131" s="203"/>
      <c r="NJK131" s="204"/>
      <c r="NJL131" s="204"/>
      <c r="NJM131" s="204"/>
      <c r="NJN131" s="205"/>
      <c r="NJO131" s="206"/>
      <c r="NJP131" s="207"/>
      <c r="NJQ131" s="207"/>
      <c r="NJR131" s="208"/>
      <c r="NJS131" s="209"/>
      <c r="NJT131" s="207"/>
      <c r="NJU131" s="210"/>
      <c r="NJV131" s="209"/>
      <c r="NJW131" s="204"/>
      <c r="NJX131" s="204"/>
      <c r="NJY131" s="204"/>
      <c r="NJZ131" s="199"/>
      <c r="NKA131" s="167"/>
      <c r="NKB131" s="199"/>
      <c r="NKC131" s="200"/>
      <c r="NKD131" s="201"/>
      <c r="NKE131" s="202"/>
      <c r="NKF131" s="202"/>
      <c r="NKG131" s="202"/>
      <c r="NKH131" s="202"/>
      <c r="NKI131" s="203"/>
      <c r="NKJ131" s="204"/>
      <c r="NKK131" s="204"/>
      <c r="NKL131" s="204"/>
      <c r="NKM131" s="205"/>
      <c r="NKN131" s="206"/>
      <c r="NKO131" s="207"/>
      <c r="NKP131" s="207"/>
      <c r="NKQ131" s="208"/>
      <c r="NKR131" s="209"/>
      <c r="NKS131" s="207"/>
      <c r="NKT131" s="210"/>
      <c r="NKU131" s="209"/>
      <c r="NKV131" s="204"/>
      <c r="NKW131" s="204"/>
      <c r="NKX131" s="204"/>
      <c r="NKY131" s="199"/>
      <c r="NKZ131" s="167"/>
      <c r="NLA131" s="199"/>
      <c r="NLB131" s="200"/>
      <c r="NLC131" s="201"/>
      <c r="NLD131" s="202"/>
      <c r="NLE131" s="202"/>
      <c r="NLF131" s="202"/>
      <c r="NLG131" s="202"/>
      <c r="NLH131" s="203"/>
      <c r="NLI131" s="204"/>
      <c r="NLJ131" s="204"/>
      <c r="NLK131" s="204"/>
      <c r="NLL131" s="205"/>
      <c r="NLM131" s="206"/>
      <c r="NLN131" s="207"/>
      <c r="NLO131" s="207"/>
      <c r="NLP131" s="208"/>
      <c r="NLQ131" s="209"/>
      <c r="NLR131" s="207"/>
      <c r="NLS131" s="210"/>
      <c r="NLT131" s="209"/>
      <c r="NLU131" s="204"/>
      <c r="NLV131" s="204"/>
      <c r="NLW131" s="204"/>
      <c r="NLX131" s="199"/>
      <c r="NLY131" s="167"/>
      <c r="NLZ131" s="199"/>
      <c r="NMA131" s="200"/>
      <c r="NMB131" s="201"/>
      <c r="NMC131" s="202"/>
      <c r="NMD131" s="202"/>
      <c r="NME131" s="202"/>
      <c r="NMF131" s="202"/>
      <c r="NMG131" s="203"/>
      <c r="NMH131" s="204"/>
      <c r="NMI131" s="204"/>
      <c r="NMJ131" s="204"/>
      <c r="NMK131" s="205"/>
      <c r="NML131" s="206"/>
      <c r="NMM131" s="207"/>
      <c r="NMN131" s="207"/>
      <c r="NMO131" s="208"/>
      <c r="NMP131" s="209"/>
      <c r="NMQ131" s="207"/>
      <c r="NMR131" s="210"/>
      <c r="NMS131" s="209"/>
      <c r="NMT131" s="204"/>
      <c r="NMU131" s="204"/>
      <c r="NMV131" s="204"/>
      <c r="NMW131" s="199"/>
      <c r="NMX131" s="167"/>
      <c r="NMY131" s="199"/>
      <c r="NMZ131" s="200"/>
      <c r="NNA131" s="201"/>
      <c r="NNB131" s="202"/>
      <c r="NNC131" s="202"/>
      <c r="NND131" s="202"/>
      <c r="NNE131" s="202"/>
      <c r="NNF131" s="203"/>
      <c r="NNG131" s="204"/>
      <c r="NNH131" s="204"/>
      <c r="NNI131" s="204"/>
      <c r="NNJ131" s="205"/>
      <c r="NNK131" s="206"/>
      <c r="NNL131" s="207"/>
      <c r="NNM131" s="207"/>
      <c r="NNN131" s="208"/>
      <c r="NNO131" s="209"/>
      <c r="NNP131" s="207"/>
      <c r="NNQ131" s="210"/>
      <c r="NNR131" s="209"/>
      <c r="NNS131" s="204"/>
      <c r="NNT131" s="204"/>
      <c r="NNU131" s="204"/>
      <c r="NNV131" s="199"/>
      <c r="NNW131" s="167"/>
      <c r="NNX131" s="199"/>
      <c r="NNY131" s="200"/>
      <c r="NNZ131" s="201"/>
      <c r="NOA131" s="202"/>
      <c r="NOB131" s="202"/>
      <c r="NOC131" s="202"/>
      <c r="NOD131" s="202"/>
      <c r="NOE131" s="203"/>
      <c r="NOF131" s="204"/>
      <c r="NOG131" s="204"/>
      <c r="NOH131" s="204"/>
      <c r="NOI131" s="205"/>
      <c r="NOJ131" s="206"/>
      <c r="NOK131" s="207"/>
      <c r="NOL131" s="207"/>
      <c r="NOM131" s="208"/>
      <c r="NON131" s="209"/>
      <c r="NOO131" s="207"/>
      <c r="NOP131" s="210"/>
      <c r="NOQ131" s="209"/>
      <c r="NOR131" s="204"/>
      <c r="NOS131" s="204"/>
      <c r="NOT131" s="204"/>
      <c r="NOU131" s="199"/>
      <c r="NOV131" s="167"/>
      <c r="NOW131" s="199"/>
      <c r="NOX131" s="200"/>
      <c r="NOY131" s="201"/>
      <c r="NOZ131" s="202"/>
      <c r="NPA131" s="202"/>
      <c r="NPB131" s="202"/>
      <c r="NPC131" s="202"/>
      <c r="NPD131" s="203"/>
      <c r="NPE131" s="204"/>
      <c r="NPF131" s="204"/>
      <c r="NPG131" s="204"/>
      <c r="NPH131" s="205"/>
      <c r="NPI131" s="206"/>
      <c r="NPJ131" s="207"/>
      <c r="NPK131" s="207"/>
      <c r="NPL131" s="208"/>
      <c r="NPM131" s="209"/>
      <c r="NPN131" s="207"/>
      <c r="NPO131" s="210"/>
      <c r="NPP131" s="209"/>
      <c r="NPQ131" s="204"/>
      <c r="NPR131" s="204"/>
      <c r="NPS131" s="204"/>
      <c r="NPT131" s="199"/>
      <c r="NPU131" s="167"/>
      <c r="NPV131" s="199"/>
      <c r="NPW131" s="200"/>
      <c r="NPX131" s="201"/>
      <c r="NPY131" s="202"/>
      <c r="NPZ131" s="202"/>
      <c r="NQA131" s="202"/>
      <c r="NQB131" s="202"/>
      <c r="NQC131" s="203"/>
      <c r="NQD131" s="204"/>
      <c r="NQE131" s="204"/>
      <c r="NQF131" s="204"/>
      <c r="NQG131" s="205"/>
      <c r="NQH131" s="206"/>
      <c r="NQI131" s="207"/>
      <c r="NQJ131" s="207"/>
      <c r="NQK131" s="208"/>
      <c r="NQL131" s="209"/>
      <c r="NQM131" s="207"/>
      <c r="NQN131" s="210"/>
      <c r="NQO131" s="209"/>
      <c r="NQP131" s="204"/>
      <c r="NQQ131" s="204"/>
      <c r="NQR131" s="204"/>
      <c r="NQS131" s="199"/>
      <c r="NQT131" s="167"/>
      <c r="NQU131" s="199"/>
      <c r="NQV131" s="200"/>
      <c r="NQW131" s="201"/>
      <c r="NQX131" s="202"/>
      <c r="NQY131" s="202"/>
      <c r="NQZ131" s="202"/>
      <c r="NRA131" s="202"/>
      <c r="NRB131" s="203"/>
      <c r="NRC131" s="204"/>
      <c r="NRD131" s="204"/>
      <c r="NRE131" s="204"/>
      <c r="NRF131" s="205"/>
      <c r="NRG131" s="206"/>
      <c r="NRH131" s="207"/>
      <c r="NRI131" s="207"/>
      <c r="NRJ131" s="208"/>
      <c r="NRK131" s="209"/>
      <c r="NRL131" s="207"/>
      <c r="NRM131" s="210"/>
      <c r="NRN131" s="209"/>
      <c r="NRO131" s="204"/>
      <c r="NRP131" s="204"/>
      <c r="NRQ131" s="204"/>
      <c r="NRR131" s="199"/>
      <c r="NRS131" s="167"/>
      <c r="NRT131" s="199"/>
      <c r="NRU131" s="200"/>
      <c r="NRV131" s="201"/>
      <c r="NRW131" s="202"/>
      <c r="NRX131" s="202"/>
      <c r="NRY131" s="202"/>
      <c r="NRZ131" s="202"/>
      <c r="NSA131" s="203"/>
      <c r="NSB131" s="204"/>
      <c r="NSC131" s="204"/>
      <c r="NSD131" s="204"/>
      <c r="NSE131" s="205"/>
      <c r="NSF131" s="206"/>
      <c r="NSG131" s="207"/>
      <c r="NSH131" s="207"/>
      <c r="NSI131" s="208"/>
      <c r="NSJ131" s="209"/>
      <c r="NSK131" s="207"/>
      <c r="NSL131" s="210"/>
      <c r="NSM131" s="209"/>
      <c r="NSN131" s="204"/>
      <c r="NSO131" s="204"/>
      <c r="NSP131" s="204"/>
      <c r="NSQ131" s="199"/>
      <c r="NSR131" s="167"/>
      <c r="NSS131" s="199"/>
      <c r="NST131" s="200"/>
      <c r="NSU131" s="201"/>
      <c r="NSV131" s="202"/>
      <c r="NSW131" s="202"/>
      <c r="NSX131" s="202"/>
      <c r="NSY131" s="202"/>
      <c r="NSZ131" s="203"/>
      <c r="NTA131" s="204"/>
      <c r="NTB131" s="204"/>
      <c r="NTC131" s="204"/>
      <c r="NTD131" s="205"/>
      <c r="NTE131" s="206"/>
      <c r="NTF131" s="207"/>
      <c r="NTG131" s="207"/>
      <c r="NTH131" s="208"/>
      <c r="NTI131" s="209"/>
      <c r="NTJ131" s="207"/>
      <c r="NTK131" s="210"/>
      <c r="NTL131" s="209"/>
      <c r="NTM131" s="204"/>
      <c r="NTN131" s="204"/>
      <c r="NTO131" s="204"/>
      <c r="NTP131" s="199"/>
      <c r="NTQ131" s="167"/>
      <c r="NTR131" s="199"/>
      <c r="NTS131" s="200"/>
      <c r="NTT131" s="201"/>
      <c r="NTU131" s="202"/>
      <c r="NTV131" s="202"/>
      <c r="NTW131" s="202"/>
      <c r="NTX131" s="202"/>
      <c r="NTY131" s="203"/>
      <c r="NTZ131" s="204"/>
      <c r="NUA131" s="204"/>
      <c r="NUB131" s="204"/>
      <c r="NUC131" s="205"/>
      <c r="NUD131" s="206"/>
      <c r="NUE131" s="207"/>
      <c r="NUF131" s="207"/>
      <c r="NUG131" s="208"/>
      <c r="NUH131" s="209"/>
      <c r="NUI131" s="207"/>
      <c r="NUJ131" s="210"/>
      <c r="NUK131" s="209"/>
      <c r="NUL131" s="204"/>
      <c r="NUM131" s="204"/>
      <c r="NUN131" s="204"/>
      <c r="NUO131" s="199"/>
      <c r="NUP131" s="167"/>
      <c r="NUQ131" s="199"/>
      <c r="NUR131" s="200"/>
      <c r="NUS131" s="201"/>
      <c r="NUT131" s="202"/>
      <c r="NUU131" s="202"/>
      <c r="NUV131" s="202"/>
      <c r="NUW131" s="202"/>
      <c r="NUX131" s="203"/>
      <c r="NUY131" s="204"/>
      <c r="NUZ131" s="204"/>
      <c r="NVA131" s="204"/>
      <c r="NVB131" s="205"/>
      <c r="NVC131" s="206"/>
      <c r="NVD131" s="207"/>
      <c r="NVE131" s="207"/>
      <c r="NVF131" s="208"/>
      <c r="NVG131" s="209"/>
      <c r="NVH131" s="207"/>
      <c r="NVI131" s="210"/>
      <c r="NVJ131" s="209"/>
      <c r="NVK131" s="204"/>
      <c r="NVL131" s="204"/>
      <c r="NVM131" s="204"/>
      <c r="NVN131" s="199"/>
      <c r="NVO131" s="167"/>
      <c r="NVP131" s="199"/>
      <c r="NVQ131" s="200"/>
      <c r="NVR131" s="201"/>
      <c r="NVS131" s="202"/>
      <c r="NVT131" s="202"/>
      <c r="NVU131" s="202"/>
      <c r="NVV131" s="202"/>
      <c r="NVW131" s="203"/>
      <c r="NVX131" s="204"/>
      <c r="NVY131" s="204"/>
      <c r="NVZ131" s="204"/>
      <c r="NWA131" s="205"/>
      <c r="NWB131" s="206"/>
      <c r="NWC131" s="207"/>
      <c r="NWD131" s="207"/>
      <c r="NWE131" s="208"/>
      <c r="NWF131" s="209"/>
      <c r="NWG131" s="207"/>
      <c r="NWH131" s="210"/>
      <c r="NWI131" s="209"/>
      <c r="NWJ131" s="204"/>
      <c r="NWK131" s="204"/>
      <c r="NWL131" s="204"/>
      <c r="NWM131" s="199"/>
      <c r="NWN131" s="167"/>
      <c r="NWO131" s="199"/>
      <c r="NWP131" s="200"/>
      <c r="NWQ131" s="201"/>
      <c r="NWR131" s="202"/>
      <c r="NWS131" s="202"/>
      <c r="NWT131" s="202"/>
      <c r="NWU131" s="202"/>
      <c r="NWV131" s="203"/>
      <c r="NWW131" s="204"/>
      <c r="NWX131" s="204"/>
      <c r="NWY131" s="204"/>
      <c r="NWZ131" s="205"/>
      <c r="NXA131" s="206"/>
      <c r="NXB131" s="207"/>
      <c r="NXC131" s="207"/>
      <c r="NXD131" s="208"/>
      <c r="NXE131" s="209"/>
      <c r="NXF131" s="207"/>
      <c r="NXG131" s="210"/>
      <c r="NXH131" s="209"/>
      <c r="NXI131" s="204"/>
      <c r="NXJ131" s="204"/>
      <c r="NXK131" s="204"/>
      <c r="NXL131" s="199"/>
      <c r="NXM131" s="167"/>
      <c r="NXN131" s="199"/>
      <c r="NXO131" s="200"/>
      <c r="NXP131" s="201"/>
      <c r="NXQ131" s="202"/>
      <c r="NXR131" s="202"/>
      <c r="NXS131" s="202"/>
      <c r="NXT131" s="202"/>
      <c r="NXU131" s="203"/>
      <c r="NXV131" s="204"/>
      <c r="NXW131" s="204"/>
      <c r="NXX131" s="204"/>
      <c r="NXY131" s="205"/>
      <c r="NXZ131" s="206"/>
      <c r="NYA131" s="207"/>
      <c r="NYB131" s="207"/>
      <c r="NYC131" s="208"/>
      <c r="NYD131" s="209"/>
      <c r="NYE131" s="207"/>
      <c r="NYF131" s="210"/>
      <c r="NYG131" s="209"/>
      <c r="NYH131" s="204"/>
      <c r="NYI131" s="204"/>
      <c r="NYJ131" s="204"/>
      <c r="NYK131" s="199"/>
      <c r="NYL131" s="167"/>
      <c r="NYM131" s="199"/>
      <c r="NYN131" s="200"/>
      <c r="NYO131" s="201"/>
      <c r="NYP131" s="202"/>
      <c r="NYQ131" s="202"/>
      <c r="NYR131" s="202"/>
      <c r="NYS131" s="202"/>
      <c r="NYT131" s="203"/>
      <c r="NYU131" s="204"/>
      <c r="NYV131" s="204"/>
      <c r="NYW131" s="204"/>
      <c r="NYX131" s="205"/>
      <c r="NYY131" s="206"/>
      <c r="NYZ131" s="207"/>
      <c r="NZA131" s="207"/>
      <c r="NZB131" s="208"/>
      <c r="NZC131" s="209"/>
      <c r="NZD131" s="207"/>
      <c r="NZE131" s="210"/>
      <c r="NZF131" s="209"/>
      <c r="NZG131" s="204"/>
      <c r="NZH131" s="204"/>
      <c r="NZI131" s="204"/>
      <c r="NZJ131" s="199"/>
      <c r="NZK131" s="167"/>
      <c r="NZL131" s="199"/>
      <c r="NZM131" s="200"/>
      <c r="NZN131" s="201"/>
      <c r="NZO131" s="202"/>
      <c r="NZP131" s="202"/>
      <c r="NZQ131" s="202"/>
      <c r="NZR131" s="202"/>
      <c r="NZS131" s="203"/>
      <c r="NZT131" s="204"/>
      <c r="NZU131" s="204"/>
      <c r="NZV131" s="204"/>
      <c r="NZW131" s="205"/>
      <c r="NZX131" s="206"/>
      <c r="NZY131" s="207"/>
      <c r="NZZ131" s="207"/>
      <c r="OAA131" s="208"/>
      <c r="OAB131" s="209"/>
      <c r="OAC131" s="207"/>
      <c r="OAD131" s="210"/>
      <c r="OAE131" s="209"/>
      <c r="OAF131" s="204"/>
      <c r="OAG131" s="204"/>
      <c r="OAH131" s="204"/>
      <c r="OAI131" s="199"/>
      <c r="OAJ131" s="167"/>
      <c r="OAK131" s="199"/>
      <c r="OAL131" s="200"/>
      <c r="OAM131" s="201"/>
      <c r="OAN131" s="202"/>
      <c r="OAO131" s="202"/>
      <c r="OAP131" s="202"/>
      <c r="OAQ131" s="202"/>
      <c r="OAR131" s="203"/>
      <c r="OAS131" s="204"/>
      <c r="OAT131" s="204"/>
      <c r="OAU131" s="204"/>
      <c r="OAV131" s="205"/>
      <c r="OAW131" s="206"/>
      <c r="OAX131" s="207"/>
      <c r="OAY131" s="207"/>
      <c r="OAZ131" s="208"/>
      <c r="OBA131" s="209"/>
      <c r="OBB131" s="207"/>
      <c r="OBC131" s="210"/>
      <c r="OBD131" s="209"/>
      <c r="OBE131" s="204"/>
      <c r="OBF131" s="204"/>
      <c r="OBG131" s="204"/>
      <c r="OBH131" s="199"/>
      <c r="OBI131" s="167"/>
      <c r="OBJ131" s="199"/>
      <c r="OBK131" s="200"/>
      <c r="OBL131" s="201"/>
      <c r="OBM131" s="202"/>
      <c r="OBN131" s="202"/>
      <c r="OBO131" s="202"/>
      <c r="OBP131" s="202"/>
      <c r="OBQ131" s="203"/>
      <c r="OBR131" s="204"/>
      <c r="OBS131" s="204"/>
      <c r="OBT131" s="204"/>
      <c r="OBU131" s="205"/>
      <c r="OBV131" s="206"/>
      <c r="OBW131" s="207"/>
      <c r="OBX131" s="207"/>
      <c r="OBY131" s="208"/>
      <c r="OBZ131" s="209"/>
      <c r="OCA131" s="207"/>
      <c r="OCB131" s="210"/>
      <c r="OCC131" s="209"/>
      <c r="OCD131" s="204"/>
      <c r="OCE131" s="204"/>
      <c r="OCF131" s="204"/>
      <c r="OCG131" s="199"/>
      <c r="OCH131" s="167"/>
      <c r="OCI131" s="199"/>
      <c r="OCJ131" s="200"/>
      <c r="OCK131" s="201"/>
      <c r="OCL131" s="202"/>
      <c r="OCM131" s="202"/>
      <c r="OCN131" s="202"/>
      <c r="OCO131" s="202"/>
      <c r="OCP131" s="203"/>
      <c r="OCQ131" s="204"/>
      <c r="OCR131" s="204"/>
      <c r="OCS131" s="204"/>
      <c r="OCT131" s="205"/>
      <c r="OCU131" s="206"/>
      <c r="OCV131" s="207"/>
      <c r="OCW131" s="207"/>
      <c r="OCX131" s="208"/>
      <c r="OCY131" s="209"/>
      <c r="OCZ131" s="207"/>
      <c r="ODA131" s="210"/>
      <c r="ODB131" s="209"/>
      <c r="ODC131" s="204"/>
      <c r="ODD131" s="204"/>
      <c r="ODE131" s="204"/>
      <c r="ODF131" s="199"/>
      <c r="ODG131" s="167"/>
      <c r="ODH131" s="199"/>
      <c r="ODI131" s="200"/>
      <c r="ODJ131" s="201"/>
      <c r="ODK131" s="202"/>
      <c r="ODL131" s="202"/>
      <c r="ODM131" s="202"/>
      <c r="ODN131" s="202"/>
      <c r="ODO131" s="203"/>
      <c r="ODP131" s="204"/>
      <c r="ODQ131" s="204"/>
      <c r="ODR131" s="204"/>
      <c r="ODS131" s="205"/>
      <c r="ODT131" s="206"/>
      <c r="ODU131" s="207"/>
      <c r="ODV131" s="207"/>
      <c r="ODW131" s="208"/>
      <c r="ODX131" s="209"/>
      <c r="ODY131" s="207"/>
      <c r="ODZ131" s="210"/>
      <c r="OEA131" s="209"/>
      <c r="OEB131" s="204"/>
      <c r="OEC131" s="204"/>
      <c r="OED131" s="204"/>
      <c r="OEE131" s="199"/>
      <c r="OEF131" s="167"/>
      <c r="OEG131" s="199"/>
      <c r="OEH131" s="200"/>
      <c r="OEI131" s="201"/>
      <c r="OEJ131" s="202"/>
      <c r="OEK131" s="202"/>
      <c r="OEL131" s="202"/>
      <c r="OEM131" s="202"/>
      <c r="OEN131" s="203"/>
      <c r="OEO131" s="204"/>
      <c r="OEP131" s="204"/>
      <c r="OEQ131" s="204"/>
      <c r="OER131" s="205"/>
      <c r="OES131" s="206"/>
      <c r="OET131" s="207"/>
      <c r="OEU131" s="207"/>
      <c r="OEV131" s="208"/>
      <c r="OEW131" s="209"/>
      <c r="OEX131" s="207"/>
      <c r="OEY131" s="210"/>
      <c r="OEZ131" s="209"/>
      <c r="OFA131" s="204"/>
      <c r="OFB131" s="204"/>
      <c r="OFC131" s="204"/>
      <c r="OFD131" s="199"/>
      <c r="OFE131" s="167"/>
      <c r="OFF131" s="199"/>
      <c r="OFG131" s="200"/>
      <c r="OFH131" s="201"/>
      <c r="OFI131" s="202"/>
      <c r="OFJ131" s="202"/>
      <c r="OFK131" s="202"/>
      <c r="OFL131" s="202"/>
      <c r="OFM131" s="203"/>
      <c r="OFN131" s="204"/>
      <c r="OFO131" s="204"/>
      <c r="OFP131" s="204"/>
      <c r="OFQ131" s="205"/>
      <c r="OFR131" s="206"/>
      <c r="OFS131" s="207"/>
      <c r="OFT131" s="207"/>
      <c r="OFU131" s="208"/>
      <c r="OFV131" s="209"/>
      <c r="OFW131" s="207"/>
      <c r="OFX131" s="210"/>
      <c r="OFY131" s="209"/>
      <c r="OFZ131" s="204"/>
      <c r="OGA131" s="204"/>
      <c r="OGB131" s="204"/>
      <c r="OGC131" s="199"/>
      <c r="OGD131" s="167"/>
      <c r="OGE131" s="199"/>
      <c r="OGF131" s="200"/>
      <c r="OGG131" s="201"/>
      <c r="OGH131" s="202"/>
      <c r="OGI131" s="202"/>
      <c r="OGJ131" s="202"/>
      <c r="OGK131" s="202"/>
      <c r="OGL131" s="203"/>
      <c r="OGM131" s="204"/>
      <c r="OGN131" s="204"/>
      <c r="OGO131" s="204"/>
      <c r="OGP131" s="205"/>
      <c r="OGQ131" s="206"/>
      <c r="OGR131" s="207"/>
      <c r="OGS131" s="207"/>
      <c r="OGT131" s="208"/>
      <c r="OGU131" s="209"/>
      <c r="OGV131" s="207"/>
      <c r="OGW131" s="210"/>
      <c r="OGX131" s="209"/>
      <c r="OGY131" s="204"/>
      <c r="OGZ131" s="204"/>
      <c r="OHA131" s="204"/>
      <c r="OHB131" s="199"/>
      <c r="OHC131" s="167"/>
      <c r="OHD131" s="199"/>
      <c r="OHE131" s="200"/>
      <c r="OHF131" s="201"/>
      <c r="OHG131" s="202"/>
      <c r="OHH131" s="202"/>
      <c r="OHI131" s="202"/>
      <c r="OHJ131" s="202"/>
      <c r="OHK131" s="203"/>
      <c r="OHL131" s="204"/>
      <c r="OHM131" s="204"/>
      <c r="OHN131" s="204"/>
      <c r="OHO131" s="205"/>
      <c r="OHP131" s="206"/>
      <c r="OHQ131" s="207"/>
      <c r="OHR131" s="207"/>
      <c r="OHS131" s="208"/>
      <c r="OHT131" s="209"/>
      <c r="OHU131" s="207"/>
      <c r="OHV131" s="210"/>
      <c r="OHW131" s="209"/>
      <c r="OHX131" s="204"/>
      <c r="OHY131" s="204"/>
      <c r="OHZ131" s="204"/>
      <c r="OIA131" s="199"/>
      <c r="OIB131" s="167"/>
      <c r="OIC131" s="199"/>
      <c r="OID131" s="200"/>
      <c r="OIE131" s="201"/>
      <c r="OIF131" s="202"/>
      <c r="OIG131" s="202"/>
      <c r="OIH131" s="202"/>
      <c r="OII131" s="202"/>
      <c r="OIJ131" s="203"/>
      <c r="OIK131" s="204"/>
      <c r="OIL131" s="204"/>
      <c r="OIM131" s="204"/>
      <c r="OIN131" s="205"/>
      <c r="OIO131" s="206"/>
      <c r="OIP131" s="207"/>
      <c r="OIQ131" s="207"/>
      <c r="OIR131" s="208"/>
      <c r="OIS131" s="209"/>
      <c r="OIT131" s="207"/>
      <c r="OIU131" s="210"/>
      <c r="OIV131" s="209"/>
      <c r="OIW131" s="204"/>
      <c r="OIX131" s="204"/>
      <c r="OIY131" s="204"/>
      <c r="OIZ131" s="199"/>
      <c r="OJA131" s="167"/>
      <c r="OJB131" s="199"/>
      <c r="OJC131" s="200"/>
      <c r="OJD131" s="201"/>
      <c r="OJE131" s="202"/>
      <c r="OJF131" s="202"/>
      <c r="OJG131" s="202"/>
      <c r="OJH131" s="202"/>
      <c r="OJI131" s="203"/>
      <c r="OJJ131" s="204"/>
      <c r="OJK131" s="204"/>
      <c r="OJL131" s="204"/>
      <c r="OJM131" s="205"/>
      <c r="OJN131" s="206"/>
      <c r="OJO131" s="207"/>
      <c r="OJP131" s="207"/>
      <c r="OJQ131" s="208"/>
      <c r="OJR131" s="209"/>
      <c r="OJS131" s="207"/>
      <c r="OJT131" s="210"/>
      <c r="OJU131" s="209"/>
      <c r="OJV131" s="204"/>
      <c r="OJW131" s="204"/>
      <c r="OJX131" s="204"/>
      <c r="OJY131" s="199"/>
      <c r="OJZ131" s="167"/>
      <c r="OKA131" s="199"/>
      <c r="OKB131" s="200"/>
      <c r="OKC131" s="201"/>
      <c r="OKD131" s="202"/>
      <c r="OKE131" s="202"/>
      <c r="OKF131" s="202"/>
      <c r="OKG131" s="202"/>
      <c r="OKH131" s="203"/>
      <c r="OKI131" s="204"/>
      <c r="OKJ131" s="204"/>
      <c r="OKK131" s="204"/>
      <c r="OKL131" s="205"/>
      <c r="OKM131" s="206"/>
      <c r="OKN131" s="207"/>
      <c r="OKO131" s="207"/>
      <c r="OKP131" s="208"/>
      <c r="OKQ131" s="209"/>
      <c r="OKR131" s="207"/>
      <c r="OKS131" s="210"/>
      <c r="OKT131" s="209"/>
      <c r="OKU131" s="204"/>
      <c r="OKV131" s="204"/>
      <c r="OKW131" s="204"/>
      <c r="OKX131" s="199"/>
      <c r="OKY131" s="167"/>
      <c r="OKZ131" s="199"/>
      <c r="OLA131" s="200"/>
      <c r="OLB131" s="201"/>
      <c r="OLC131" s="202"/>
      <c r="OLD131" s="202"/>
      <c r="OLE131" s="202"/>
      <c r="OLF131" s="202"/>
      <c r="OLG131" s="203"/>
      <c r="OLH131" s="204"/>
      <c r="OLI131" s="204"/>
      <c r="OLJ131" s="204"/>
      <c r="OLK131" s="205"/>
      <c r="OLL131" s="206"/>
      <c r="OLM131" s="207"/>
      <c r="OLN131" s="207"/>
      <c r="OLO131" s="208"/>
      <c r="OLP131" s="209"/>
      <c r="OLQ131" s="207"/>
      <c r="OLR131" s="210"/>
      <c r="OLS131" s="209"/>
      <c r="OLT131" s="204"/>
      <c r="OLU131" s="204"/>
      <c r="OLV131" s="204"/>
      <c r="OLW131" s="199"/>
      <c r="OLX131" s="167"/>
      <c r="OLY131" s="199"/>
      <c r="OLZ131" s="200"/>
      <c r="OMA131" s="201"/>
      <c r="OMB131" s="202"/>
      <c r="OMC131" s="202"/>
      <c r="OMD131" s="202"/>
      <c r="OME131" s="202"/>
      <c r="OMF131" s="203"/>
      <c r="OMG131" s="204"/>
      <c r="OMH131" s="204"/>
      <c r="OMI131" s="204"/>
      <c r="OMJ131" s="205"/>
      <c r="OMK131" s="206"/>
      <c r="OML131" s="207"/>
      <c r="OMM131" s="207"/>
      <c r="OMN131" s="208"/>
      <c r="OMO131" s="209"/>
      <c r="OMP131" s="207"/>
      <c r="OMQ131" s="210"/>
      <c r="OMR131" s="209"/>
      <c r="OMS131" s="204"/>
      <c r="OMT131" s="204"/>
      <c r="OMU131" s="204"/>
      <c r="OMV131" s="199"/>
      <c r="OMW131" s="167"/>
      <c r="OMX131" s="199"/>
      <c r="OMY131" s="200"/>
      <c r="OMZ131" s="201"/>
      <c r="ONA131" s="202"/>
      <c r="ONB131" s="202"/>
      <c r="ONC131" s="202"/>
      <c r="OND131" s="202"/>
      <c r="ONE131" s="203"/>
      <c r="ONF131" s="204"/>
      <c r="ONG131" s="204"/>
      <c r="ONH131" s="204"/>
      <c r="ONI131" s="205"/>
      <c r="ONJ131" s="206"/>
      <c r="ONK131" s="207"/>
      <c r="ONL131" s="207"/>
      <c r="ONM131" s="208"/>
      <c r="ONN131" s="209"/>
      <c r="ONO131" s="207"/>
      <c r="ONP131" s="210"/>
      <c r="ONQ131" s="209"/>
      <c r="ONR131" s="204"/>
      <c r="ONS131" s="204"/>
      <c r="ONT131" s="204"/>
      <c r="ONU131" s="199"/>
      <c r="ONV131" s="167"/>
      <c r="ONW131" s="199"/>
      <c r="ONX131" s="200"/>
      <c r="ONY131" s="201"/>
      <c r="ONZ131" s="202"/>
      <c r="OOA131" s="202"/>
      <c r="OOB131" s="202"/>
      <c r="OOC131" s="202"/>
      <c r="OOD131" s="203"/>
      <c r="OOE131" s="204"/>
      <c r="OOF131" s="204"/>
      <c r="OOG131" s="204"/>
      <c r="OOH131" s="205"/>
      <c r="OOI131" s="206"/>
      <c r="OOJ131" s="207"/>
      <c r="OOK131" s="207"/>
      <c r="OOL131" s="208"/>
      <c r="OOM131" s="209"/>
      <c r="OON131" s="207"/>
      <c r="OOO131" s="210"/>
      <c r="OOP131" s="209"/>
      <c r="OOQ131" s="204"/>
      <c r="OOR131" s="204"/>
      <c r="OOS131" s="204"/>
      <c r="OOT131" s="199"/>
      <c r="OOU131" s="167"/>
      <c r="OOV131" s="199"/>
      <c r="OOW131" s="200"/>
      <c r="OOX131" s="201"/>
      <c r="OOY131" s="202"/>
      <c r="OOZ131" s="202"/>
      <c r="OPA131" s="202"/>
      <c r="OPB131" s="202"/>
      <c r="OPC131" s="203"/>
      <c r="OPD131" s="204"/>
      <c r="OPE131" s="204"/>
      <c r="OPF131" s="204"/>
      <c r="OPG131" s="205"/>
      <c r="OPH131" s="206"/>
      <c r="OPI131" s="207"/>
      <c r="OPJ131" s="207"/>
      <c r="OPK131" s="208"/>
      <c r="OPL131" s="209"/>
      <c r="OPM131" s="207"/>
      <c r="OPN131" s="210"/>
      <c r="OPO131" s="209"/>
      <c r="OPP131" s="204"/>
      <c r="OPQ131" s="204"/>
      <c r="OPR131" s="204"/>
      <c r="OPS131" s="199"/>
      <c r="OPT131" s="167"/>
      <c r="OPU131" s="199"/>
      <c r="OPV131" s="200"/>
      <c r="OPW131" s="201"/>
      <c r="OPX131" s="202"/>
      <c r="OPY131" s="202"/>
      <c r="OPZ131" s="202"/>
      <c r="OQA131" s="202"/>
      <c r="OQB131" s="203"/>
      <c r="OQC131" s="204"/>
      <c r="OQD131" s="204"/>
      <c r="OQE131" s="204"/>
      <c r="OQF131" s="205"/>
      <c r="OQG131" s="206"/>
      <c r="OQH131" s="207"/>
      <c r="OQI131" s="207"/>
      <c r="OQJ131" s="208"/>
      <c r="OQK131" s="209"/>
      <c r="OQL131" s="207"/>
      <c r="OQM131" s="210"/>
      <c r="OQN131" s="209"/>
      <c r="OQO131" s="204"/>
      <c r="OQP131" s="204"/>
      <c r="OQQ131" s="204"/>
      <c r="OQR131" s="199"/>
      <c r="OQS131" s="167"/>
      <c r="OQT131" s="199"/>
      <c r="OQU131" s="200"/>
      <c r="OQV131" s="201"/>
      <c r="OQW131" s="202"/>
      <c r="OQX131" s="202"/>
      <c r="OQY131" s="202"/>
      <c r="OQZ131" s="202"/>
      <c r="ORA131" s="203"/>
      <c r="ORB131" s="204"/>
      <c r="ORC131" s="204"/>
      <c r="ORD131" s="204"/>
      <c r="ORE131" s="205"/>
      <c r="ORF131" s="206"/>
      <c r="ORG131" s="207"/>
      <c r="ORH131" s="207"/>
      <c r="ORI131" s="208"/>
      <c r="ORJ131" s="209"/>
      <c r="ORK131" s="207"/>
      <c r="ORL131" s="210"/>
      <c r="ORM131" s="209"/>
      <c r="ORN131" s="204"/>
      <c r="ORO131" s="204"/>
      <c r="ORP131" s="204"/>
      <c r="ORQ131" s="199"/>
      <c r="ORR131" s="167"/>
      <c r="ORS131" s="199"/>
      <c r="ORT131" s="200"/>
      <c r="ORU131" s="201"/>
      <c r="ORV131" s="202"/>
      <c r="ORW131" s="202"/>
      <c r="ORX131" s="202"/>
      <c r="ORY131" s="202"/>
      <c r="ORZ131" s="203"/>
      <c r="OSA131" s="204"/>
      <c r="OSB131" s="204"/>
      <c r="OSC131" s="204"/>
      <c r="OSD131" s="205"/>
      <c r="OSE131" s="206"/>
      <c r="OSF131" s="207"/>
      <c r="OSG131" s="207"/>
      <c r="OSH131" s="208"/>
      <c r="OSI131" s="209"/>
      <c r="OSJ131" s="207"/>
      <c r="OSK131" s="210"/>
      <c r="OSL131" s="209"/>
      <c r="OSM131" s="204"/>
      <c r="OSN131" s="204"/>
      <c r="OSO131" s="204"/>
      <c r="OSP131" s="199"/>
      <c r="OSQ131" s="167"/>
      <c r="OSR131" s="199"/>
      <c r="OSS131" s="200"/>
      <c r="OST131" s="201"/>
      <c r="OSU131" s="202"/>
      <c r="OSV131" s="202"/>
      <c r="OSW131" s="202"/>
      <c r="OSX131" s="202"/>
      <c r="OSY131" s="203"/>
      <c r="OSZ131" s="204"/>
      <c r="OTA131" s="204"/>
      <c r="OTB131" s="204"/>
      <c r="OTC131" s="205"/>
      <c r="OTD131" s="206"/>
      <c r="OTE131" s="207"/>
      <c r="OTF131" s="207"/>
      <c r="OTG131" s="208"/>
      <c r="OTH131" s="209"/>
      <c r="OTI131" s="207"/>
      <c r="OTJ131" s="210"/>
      <c r="OTK131" s="209"/>
      <c r="OTL131" s="204"/>
      <c r="OTM131" s="204"/>
      <c r="OTN131" s="204"/>
      <c r="OTO131" s="199"/>
      <c r="OTP131" s="167"/>
      <c r="OTQ131" s="199"/>
      <c r="OTR131" s="200"/>
      <c r="OTS131" s="201"/>
      <c r="OTT131" s="202"/>
      <c r="OTU131" s="202"/>
      <c r="OTV131" s="202"/>
      <c r="OTW131" s="202"/>
      <c r="OTX131" s="203"/>
      <c r="OTY131" s="204"/>
      <c r="OTZ131" s="204"/>
      <c r="OUA131" s="204"/>
      <c r="OUB131" s="205"/>
      <c r="OUC131" s="206"/>
      <c r="OUD131" s="207"/>
      <c r="OUE131" s="207"/>
      <c r="OUF131" s="208"/>
      <c r="OUG131" s="209"/>
      <c r="OUH131" s="207"/>
      <c r="OUI131" s="210"/>
      <c r="OUJ131" s="209"/>
      <c r="OUK131" s="204"/>
      <c r="OUL131" s="204"/>
      <c r="OUM131" s="204"/>
      <c r="OUN131" s="199"/>
      <c r="OUO131" s="167"/>
      <c r="OUP131" s="199"/>
      <c r="OUQ131" s="200"/>
      <c r="OUR131" s="201"/>
      <c r="OUS131" s="202"/>
      <c r="OUT131" s="202"/>
      <c r="OUU131" s="202"/>
      <c r="OUV131" s="202"/>
      <c r="OUW131" s="203"/>
      <c r="OUX131" s="204"/>
      <c r="OUY131" s="204"/>
      <c r="OUZ131" s="204"/>
      <c r="OVA131" s="205"/>
      <c r="OVB131" s="206"/>
      <c r="OVC131" s="207"/>
      <c r="OVD131" s="207"/>
      <c r="OVE131" s="208"/>
      <c r="OVF131" s="209"/>
      <c r="OVG131" s="207"/>
      <c r="OVH131" s="210"/>
      <c r="OVI131" s="209"/>
      <c r="OVJ131" s="204"/>
      <c r="OVK131" s="204"/>
      <c r="OVL131" s="204"/>
      <c r="OVM131" s="199"/>
      <c r="OVN131" s="167"/>
      <c r="OVO131" s="199"/>
      <c r="OVP131" s="200"/>
      <c r="OVQ131" s="201"/>
      <c r="OVR131" s="202"/>
      <c r="OVS131" s="202"/>
      <c r="OVT131" s="202"/>
      <c r="OVU131" s="202"/>
      <c r="OVV131" s="203"/>
      <c r="OVW131" s="204"/>
      <c r="OVX131" s="204"/>
      <c r="OVY131" s="204"/>
      <c r="OVZ131" s="205"/>
      <c r="OWA131" s="206"/>
      <c r="OWB131" s="207"/>
      <c r="OWC131" s="207"/>
      <c r="OWD131" s="208"/>
      <c r="OWE131" s="209"/>
      <c r="OWF131" s="207"/>
      <c r="OWG131" s="210"/>
      <c r="OWH131" s="209"/>
      <c r="OWI131" s="204"/>
      <c r="OWJ131" s="204"/>
      <c r="OWK131" s="204"/>
      <c r="OWL131" s="199"/>
      <c r="OWM131" s="167"/>
      <c r="OWN131" s="199"/>
      <c r="OWO131" s="200"/>
      <c r="OWP131" s="201"/>
      <c r="OWQ131" s="202"/>
      <c r="OWR131" s="202"/>
      <c r="OWS131" s="202"/>
      <c r="OWT131" s="202"/>
      <c r="OWU131" s="203"/>
      <c r="OWV131" s="204"/>
      <c r="OWW131" s="204"/>
      <c r="OWX131" s="204"/>
      <c r="OWY131" s="205"/>
      <c r="OWZ131" s="206"/>
      <c r="OXA131" s="207"/>
      <c r="OXB131" s="207"/>
      <c r="OXC131" s="208"/>
      <c r="OXD131" s="209"/>
      <c r="OXE131" s="207"/>
      <c r="OXF131" s="210"/>
      <c r="OXG131" s="209"/>
      <c r="OXH131" s="204"/>
      <c r="OXI131" s="204"/>
      <c r="OXJ131" s="204"/>
      <c r="OXK131" s="199"/>
      <c r="OXL131" s="167"/>
      <c r="OXM131" s="199"/>
      <c r="OXN131" s="200"/>
      <c r="OXO131" s="201"/>
      <c r="OXP131" s="202"/>
      <c r="OXQ131" s="202"/>
      <c r="OXR131" s="202"/>
      <c r="OXS131" s="202"/>
      <c r="OXT131" s="203"/>
      <c r="OXU131" s="204"/>
      <c r="OXV131" s="204"/>
      <c r="OXW131" s="204"/>
      <c r="OXX131" s="205"/>
      <c r="OXY131" s="206"/>
      <c r="OXZ131" s="207"/>
      <c r="OYA131" s="207"/>
      <c r="OYB131" s="208"/>
      <c r="OYC131" s="209"/>
      <c r="OYD131" s="207"/>
      <c r="OYE131" s="210"/>
      <c r="OYF131" s="209"/>
      <c r="OYG131" s="204"/>
      <c r="OYH131" s="204"/>
      <c r="OYI131" s="204"/>
      <c r="OYJ131" s="199"/>
      <c r="OYK131" s="167"/>
      <c r="OYL131" s="199"/>
      <c r="OYM131" s="200"/>
      <c r="OYN131" s="201"/>
      <c r="OYO131" s="202"/>
      <c r="OYP131" s="202"/>
      <c r="OYQ131" s="202"/>
      <c r="OYR131" s="202"/>
      <c r="OYS131" s="203"/>
      <c r="OYT131" s="204"/>
      <c r="OYU131" s="204"/>
      <c r="OYV131" s="204"/>
      <c r="OYW131" s="205"/>
      <c r="OYX131" s="206"/>
      <c r="OYY131" s="207"/>
      <c r="OYZ131" s="207"/>
      <c r="OZA131" s="208"/>
      <c r="OZB131" s="209"/>
      <c r="OZC131" s="207"/>
      <c r="OZD131" s="210"/>
      <c r="OZE131" s="209"/>
      <c r="OZF131" s="204"/>
      <c r="OZG131" s="204"/>
      <c r="OZH131" s="204"/>
      <c r="OZI131" s="199"/>
      <c r="OZJ131" s="167"/>
      <c r="OZK131" s="199"/>
      <c r="OZL131" s="200"/>
      <c r="OZM131" s="201"/>
      <c r="OZN131" s="202"/>
      <c r="OZO131" s="202"/>
      <c r="OZP131" s="202"/>
      <c r="OZQ131" s="202"/>
      <c r="OZR131" s="203"/>
      <c r="OZS131" s="204"/>
      <c r="OZT131" s="204"/>
      <c r="OZU131" s="204"/>
      <c r="OZV131" s="205"/>
      <c r="OZW131" s="206"/>
      <c r="OZX131" s="207"/>
      <c r="OZY131" s="207"/>
      <c r="OZZ131" s="208"/>
      <c r="PAA131" s="209"/>
      <c r="PAB131" s="207"/>
      <c r="PAC131" s="210"/>
      <c r="PAD131" s="209"/>
      <c r="PAE131" s="204"/>
      <c r="PAF131" s="204"/>
      <c r="PAG131" s="204"/>
      <c r="PAH131" s="199"/>
      <c r="PAI131" s="167"/>
      <c r="PAJ131" s="199"/>
      <c r="PAK131" s="200"/>
      <c r="PAL131" s="201"/>
      <c r="PAM131" s="202"/>
      <c r="PAN131" s="202"/>
      <c r="PAO131" s="202"/>
      <c r="PAP131" s="202"/>
      <c r="PAQ131" s="203"/>
      <c r="PAR131" s="204"/>
      <c r="PAS131" s="204"/>
      <c r="PAT131" s="204"/>
      <c r="PAU131" s="205"/>
      <c r="PAV131" s="206"/>
      <c r="PAW131" s="207"/>
      <c r="PAX131" s="207"/>
      <c r="PAY131" s="208"/>
      <c r="PAZ131" s="209"/>
      <c r="PBA131" s="207"/>
      <c r="PBB131" s="210"/>
      <c r="PBC131" s="209"/>
      <c r="PBD131" s="204"/>
      <c r="PBE131" s="204"/>
      <c r="PBF131" s="204"/>
      <c r="PBG131" s="199"/>
      <c r="PBH131" s="167"/>
      <c r="PBI131" s="199"/>
      <c r="PBJ131" s="200"/>
      <c r="PBK131" s="201"/>
      <c r="PBL131" s="202"/>
      <c r="PBM131" s="202"/>
      <c r="PBN131" s="202"/>
      <c r="PBO131" s="202"/>
      <c r="PBP131" s="203"/>
      <c r="PBQ131" s="204"/>
      <c r="PBR131" s="204"/>
      <c r="PBS131" s="204"/>
      <c r="PBT131" s="205"/>
      <c r="PBU131" s="206"/>
      <c r="PBV131" s="207"/>
      <c r="PBW131" s="207"/>
      <c r="PBX131" s="208"/>
      <c r="PBY131" s="209"/>
      <c r="PBZ131" s="207"/>
      <c r="PCA131" s="210"/>
      <c r="PCB131" s="209"/>
      <c r="PCC131" s="204"/>
      <c r="PCD131" s="204"/>
      <c r="PCE131" s="204"/>
      <c r="PCF131" s="199"/>
      <c r="PCG131" s="167"/>
      <c r="PCH131" s="199"/>
      <c r="PCI131" s="200"/>
      <c r="PCJ131" s="201"/>
      <c r="PCK131" s="202"/>
      <c r="PCL131" s="202"/>
      <c r="PCM131" s="202"/>
      <c r="PCN131" s="202"/>
      <c r="PCO131" s="203"/>
      <c r="PCP131" s="204"/>
      <c r="PCQ131" s="204"/>
      <c r="PCR131" s="204"/>
      <c r="PCS131" s="205"/>
      <c r="PCT131" s="206"/>
      <c r="PCU131" s="207"/>
      <c r="PCV131" s="207"/>
      <c r="PCW131" s="208"/>
      <c r="PCX131" s="209"/>
      <c r="PCY131" s="207"/>
      <c r="PCZ131" s="210"/>
      <c r="PDA131" s="209"/>
      <c r="PDB131" s="204"/>
      <c r="PDC131" s="204"/>
      <c r="PDD131" s="204"/>
      <c r="PDE131" s="199"/>
      <c r="PDF131" s="167"/>
      <c r="PDG131" s="199"/>
      <c r="PDH131" s="200"/>
      <c r="PDI131" s="201"/>
      <c r="PDJ131" s="202"/>
      <c r="PDK131" s="202"/>
      <c r="PDL131" s="202"/>
      <c r="PDM131" s="202"/>
      <c r="PDN131" s="203"/>
      <c r="PDO131" s="204"/>
      <c r="PDP131" s="204"/>
      <c r="PDQ131" s="204"/>
      <c r="PDR131" s="205"/>
      <c r="PDS131" s="206"/>
      <c r="PDT131" s="207"/>
      <c r="PDU131" s="207"/>
      <c r="PDV131" s="208"/>
      <c r="PDW131" s="209"/>
      <c r="PDX131" s="207"/>
      <c r="PDY131" s="210"/>
      <c r="PDZ131" s="209"/>
      <c r="PEA131" s="204"/>
      <c r="PEB131" s="204"/>
      <c r="PEC131" s="204"/>
      <c r="PED131" s="199"/>
      <c r="PEE131" s="167"/>
      <c r="PEF131" s="199"/>
      <c r="PEG131" s="200"/>
      <c r="PEH131" s="201"/>
      <c r="PEI131" s="202"/>
      <c r="PEJ131" s="202"/>
      <c r="PEK131" s="202"/>
      <c r="PEL131" s="202"/>
      <c r="PEM131" s="203"/>
      <c r="PEN131" s="204"/>
      <c r="PEO131" s="204"/>
      <c r="PEP131" s="204"/>
      <c r="PEQ131" s="205"/>
      <c r="PER131" s="206"/>
      <c r="PES131" s="207"/>
      <c r="PET131" s="207"/>
      <c r="PEU131" s="208"/>
      <c r="PEV131" s="209"/>
      <c r="PEW131" s="207"/>
      <c r="PEX131" s="210"/>
      <c r="PEY131" s="209"/>
      <c r="PEZ131" s="204"/>
      <c r="PFA131" s="204"/>
      <c r="PFB131" s="204"/>
      <c r="PFC131" s="199"/>
      <c r="PFD131" s="167"/>
      <c r="PFE131" s="199"/>
      <c r="PFF131" s="200"/>
      <c r="PFG131" s="201"/>
      <c r="PFH131" s="202"/>
      <c r="PFI131" s="202"/>
      <c r="PFJ131" s="202"/>
      <c r="PFK131" s="202"/>
      <c r="PFL131" s="203"/>
      <c r="PFM131" s="204"/>
      <c r="PFN131" s="204"/>
      <c r="PFO131" s="204"/>
      <c r="PFP131" s="205"/>
      <c r="PFQ131" s="206"/>
      <c r="PFR131" s="207"/>
      <c r="PFS131" s="207"/>
      <c r="PFT131" s="208"/>
      <c r="PFU131" s="209"/>
      <c r="PFV131" s="207"/>
      <c r="PFW131" s="210"/>
      <c r="PFX131" s="209"/>
      <c r="PFY131" s="204"/>
      <c r="PFZ131" s="204"/>
      <c r="PGA131" s="204"/>
      <c r="PGB131" s="199"/>
      <c r="PGC131" s="167"/>
      <c r="PGD131" s="199"/>
      <c r="PGE131" s="200"/>
      <c r="PGF131" s="201"/>
      <c r="PGG131" s="202"/>
      <c r="PGH131" s="202"/>
      <c r="PGI131" s="202"/>
      <c r="PGJ131" s="202"/>
      <c r="PGK131" s="203"/>
      <c r="PGL131" s="204"/>
      <c r="PGM131" s="204"/>
      <c r="PGN131" s="204"/>
      <c r="PGO131" s="205"/>
      <c r="PGP131" s="206"/>
      <c r="PGQ131" s="207"/>
      <c r="PGR131" s="207"/>
      <c r="PGS131" s="208"/>
      <c r="PGT131" s="209"/>
      <c r="PGU131" s="207"/>
      <c r="PGV131" s="210"/>
      <c r="PGW131" s="209"/>
      <c r="PGX131" s="204"/>
      <c r="PGY131" s="204"/>
      <c r="PGZ131" s="204"/>
      <c r="PHA131" s="199"/>
      <c r="PHB131" s="167"/>
      <c r="PHC131" s="199"/>
      <c r="PHD131" s="200"/>
      <c r="PHE131" s="201"/>
      <c r="PHF131" s="202"/>
      <c r="PHG131" s="202"/>
      <c r="PHH131" s="202"/>
      <c r="PHI131" s="202"/>
      <c r="PHJ131" s="203"/>
      <c r="PHK131" s="204"/>
      <c r="PHL131" s="204"/>
      <c r="PHM131" s="204"/>
      <c r="PHN131" s="205"/>
      <c r="PHO131" s="206"/>
      <c r="PHP131" s="207"/>
      <c r="PHQ131" s="207"/>
      <c r="PHR131" s="208"/>
      <c r="PHS131" s="209"/>
      <c r="PHT131" s="207"/>
      <c r="PHU131" s="210"/>
      <c r="PHV131" s="209"/>
      <c r="PHW131" s="204"/>
      <c r="PHX131" s="204"/>
      <c r="PHY131" s="204"/>
      <c r="PHZ131" s="199"/>
      <c r="PIA131" s="167"/>
      <c r="PIB131" s="199"/>
      <c r="PIC131" s="200"/>
      <c r="PID131" s="201"/>
      <c r="PIE131" s="202"/>
      <c r="PIF131" s="202"/>
      <c r="PIG131" s="202"/>
      <c r="PIH131" s="202"/>
      <c r="PII131" s="203"/>
      <c r="PIJ131" s="204"/>
      <c r="PIK131" s="204"/>
      <c r="PIL131" s="204"/>
      <c r="PIM131" s="205"/>
      <c r="PIN131" s="206"/>
      <c r="PIO131" s="207"/>
      <c r="PIP131" s="207"/>
      <c r="PIQ131" s="208"/>
      <c r="PIR131" s="209"/>
      <c r="PIS131" s="207"/>
      <c r="PIT131" s="210"/>
      <c r="PIU131" s="209"/>
      <c r="PIV131" s="204"/>
      <c r="PIW131" s="204"/>
      <c r="PIX131" s="204"/>
      <c r="PIY131" s="199"/>
      <c r="PIZ131" s="167"/>
      <c r="PJA131" s="199"/>
      <c r="PJB131" s="200"/>
      <c r="PJC131" s="201"/>
      <c r="PJD131" s="202"/>
      <c r="PJE131" s="202"/>
      <c r="PJF131" s="202"/>
      <c r="PJG131" s="202"/>
      <c r="PJH131" s="203"/>
      <c r="PJI131" s="204"/>
      <c r="PJJ131" s="204"/>
      <c r="PJK131" s="204"/>
      <c r="PJL131" s="205"/>
      <c r="PJM131" s="206"/>
      <c r="PJN131" s="207"/>
      <c r="PJO131" s="207"/>
      <c r="PJP131" s="208"/>
      <c r="PJQ131" s="209"/>
      <c r="PJR131" s="207"/>
      <c r="PJS131" s="210"/>
      <c r="PJT131" s="209"/>
      <c r="PJU131" s="204"/>
      <c r="PJV131" s="204"/>
      <c r="PJW131" s="204"/>
      <c r="PJX131" s="199"/>
      <c r="PJY131" s="167"/>
      <c r="PJZ131" s="199"/>
      <c r="PKA131" s="200"/>
      <c r="PKB131" s="201"/>
      <c r="PKC131" s="202"/>
      <c r="PKD131" s="202"/>
      <c r="PKE131" s="202"/>
      <c r="PKF131" s="202"/>
      <c r="PKG131" s="203"/>
      <c r="PKH131" s="204"/>
      <c r="PKI131" s="204"/>
      <c r="PKJ131" s="204"/>
      <c r="PKK131" s="205"/>
      <c r="PKL131" s="206"/>
      <c r="PKM131" s="207"/>
      <c r="PKN131" s="207"/>
      <c r="PKO131" s="208"/>
      <c r="PKP131" s="209"/>
      <c r="PKQ131" s="207"/>
      <c r="PKR131" s="210"/>
      <c r="PKS131" s="209"/>
      <c r="PKT131" s="204"/>
      <c r="PKU131" s="204"/>
      <c r="PKV131" s="204"/>
      <c r="PKW131" s="199"/>
      <c r="PKX131" s="167"/>
      <c r="PKY131" s="199"/>
      <c r="PKZ131" s="200"/>
      <c r="PLA131" s="201"/>
      <c r="PLB131" s="202"/>
      <c r="PLC131" s="202"/>
      <c r="PLD131" s="202"/>
      <c r="PLE131" s="202"/>
      <c r="PLF131" s="203"/>
      <c r="PLG131" s="204"/>
      <c r="PLH131" s="204"/>
      <c r="PLI131" s="204"/>
      <c r="PLJ131" s="205"/>
      <c r="PLK131" s="206"/>
      <c r="PLL131" s="207"/>
      <c r="PLM131" s="207"/>
      <c r="PLN131" s="208"/>
      <c r="PLO131" s="209"/>
      <c r="PLP131" s="207"/>
      <c r="PLQ131" s="210"/>
      <c r="PLR131" s="209"/>
      <c r="PLS131" s="204"/>
      <c r="PLT131" s="204"/>
      <c r="PLU131" s="204"/>
      <c r="PLV131" s="199"/>
      <c r="PLW131" s="167"/>
      <c r="PLX131" s="199"/>
      <c r="PLY131" s="200"/>
      <c r="PLZ131" s="201"/>
      <c r="PMA131" s="202"/>
      <c r="PMB131" s="202"/>
      <c r="PMC131" s="202"/>
      <c r="PMD131" s="202"/>
      <c r="PME131" s="203"/>
      <c r="PMF131" s="204"/>
      <c r="PMG131" s="204"/>
      <c r="PMH131" s="204"/>
      <c r="PMI131" s="205"/>
      <c r="PMJ131" s="206"/>
      <c r="PMK131" s="207"/>
      <c r="PML131" s="207"/>
      <c r="PMM131" s="208"/>
      <c r="PMN131" s="209"/>
      <c r="PMO131" s="207"/>
      <c r="PMP131" s="210"/>
      <c r="PMQ131" s="209"/>
      <c r="PMR131" s="204"/>
      <c r="PMS131" s="204"/>
      <c r="PMT131" s="204"/>
      <c r="PMU131" s="199"/>
      <c r="PMV131" s="167"/>
      <c r="PMW131" s="199"/>
      <c r="PMX131" s="200"/>
      <c r="PMY131" s="201"/>
      <c r="PMZ131" s="202"/>
      <c r="PNA131" s="202"/>
      <c r="PNB131" s="202"/>
      <c r="PNC131" s="202"/>
      <c r="PND131" s="203"/>
      <c r="PNE131" s="204"/>
      <c r="PNF131" s="204"/>
      <c r="PNG131" s="204"/>
      <c r="PNH131" s="205"/>
      <c r="PNI131" s="206"/>
      <c r="PNJ131" s="207"/>
      <c r="PNK131" s="207"/>
      <c r="PNL131" s="208"/>
      <c r="PNM131" s="209"/>
      <c r="PNN131" s="207"/>
      <c r="PNO131" s="210"/>
      <c r="PNP131" s="209"/>
      <c r="PNQ131" s="204"/>
      <c r="PNR131" s="204"/>
      <c r="PNS131" s="204"/>
      <c r="PNT131" s="199"/>
      <c r="PNU131" s="167"/>
      <c r="PNV131" s="199"/>
      <c r="PNW131" s="200"/>
      <c r="PNX131" s="201"/>
      <c r="PNY131" s="202"/>
      <c r="PNZ131" s="202"/>
      <c r="POA131" s="202"/>
      <c r="POB131" s="202"/>
      <c r="POC131" s="203"/>
      <c r="POD131" s="204"/>
      <c r="POE131" s="204"/>
      <c r="POF131" s="204"/>
      <c r="POG131" s="205"/>
      <c r="POH131" s="206"/>
      <c r="POI131" s="207"/>
      <c r="POJ131" s="207"/>
      <c r="POK131" s="208"/>
      <c r="POL131" s="209"/>
      <c r="POM131" s="207"/>
      <c r="PON131" s="210"/>
      <c r="POO131" s="209"/>
      <c r="POP131" s="204"/>
      <c r="POQ131" s="204"/>
      <c r="POR131" s="204"/>
      <c r="POS131" s="199"/>
      <c r="POT131" s="167"/>
      <c r="POU131" s="199"/>
      <c r="POV131" s="200"/>
      <c r="POW131" s="201"/>
      <c r="POX131" s="202"/>
      <c r="POY131" s="202"/>
      <c r="POZ131" s="202"/>
      <c r="PPA131" s="202"/>
      <c r="PPB131" s="203"/>
      <c r="PPC131" s="204"/>
      <c r="PPD131" s="204"/>
      <c r="PPE131" s="204"/>
      <c r="PPF131" s="205"/>
      <c r="PPG131" s="206"/>
      <c r="PPH131" s="207"/>
      <c r="PPI131" s="207"/>
      <c r="PPJ131" s="208"/>
      <c r="PPK131" s="209"/>
      <c r="PPL131" s="207"/>
      <c r="PPM131" s="210"/>
      <c r="PPN131" s="209"/>
      <c r="PPO131" s="204"/>
      <c r="PPP131" s="204"/>
      <c r="PPQ131" s="204"/>
      <c r="PPR131" s="199"/>
      <c r="PPS131" s="167"/>
      <c r="PPT131" s="199"/>
      <c r="PPU131" s="200"/>
      <c r="PPV131" s="201"/>
      <c r="PPW131" s="202"/>
      <c r="PPX131" s="202"/>
      <c r="PPY131" s="202"/>
      <c r="PPZ131" s="202"/>
      <c r="PQA131" s="203"/>
      <c r="PQB131" s="204"/>
      <c r="PQC131" s="204"/>
      <c r="PQD131" s="204"/>
      <c r="PQE131" s="205"/>
      <c r="PQF131" s="206"/>
      <c r="PQG131" s="207"/>
      <c r="PQH131" s="207"/>
      <c r="PQI131" s="208"/>
      <c r="PQJ131" s="209"/>
      <c r="PQK131" s="207"/>
      <c r="PQL131" s="210"/>
      <c r="PQM131" s="209"/>
      <c r="PQN131" s="204"/>
      <c r="PQO131" s="204"/>
      <c r="PQP131" s="204"/>
      <c r="PQQ131" s="199"/>
      <c r="PQR131" s="167"/>
      <c r="PQS131" s="199"/>
      <c r="PQT131" s="200"/>
      <c r="PQU131" s="201"/>
      <c r="PQV131" s="202"/>
      <c r="PQW131" s="202"/>
      <c r="PQX131" s="202"/>
      <c r="PQY131" s="202"/>
      <c r="PQZ131" s="203"/>
      <c r="PRA131" s="204"/>
      <c r="PRB131" s="204"/>
      <c r="PRC131" s="204"/>
      <c r="PRD131" s="205"/>
      <c r="PRE131" s="206"/>
      <c r="PRF131" s="207"/>
      <c r="PRG131" s="207"/>
      <c r="PRH131" s="208"/>
      <c r="PRI131" s="209"/>
      <c r="PRJ131" s="207"/>
      <c r="PRK131" s="210"/>
      <c r="PRL131" s="209"/>
      <c r="PRM131" s="204"/>
      <c r="PRN131" s="204"/>
      <c r="PRO131" s="204"/>
      <c r="PRP131" s="199"/>
      <c r="PRQ131" s="167"/>
      <c r="PRR131" s="199"/>
      <c r="PRS131" s="200"/>
      <c r="PRT131" s="201"/>
      <c r="PRU131" s="202"/>
      <c r="PRV131" s="202"/>
      <c r="PRW131" s="202"/>
      <c r="PRX131" s="202"/>
      <c r="PRY131" s="203"/>
      <c r="PRZ131" s="204"/>
      <c r="PSA131" s="204"/>
      <c r="PSB131" s="204"/>
      <c r="PSC131" s="205"/>
      <c r="PSD131" s="206"/>
      <c r="PSE131" s="207"/>
      <c r="PSF131" s="207"/>
      <c r="PSG131" s="208"/>
      <c r="PSH131" s="209"/>
      <c r="PSI131" s="207"/>
      <c r="PSJ131" s="210"/>
      <c r="PSK131" s="209"/>
      <c r="PSL131" s="204"/>
      <c r="PSM131" s="204"/>
      <c r="PSN131" s="204"/>
      <c r="PSO131" s="199"/>
      <c r="PSP131" s="167"/>
      <c r="PSQ131" s="199"/>
      <c r="PSR131" s="200"/>
      <c r="PSS131" s="201"/>
      <c r="PST131" s="202"/>
      <c r="PSU131" s="202"/>
      <c r="PSV131" s="202"/>
      <c r="PSW131" s="202"/>
      <c r="PSX131" s="203"/>
      <c r="PSY131" s="204"/>
      <c r="PSZ131" s="204"/>
      <c r="PTA131" s="204"/>
      <c r="PTB131" s="205"/>
      <c r="PTC131" s="206"/>
      <c r="PTD131" s="207"/>
      <c r="PTE131" s="207"/>
      <c r="PTF131" s="208"/>
      <c r="PTG131" s="209"/>
      <c r="PTH131" s="207"/>
      <c r="PTI131" s="210"/>
      <c r="PTJ131" s="209"/>
      <c r="PTK131" s="204"/>
      <c r="PTL131" s="204"/>
      <c r="PTM131" s="204"/>
      <c r="PTN131" s="199"/>
      <c r="PTO131" s="167"/>
      <c r="PTP131" s="199"/>
      <c r="PTQ131" s="200"/>
      <c r="PTR131" s="201"/>
      <c r="PTS131" s="202"/>
      <c r="PTT131" s="202"/>
      <c r="PTU131" s="202"/>
      <c r="PTV131" s="202"/>
      <c r="PTW131" s="203"/>
      <c r="PTX131" s="204"/>
      <c r="PTY131" s="204"/>
      <c r="PTZ131" s="204"/>
      <c r="PUA131" s="205"/>
      <c r="PUB131" s="206"/>
      <c r="PUC131" s="207"/>
      <c r="PUD131" s="207"/>
      <c r="PUE131" s="208"/>
      <c r="PUF131" s="209"/>
      <c r="PUG131" s="207"/>
      <c r="PUH131" s="210"/>
      <c r="PUI131" s="209"/>
      <c r="PUJ131" s="204"/>
      <c r="PUK131" s="204"/>
      <c r="PUL131" s="204"/>
      <c r="PUM131" s="199"/>
      <c r="PUN131" s="167"/>
      <c r="PUO131" s="199"/>
      <c r="PUP131" s="200"/>
      <c r="PUQ131" s="201"/>
      <c r="PUR131" s="202"/>
      <c r="PUS131" s="202"/>
      <c r="PUT131" s="202"/>
      <c r="PUU131" s="202"/>
      <c r="PUV131" s="203"/>
      <c r="PUW131" s="204"/>
      <c r="PUX131" s="204"/>
      <c r="PUY131" s="204"/>
      <c r="PUZ131" s="205"/>
      <c r="PVA131" s="206"/>
      <c r="PVB131" s="207"/>
      <c r="PVC131" s="207"/>
      <c r="PVD131" s="208"/>
      <c r="PVE131" s="209"/>
      <c r="PVF131" s="207"/>
      <c r="PVG131" s="210"/>
      <c r="PVH131" s="209"/>
      <c r="PVI131" s="204"/>
      <c r="PVJ131" s="204"/>
      <c r="PVK131" s="204"/>
      <c r="PVL131" s="199"/>
      <c r="PVM131" s="167"/>
      <c r="PVN131" s="199"/>
      <c r="PVO131" s="200"/>
      <c r="PVP131" s="201"/>
      <c r="PVQ131" s="202"/>
      <c r="PVR131" s="202"/>
      <c r="PVS131" s="202"/>
      <c r="PVT131" s="202"/>
      <c r="PVU131" s="203"/>
      <c r="PVV131" s="204"/>
      <c r="PVW131" s="204"/>
      <c r="PVX131" s="204"/>
      <c r="PVY131" s="205"/>
      <c r="PVZ131" s="206"/>
      <c r="PWA131" s="207"/>
      <c r="PWB131" s="207"/>
      <c r="PWC131" s="208"/>
      <c r="PWD131" s="209"/>
      <c r="PWE131" s="207"/>
      <c r="PWF131" s="210"/>
      <c r="PWG131" s="209"/>
      <c r="PWH131" s="204"/>
      <c r="PWI131" s="204"/>
      <c r="PWJ131" s="204"/>
      <c r="PWK131" s="199"/>
      <c r="PWL131" s="167"/>
      <c r="PWM131" s="199"/>
      <c r="PWN131" s="200"/>
      <c r="PWO131" s="201"/>
      <c r="PWP131" s="202"/>
      <c r="PWQ131" s="202"/>
      <c r="PWR131" s="202"/>
      <c r="PWS131" s="202"/>
      <c r="PWT131" s="203"/>
      <c r="PWU131" s="204"/>
      <c r="PWV131" s="204"/>
      <c r="PWW131" s="204"/>
      <c r="PWX131" s="205"/>
      <c r="PWY131" s="206"/>
      <c r="PWZ131" s="207"/>
      <c r="PXA131" s="207"/>
      <c r="PXB131" s="208"/>
      <c r="PXC131" s="209"/>
      <c r="PXD131" s="207"/>
      <c r="PXE131" s="210"/>
      <c r="PXF131" s="209"/>
      <c r="PXG131" s="204"/>
      <c r="PXH131" s="204"/>
      <c r="PXI131" s="204"/>
      <c r="PXJ131" s="199"/>
      <c r="PXK131" s="167"/>
      <c r="PXL131" s="199"/>
      <c r="PXM131" s="200"/>
      <c r="PXN131" s="201"/>
      <c r="PXO131" s="202"/>
      <c r="PXP131" s="202"/>
      <c r="PXQ131" s="202"/>
      <c r="PXR131" s="202"/>
      <c r="PXS131" s="203"/>
      <c r="PXT131" s="204"/>
      <c r="PXU131" s="204"/>
      <c r="PXV131" s="204"/>
      <c r="PXW131" s="205"/>
      <c r="PXX131" s="206"/>
      <c r="PXY131" s="207"/>
      <c r="PXZ131" s="207"/>
      <c r="PYA131" s="208"/>
      <c r="PYB131" s="209"/>
      <c r="PYC131" s="207"/>
      <c r="PYD131" s="210"/>
      <c r="PYE131" s="209"/>
      <c r="PYF131" s="204"/>
      <c r="PYG131" s="204"/>
      <c r="PYH131" s="204"/>
      <c r="PYI131" s="199"/>
      <c r="PYJ131" s="167"/>
      <c r="PYK131" s="199"/>
      <c r="PYL131" s="200"/>
      <c r="PYM131" s="201"/>
      <c r="PYN131" s="202"/>
      <c r="PYO131" s="202"/>
      <c r="PYP131" s="202"/>
      <c r="PYQ131" s="202"/>
      <c r="PYR131" s="203"/>
      <c r="PYS131" s="204"/>
      <c r="PYT131" s="204"/>
      <c r="PYU131" s="204"/>
      <c r="PYV131" s="205"/>
      <c r="PYW131" s="206"/>
      <c r="PYX131" s="207"/>
      <c r="PYY131" s="207"/>
      <c r="PYZ131" s="208"/>
      <c r="PZA131" s="209"/>
      <c r="PZB131" s="207"/>
      <c r="PZC131" s="210"/>
      <c r="PZD131" s="209"/>
      <c r="PZE131" s="204"/>
      <c r="PZF131" s="204"/>
      <c r="PZG131" s="204"/>
      <c r="PZH131" s="199"/>
      <c r="PZI131" s="167"/>
      <c r="PZJ131" s="199"/>
      <c r="PZK131" s="200"/>
      <c r="PZL131" s="201"/>
      <c r="PZM131" s="202"/>
      <c r="PZN131" s="202"/>
      <c r="PZO131" s="202"/>
      <c r="PZP131" s="202"/>
      <c r="PZQ131" s="203"/>
      <c r="PZR131" s="204"/>
      <c r="PZS131" s="204"/>
      <c r="PZT131" s="204"/>
      <c r="PZU131" s="205"/>
      <c r="PZV131" s="206"/>
      <c r="PZW131" s="207"/>
      <c r="PZX131" s="207"/>
      <c r="PZY131" s="208"/>
      <c r="PZZ131" s="209"/>
      <c r="QAA131" s="207"/>
      <c r="QAB131" s="210"/>
      <c r="QAC131" s="209"/>
      <c r="QAD131" s="204"/>
      <c r="QAE131" s="204"/>
      <c r="QAF131" s="204"/>
      <c r="QAG131" s="199"/>
      <c r="QAH131" s="167"/>
      <c r="QAI131" s="199"/>
      <c r="QAJ131" s="200"/>
      <c r="QAK131" s="201"/>
      <c r="QAL131" s="202"/>
      <c r="QAM131" s="202"/>
      <c r="QAN131" s="202"/>
      <c r="QAO131" s="202"/>
      <c r="QAP131" s="203"/>
      <c r="QAQ131" s="204"/>
      <c r="QAR131" s="204"/>
      <c r="QAS131" s="204"/>
      <c r="QAT131" s="205"/>
      <c r="QAU131" s="206"/>
      <c r="QAV131" s="207"/>
      <c r="QAW131" s="207"/>
      <c r="QAX131" s="208"/>
      <c r="QAY131" s="209"/>
      <c r="QAZ131" s="207"/>
      <c r="QBA131" s="210"/>
      <c r="QBB131" s="209"/>
      <c r="QBC131" s="204"/>
      <c r="QBD131" s="204"/>
      <c r="QBE131" s="204"/>
      <c r="QBF131" s="199"/>
      <c r="QBG131" s="167"/>
      <c r="QBH131" s="199"/>
      <c r="QBI131" s="200"/>
      <c r="QBJ131" s="201"/>
      <c r="QBK131" s="202"/>
      <c r="QBL131" s="202"/>
      <c r="QBM131" s="202"/>
      <c r="QBN131" s="202"/>
      <c r="QBO131" s="203"/>
      <c r="QBP131" s="204"/>
      <c r="QBQ131" s="204"/>
      <c r="QBR131" s="204"/>
      <c r="QBS131" s="205"/>
      <c r="QBT131" s="206"/>
      <c r="QBU131" s="207"/>
      <c r="QBV131" s="207"/>
      <c r="QBW131" s="208"/>
      <c r="QBX131" s="209"/>
      <c r="QBY131" s="207"/>
      <c r="QBZ131" s="210"/>
      <c r="QCA131" s="209"/>
      <c r="QCB131" s="204"/>
      <c r="QCC131" s="204"/>
      <c r="QCD131" s="204"/>
      <c r="QCE131" s="199"/>
      <c r="QCF131" s="167"/>
      <c r="QCG131" s="199"/>
      <c r="QCH131" s="200"/>
      <c r="QCI131" s="201"/>
      <c r="QCJ131" s="202"/>
      <c r="QCK131" s="202"/>
      <c r="QCL131" s="202"/>
      <c r="QCM131" s="202"/>
      <c r="QCN131" s="203"/>
      <c r="QCO131" s="204"/>
      <c r="QCP131" s="204"/>
      <c r="QCQ131" s="204"/>
      <c r="QCR131" s="205"/>
      <c r="QCS131" s="206"/>
      <c r="QCT131" s="207"/>
      <c r="QCU131" s="207"/>
      <c r="QCV131" s="208"/>
      <c r="QCW131" s="209"/>
      <c r="QCX131" s="207"/>
      <c r="QCY131" s="210"/>
      <c r="QCZ131" s="209"/>
      <c r="QDA131" s="204"/>
      <c r="QDB131" s="204"/>
      <c r="QDC131" s="204"/>
      <c r="QDD131" s="199"/>
      <c r="QDE131" s="167"/>
      <c r="QDF131" s="199"/>
      <c r="QDG131" s="200"/>
      <c r="QDH131" s="201"/>
      <c r="QDI131" s="202"/>
      <c r="QDJ131" s="202"/>
      <c r="QDK131" s="202"/>
      <c r="QDL131" s="202"/>
      <c r="QDM131" s="203"/>
      <c r="QDN131" s="204"/>
      <c r="QDO131" s="204"/>
      <c r="QDP131" s="204"/>
      <c r="QDQ131" s="205"/>
      <c r="QDR131" s="206"/>
      <c r="QDS131" s="207"/>
      <c r="QDT131" s="207"/>
      <c r="QDU131" s="208"/>
      <c r="QDV131" s="209"/>
      <c r="QDW131" s="207"/>
      <c r="QDX131" s="210"/>
      <c r="QDY131" s="209"/>
      <c r="QDZ131" s="204"/>
      <c r="QEA131" s="204"/>
      <c r="QEB131" s="204"/>
      <c r="QEC131" s="199"/>
      <c r="QED131" s="167"/>
      <c r="QEE131" s="199"/>
      <c r="QEF131" s="200"/>
      <c r="QEG131" s="201"/>
      <c r="QEH131" s="202"/>
      <c r="QEI131" s="202"/>
      <c r="QEJ131" s="202"/>
      <c r="QEK131" s="202"/>
      <c r="QEL131" s="203"/>
      <c r="QEM131" s="204"/>
      <c r="QEN131" s="204"/>
      <c r="QEO131" s="204"/>
      <c r="QEP131" s="205"/>
      <c r="QEQ131" s="206"/>
      <c r="QER131" s="207"/>
      <c r="QES131" s="207"/>
      <c r="QET131" s="208"/>
      <c r="QEU131" s="209"/>
      <c r="QEV131" s="207"/>
      <c r="QEW131" s="210"/>
      <c r="QEX131" s="209"/>
      <c r="QEY131" s="204"/>
      <c r="QEZ131" s="204"/>
      <c r="QFA131" s="204"/>
      <c r="QFB131" s="199"/>
      <c r="QFC131" s="167"/>
      <c r="QFD131" s="199"/>
      <c r="QFE131" s="200"/>
      <c r="QFF131" s="201"/>
      <c r="QFG131" s="202"/>
      <c r="QFH131" s="202"/>
      <c r="QFI131" s="202"/>
      <c r="QFJ131" s="202"/>
      <c r="QFK131" s="203"/>
      <c r="QFL131" s="204"/>
      <c r="QFM131" s="204"/>
      <c r="QFN131" s="204"/>
      <c r="QFO131" s="205"/>
      <c r="QFP131" s="206"/>
      <c r="QFQ131" s="207"/>
      <c r="QFR131" s="207"/>
      <c r="QFS131" s="208"/>
      <c r="QFT131" s="209"/>
      <c r="QFU131" s="207"/>
      <c r="QFV131" s="210"/>
      <c r="QFW131" s="209"/>
      <c r="QFX131" s="204"/>
      <c r="QFY131" s="204"/>
      <c r="QFZ131" s="204"/>
      <c r="QGA131" s="199"/>
      <c r="QGB131" s="167"/>
      <c r="QGC131" s="199"/>
      <c r="QGD131" s="200"/>
      <c r="QGE131" s="201"/>
      <c r="QGF131" s="202"/>
      <c r="QGG131" s="202"/>
      <c r="QGH131" s="202"/>
      <c r="QGI131" s="202"/>
      <c r="QGJ131" s="203"/>
      <c r="QGK131" s="204"/>
      <c r="QGL131" s="204"/>
      <c r="QGM131" s="204"/>
      <c r="QGN131" s="205"/>
      <c r="QGO131" s="206"/>
      <c r="QGP131" s="207"/>
      <c r="QGQ131" s="207"/>
      <c r="QGR131" s="208"/>
      <c r="QGS131" s="209"/>
      <c r="QGT131" s="207"/>
      <c r="QGU131" s="210"/>
      <c r="QGV131" s="209"/>
      <c r="QGW131" s="204"/>
      <c r="QGX131" s="204"/>
      <c r="QGY131" s="204"/>
      <c r="QGZ131" s="199"/>
      <c r="QHA131" s="167"/>
      <c r="QHB131" s="199"/>
      <c r="QHC131" s="200"/>
      <c r="QHD131" s="201"/>
      <c r="QHE131" s="202"/>
      <c r="QHF131" s="202"/>
      <c r="QHG131" s="202"/>
      <c r="QHH131" s="202"/>
      <c r="QHI131" s="203"/>
      <c r="QHJ131" s="204"/>
      <c r="QHK131" s="204"/>
      <c r="QHL131" s="204"/>
      <c r="QHM131" s="205"/>
      <c r="QHN131" s="206"/>
      <c r="QHO131" s="207"/>
      <c r="QHP131" s="207"/>
      <c r="QHQ131" s="208"/>
      <c r="QHR131" s="209"/>
      <c r="QHS131" s="207"/>
      <c r="QHT131" s="210"/>
      <c r="QHU131" s="209"/>
      <c r="QHV131" s="204"/>
      <c r="QHW131" s="204"/>
      <c r="QHX131" s="204"/>
      <c r="QHY131" s="199"/>
      <c r="QHZ131" s="167"/>
      <c r="QIA131" s="199"/>
      <c r="QIB131" s="200"/>
      <c r="QIC131" s="201"/>
      <c r="QID131" s="202"/>
      <c r="QIE131" s="202"/>
      <c r="QIF131" s="202"/>
      <c r="QIG131" s="202"/>
      <c r="QIH131" s="203"/>
      <c r="QII131" s="204"/>
      <c r="QIJ131" s="204"/>
      <c r="QIK131" s="204"/>
      <c r="QIL131" s="205"/>
      <c r="QIM131" s="206"/>
      <c r="QIN131" s="207"/>
      <c r="QIO131" s="207"/>
      <c r="QIP131" s="208"/>
      <c r="QIQ131" s="209"/>
      <c r="QIR131" s="207"/>
      <c r="QIS131" s="210"/>
      <c r="QIT131" s="209"/>
      <c r="QIU131" s="204"/>
      <c r="QIV131" s="204"/>
      <c r="QIW131" s="204"/>
      <c r="QIX131" s="199"/>
      <c r="QIY131" s="167"/>
      <c r="QIZ131" s="199"/>
      <c r="QJA131" s="200"/>
      <c r="QJB131" s="201"/>
      <c r="QJC131" s="202"/>
      <c r="QJD131" s="202"/>
      <c r="QJE131" s="202"/>
      <c r="QJF131" s="202"/>
      <c r="QJG131" s="203"/>
      <c r="QJH131" s="204"/>
      <c r="QJI131" s="204"/>
      <c r="QJJ131" s="204"/>
      <c r="QJK131" s="205"/>
      <c r="QJL131" s="206"/>
      <c r="QJM131" s="207"/>
      <c r="QJN131" s="207"/>
      <c r="QJO131" s="208"/>
      <c r="QJP131" s="209"/>
      <c r="QJQ131" s="207"/>
      <c r="QJR131" s="210"/>
      <c r="QJS131" s="209"/>
      <c r="QJT131" s="204"/>
      <c r="QJU131" s="204"/>
      <c r="QJV131" s="204"/>
      <c r="QJW131" s="199"/>
      <c r="QJX131" s="167"/>
      <c r="QJY131" s="199"/>
      <c r="QJZ131" s="200"/>
      <c r="QKA131" s="201"/>
      <c r="QKB131" s="202"/>
      <c r="QKC131" s="202"/>
      <c r="QKD131" s="202"/>
      <c r="QKE131" s="202"/>
      <c r="QKF131" s="203"/>
      <c r="QKG131" s="204"/>
      <c r="QKH131" s="204"/>
      <c r="QKI131" s="204"/>
      <c r="QKJ131" s="205"/>
      <c r="QKK131" s="206"/>
      <c r="QKL131" s="207"/>
      <c r="QKM131" s="207"/>
      <c r="QKN131" s="208"/>
      <c r="QKO131" s="209"/>
      <c r="QKP131" s="207"/>
      <c r="QKQ131" s="210"/>
      <c r="QKR131" s="209"/>
      <c r="QKS131" s="204"/>
      <c r="QKT131" s="204"/>
      <c r="QKU131" s="204"/>
      <c r="QKV131" s="199"/>
      <c r="QKW131" s="167"/>
      <c r="QKX131" s="199"/>
      <c r="QKY131" s="200"/>
      <c r="QKZ131" s="201"/>
      <c r="QLA131" s="202"/>
      <c r="QLB131" s="202"/>
      <c r="QLC131" s="202"/>
      <c r="QLD131" s="202"/>
      <c r="QLE131" s="203"/>
      <c r="QLF131" s="204"/>
      <c r="QLG131" s="204"/>
      <c r="QLH131" s="204"/>
      <c r="QLI131" s="205"/>
      <c r="QLJ131" s="206"/>
      <c r="QLK131" s="207"/>
      <c r="QLL131" s="207"/>
      <c r="QLM131" s="208"/>
      <c r="QLN131" s="209"/>
      <c r="QLO131" s="207"/>
      <c r="QLP131" s="210"/>
      <c r="QLQ131" s="209"/>
      <c r="QLR131" s="204"/>
      <c r="QLS131" s="204"/>
      <c r="QLT131" s="204"/>
      <c r="QLU131" s="199"/>
      <c r="QLV131" s="167"/>
      <c r="QLW131" s="199"/>
      <c r="QLX131" s="200"/>
      <c r="QLY131" s="201"/>
      <c r="QLZ131" s="202"/>
      <c r="QMA131" s="202"/>
      <c r="QMB131" s="202"/>
      <c r="QMC131" s="202"/>
      <c r="QMD131" s="203"/>
      <c r="QME131" s="204"/>
      <c r="QMF131" s="204"/>
      <c r="QMG131" s="204"/>
      <c r="QMH131" s="205"/>
      <c r="QMI131" s="206"/>
      <c r="QMJ131" s="207"/>
      <c r="QMK131" s="207"/>
      <c r="QML131" s="208"/>
      <c r="QMM131" s="209"/>
      <c r="QMN131" s="207"/>
      <c r="QMO131" s="210"/>
      <c r="QMP131" s="209"/>
      <c r="QMQ131" s="204"/>
      <c r="QMR131" s="204"/>
      <c r="QMS131" s="204"/>
      <c r="QMT131" s="199"/>
      <c r="QMU131" s="167"/>
      <c r="QMV131" s="199"/>
      <c r="QMW131" s="200"/>
      <c r="QMX131" s="201"/>
      <c r="QMY131" s="202"/>
      <c r="QMZ131" s="202"/>
      <c r="QNA131" s="202"/>
      <c r="QNB131" s="202"/>
      <c r="QNC131" s="203"/>
      <c r="QND131" s="204"/>
      <c r="QNE131" s="204"/>
      <c r="QNF131" s="204"/>
      <c r="QNG131" s="205"/>
      <c r="QNH131" s="206"/>
      <c r="QNI131" s="207"/>
      <c r="QNJ131" s="207"/>
      <c r="QNK131" s="208"/>
      <c r="QNL131" s="209"/>
      <c r="QNM131" s="207"/>
      <c r="QNN131" s="210"/>
      <c r="QNO131" s="209"/>
      <c r="QNP131" s="204"/>
      <c r="QNQ131" s="204"/>
      <c r="QNR131" s="204"/>
      <c r="QNS131" s="199"/>
      <c r="QNT131" s="167"/>
      <c r="QNU131" s="199"/>
      <c r="QNV131" s="200"/>
      <c r="QNW131" s="201"/>
      <c r="QNX131" s="202"/>
      <c r="QNY131" s="202"/>
      <c r="QNZ131" s="202"/>
      <c r="QOA131" s="202"/>
      <c r="QOB131" s="203"/>
      <c r="QOC131" s="204"/>
      <c r="QOD131" s="204"/>
      <c r="QOE131" s="204"/>
      <c r="QOF131" s="205"/>
      <c r="QOG131" s="206"/>
      <c r="QOH131" s="207"/>
      <c r="QOI131" s="207"/>
      <c r="QOJ131" s="208"/>
      <c r="QOK131" s="209"/>
      <c r="QOL131" s="207"/>
      <c r="QOM131" s="210"/>
      <c r="QON131" s="209"/>
      <c r="QOO131" s="204"/>
      <c r="QOP131" s="204"/>
      <c r="QOQ131" s="204"/>
      <c r="QOR131" s="199"/>
      <c r="QOS131" s="167"/>
      <c r="QOT131" s="199"/>
      <c r="QOU131" s="200"/>
      <c r="QOV131" s="201"/>
      <c r="QOW131" s="202"/>
      <c r="QOX131" s="202"/>
      <c r="QOY131" s="202"/>
      <c r="QOZ131" s="202"/>
      <c r="QPA131" s="203"/>
      <c r="QPB131" s="204"/>
      <c r="QPC131" s="204"/>
      <c r="QPD131" s="204"/>
      <c r="QPE131" s="205"/>
      <c r="QPF131" s="206"/>
      <c r="QPG131" s="207"/>
      <c r="QPH131" s="207"/>
      <c r="QPI131" s="208"/>
      <c r="QPJ131" s="209"/>
      <c r="QPK131" s="207"/>
      <c r="QPL131" s="210"/>
      <c r="QPM131" s="209"/>
      <c r="QPN131" s="204"/>
      <c r="QPO131" s="204"/>
      <c r="QPP131" s="204"/>
      <c r="QPQ131" s="199"/>
      <c r="QPR131" s="167"/>
      <c r="QPS131" s="199"/>
      <c r="QPT131" s="200"/>
      <c r="QPU131" s="201"/>
      <c r="QPV131" s="202"/>
      <c r="QPW131" s="202"/>
      <c r="QPX131" s="202"/>
      <c r="QPY131" s="202"/>
      <c r="QPZ131" s="203"/>
      <c r="QQA131" s="204"/>
      <c r="QQB131" s="204"/>
      <c r="QQC131" s="204"/>
      <c r="QQD131" s="205"/>
      <c r="QQE131" s="206"/>
      <c r="QQF131" s="207"/>
      <c r="QQG131" s="207"/>
      <c r="QQH131" s="208"/>
      <c r="QQI131" s="209"/>
      <c r="QQJ131" s="207"/>
      <c r="QQK131" s="210"/>
      <c r="QQL131" s="209"/>
      <c r="QQM131" s="204"/>
      <c r="QQN131" s="204"/>
      <c r="QQO131" s="204"/>
      <c r="QQP131" s="199"/>
      <c r="QQQ131" s="167"/>
      <c r="QQR131" s="199"/>
      <c r="QQS131" s="200"/>
      <c r="QQT131" s="201"/>
      <c r="QQU131" s="202"/>
      <c r="QQV131" s="202"/>
      <c r="QQW131" s="202"/>
      <c r="QQX131" s="202"/>
      <c r="QQY131" s="203"/>
      <c r="QQZ131" s="204"/>
      <c r="QRA131" s="204"/>
      <c r="QRB131" s="204"/>
      <c r="QRC131" s="205"/>
      <c r="QRD131" s="206"/>
      <c r="QRE131" s="207"/>
      <c r="QRF131" s="207"/>
      <c r="QRG131" s="208"/>
      <c r="QRH131" s="209"/>
      <c r="QRI131" s="207"/>
      <c r="QRJ131" s="210"/>
      <c r="QRK131" s="209"/>
      <c r="QRL131" s="204"/>
      <c r="QRM131" s="204"/>
      <c r="QRN131" s="204"/>
      <c r="QRO131" s="199"/>
      <c r="QRP131" s="167"/>
      <c r="QRQ131" s="199"/>
      <c r="QRR131" s="200"/>
      <c r="QRS131" s="201"/>
      <c r="QRT131" s="202"/>
      <c r="QRU131" s="202"/>
      <c r="QRV131" s="202"/>
      <c r="QRW131" s="202"/>
      <c r="QRX131" s="203"/>
      <c r="QRY131" s="204"/>
      <c r="QRZ131" s="204"/>
      <c r="QSA131" s="204"/>
      <c r="QSB131" s="205"/>
      <c r="QSC131" s="206"/>
      <c r="QSD131" s="207"/>
      <c r="QSE131" s="207"/>
      <c r="QSF131" s="208"/>
      <c r="QSG131" s="209"/>
      <c r="QSH131" s="207"/>
      <c r="QSI131" s="210"/>
      <c r="QSJ131" s="209"/>
      <c r="QSK131" s="204"/>
      <c r="QSL131" s="204"/>
      <c r="QSM131" s="204"/>
      <c r="QSN131" s="199"/>
      <c r="QSO131" s="167"/>
      <c r="QSP131" s="199"/>
      <c r="QSQ131" s="200"/>
      <c r="QSR131" s="201"/>
      <c r="QSS131" s="202"/>
      <c r="QST131" s="202"/>
      <c r="QSU131" s="202"/>
      <c r="QSV131" s="202"/>
      <c r="QSW131" s="203"/>
      <c r="QSX131" s="204"/>
      <c r="QSY131" s="204"/>
      <c r="QSZ131" s="204"/>
      <c r="QTA131" s="205"/>
      <c r="QTB131" s="206"/>
      <c r="QTC131" s="207"/>
      <c r="QTD131" s="207"/>
      <c r="QTE131" s="208"/>
      <c r="QTF131" s="209"/>
      <c r="QTG131" s="207"/>
      <c r="QTH131" s="210"/>
      <c r="QTI131" s="209"/>
      <c r="QTJ131" s="204"/>
      <c r="QTK131" s="204"/>
      <c r="QTL131" s="204"/>
      <c r="QTM131" s="199"/>
      <c r="QTN131" s="167"/>
      <c r="QTO131" s="199"/>
      <c r="QTP131" s="200"/>
      <c r="QTQ131" s="201"/>
      <c r="QTR131" s="202"/>
      <c r="QTS131" s="202"/>
      <c r="QTT131" s="202"/>
      <c r="QTU131" s="202"/>
      <c r="QTV131" s="203"/>
      <c r="QTW131" s="204"/>
      <c r="QTX131" s="204"/>
      <c r="QTY131" s="204"/>
      <c r="QTZ131" s="205"/>
      <c r="QUA131" s="206"/>
      <c r="QUB131" s="207"/>
      <c r="QUC131" s="207"/>
      <c r="QUD131" s="208"/>
      <c r="QUE131" s="209"/>
      <c r="QUF131" s="207"/>
      <c r="QUG131" s="210"/>
      <c r="QUH131" s="209"/>
      <c r="QUI131" s="204"/>
      <c r="QUJ131" s="204"/>
      <c r="QUK131" s="204"/>
      <c r="QUL131" s="199"/>
      <c r="QUM131" s="167"/>
      <c r="QUN131" s="199"/>
      <c r="QUO131" s="200"/>
      <c r="QUP131" s="201"/>
      <c r="QUQ131" s="202"/>
      <c r="QUR131" s="202"/>
      <c r="QUS131" s="202"/>
      <c r="QUT131" s="202"/>
      <c r="QUU131" s="203"/>
      <c r="QUV131" s="204"/>
      <c r="QUW131" s="204"/>
      <c r="QUX131" s="204"/>
      <c r="QUY131" s="205"/>
      <c r="QUZ131" s="206"/>
      <c r="QVA131" s="207"/>
      <c r="QVB131" s="207"/>
      <c r="QVC131" s="208"/>
      <c r="QVD131" s="209"/>
      <c r="QVE131" s="207"/>
      <c r="QVF131" s="210"/>
      <c r="QVG131" s="209"/>
      <c r="QVH131" s="204"/>
      <c r="QVI131" s="204"/>
      <c r="QVJ131" s="204"/>
      <c r="QVK131" s="199"/>
      <c r="QVL131" s="167"/>
      <c r="QVM131" s="199"/>
      <c r="QVN131" s="200"/>
      <c r="QVO131" s="201"/>
      <c r="QVP131" s="202"/>
      <c r="QVQ131" s="202"/>
      <c r="QVR131" s="202"/>
      <c r="QVS131" s="202"/>
      <c r="QVT131" s="203"/>
      <c r="QVU131" s="204"/>
      <c r="QVV131" s="204"/>
      <c r="QVW131" s="204"/>
      <c r="QVX131" s="205"/>
      <c r="QVY131" s="206"/>
      <c r="QVZ131" s="207"/>
      <c r="QWA131" s="207"/>
      <c r="QWB131" s="208"/>
      <c r="QWC131" s="209"/>
      <c r="QWD131" s="207"/>
      <c r="QWE131" s="210"/>
      <c r="QWF131" s="209"/>
      <c r="QWG131" s="204"/>
      <c r="QWH131" s="204"/>
      <c r="QWI131" s="204"/>
      <c r="QWJ131" s="199"/>
      <c r="QWK131" s="167"/>
      <c r="QWL131" s="199"/>
      <c r="QWM131" s="200"/>
      <c r="QWN131" s="201"/>
      <c r="QWO131" s="202"/>
      <c r="QWP131" s="202"/>
      <c r="QWQ131" s="202"/>
      <c r="QWR131" s="202"/>
      <c r="QWS131" s="203"/>
      <c r="QWT131" s="204"/>
      <c r="QWU131" s="204"/>
      <c r="QWV131" s="204"/>
      <c r="QWW131" s="205"/>
      <c r="QWX131" s="206"/>
      <c r="QWY131" s="207"/>
      <c r="QWZ131" s="207"/>
      <c r="QXA131" s="208"/>
      <c r="QXB131" s="209"/>
      <c r="QXC131" s="207"/>
      <c r="QXD131" s="210"/>
      <c r="QXE131" s="209"/>
      <c r="QXF131" s="204"/>
      <c r="QXG131" s="204"/>
      <c r="QXH131" s="204"/>
      <c r="QXI131" s="199"/>
      <c r="QXJ131" s="167"/>
      <c r="QXK131" s="199"/>
      <c r="QXL131" s="200"/>
      <c r="QXM131" s="201"/>
      <c r="QXN131" s="202"/>
      <c r="QXO131" s="202"/>
      <c r="QXP131" s="202"/>
      <c r="QXQ131" s="202"/>
      <c r="QXR131" s="203"/>
      <c r="QXS131" s="204"/>
      <c r="QXT131" s="204"/>
      <c r="QXU131" s="204"/>
      <c r="QXV131" s="205"/>
      <c r="QXW131" s="206"/>
      <c r="QXX131" s="207"/>
      <c r="QXY131" s="207"/>
      <c r="QXZ131" s="208"/>
      <c r="QYA131" s="209"/>
      <c r="QYB131" s="207"/>
      <c r="QYC131" s="210"/>
      <c r="QYD131" s="209"/>
      <c r="QYE131" s="204"/>
      <c r="QYF131" s="204"/>
      <c r="QYG131" s="204"/>
      <c r="QYH131" s="199"/>
      <c r="QYI131" s="167"/>
      <c r="QYJ131" s="199"/>
      <c r="QYK131" s="200"/>
      <c r="QYL131" s="201"/>
      <c r="QYM131" s="202"/>
      <c r="QYN131" s="202"/>
      <c r="QYO131" s="202"/>
      <c r="QYP131" s="202"/>
      <c r="QYQ131" s="203"/>
      <c r="QYR131" s="204"/>
      <c r="QYS131" s="204"/>
      <c r="QYT131" s="204"/>
      <c r="QYU131" s="205"/>
      <c r="QYV131" s="206"/>
      <c r="QYW131" s="207"/>
      <c r="QYX131" s="207"/>
      <c r="QYY131" s="208"/>
      <c r="QYZ131" s="209"/>
      <c r="QZA131" s="207"/>
      <c r="QZB131" s="210"/>
      <c r="QZC131" s="209"/>
      <c r="QZD131" s="204"/>
      <c r="QZE131" s="204"/>
      <c r="QZF131" s="204"/>
      <c r="QZG131" s="199"/>
      <c r="QZH131" s="167"/>
      <c r="QZI131" s="199"/>
      <c r="QZJ131" s="200"/>
      <c r="QZK131" s="201"/>
      <c r="QZL131" s="202"/>
      <c r="QZM131" s="202"/>
      <c r="QZN131" s="202"/>
      <c r="QZO131" s="202"/>
      <c r="QZP131" s="203"/>
      <c r="QZQ131" s="204"/>
      <c r="QZR131" s="204"/>
      <c r="QZS131" s="204"/>
      <c r="QZT131" s="205"/>
      <c r="QZU131" s="206"/>
      <c r="QZV131" s="207"/>
      <c r="QZW131" s="207"/>
      <c r="QZX131" s="208"/>
      <c r="QZY131" s="209"/>
      <c r="QZZ131" s="207"/>
      <c r="RAA131" s="210"/>
      <c r="RAB131" s="209"/>
      <c r="RAC131" s="204"/>
      <c r="RAD131" s="204"/>
      <c r="RAE131" s="204"/>
      <c r="RAF131" s="199"/>
      <c r="RAG131" s="167"/>
      <c r="RAH131" s="199"/>
      <c r="RAI131" s="200"/>
      <c r="RAJ131" s="201"/>
      <c r="RAK131" s="202"/>
      <c r="RAL131" s="202"/>
      <c r="RAM131" s="202"/>
      <c r="RAN131" s="202"/>
      <c r="RAO131" s="203"/>
      <c r="RAP131" s="204"/>
      <c r="RAQ131" s="204"/>
      <c r="RAR131" s="204"/>
      <c r="RAS131" s="205"/>
      <c r="RAT131" s="206"/>
      <c r="RAU131" s="207"/>
      <c r="RAV131" s="207"/>
      <c r="RAW131" s="208"/>
      <c r="RAX131" s="209"/>
      <c r="RAY131" s="207"/>
      <c r="RAZ131" s="210"/>
      <c r="RBA131" s="209"/>
      <c r="RBB131" s="204"/>
      <c r="RBC131" s="204"/>
      <c r="RBD131" s="204"/>
      <c r="RBE131" s="199"/>
      <c r="RBF131" s="167"/>
      <c r="RBG131" s="199"/>
      <c r="RBH131" s="200"/>
      <c r="RBI131" s="201"/>
      <c r="RBJ131" s="202"/>
      <c r="RBK131" s="202"/>
      <c r="RBL131" s="202"/>
      <c r="RBM131" s="202"/>
      <c r="RBN131" s="203"/>
      <c r="RBO131" s="204"/>
      <c r="RBP131" s="204"/>
      <c r="RBQ131" s="204"/>
      <c r="RBR131" s="205"/>
      <c r="RBS131" s="206"/>
      <c r="RBT131" s="207"/>
      <c r="RBU131" s="207"/>
      <c r="RBV131" s="208"/>
      <c r="RBW131" s="209"/>
      <c r="RBX131" s="207"/>
      <c r="RBY131" s="210"/>
      <c r="RBZ131" s="209"/>
      <c r="RCA131" s="204"/>
      <c r="RCB131" s="204"/>
      <c r="RCC131" s="204"/>
      <c r="RCD131" s="199"/>
      <c r="RCE131" s="167"/>
      <c r="RCF131" s="199"/>
      <c r="RCG131" s="200"/>
      <c r="RCH131" s="201"/>
      <c r="RCI131" s="202"/>
      <c r="RCJ131" s="202"/>
      <c r="RCK131" s="202"/>
      <c r="RCL131" s="202"/>
      <c r="RCM131" s="203"/>
      <c r="RCN131" s="204"/>
      <c r="RCO131" s="204"/>
      <c r="RCP131" s="204"/>
      <c r="RCQ131" s="205"/>
      <c r="RCR131" s="206"/>
      <c r="RCS131" s="207"/>
      <c r="RCT131" s="207"/>
      <c r="RCU131" s="208"/>
      <c r="RCV131" s="209"/>
      <c r="RCW131" s="207"/>
      <c r="RCX131" s="210"/>
      <c r="RCY131" s="209"/>
      <c r="RCZ131" s="204"/>
      <c r="RDA131" s="204"/>
      <c r="RDB131" s="204"/>
      <c r="RDC131" s="199"/>
      <c r="RDD131" s="167"/>
      <c r="RDE131" s="199"/>
      <c r="RDF131" s="200"/>
      <c r="RDG131" s="201"/>
      <c r="RDH131" s="202"/>
      <c r="RDI131" s="202"/>
      <c r="RDJ131" s="202"/>
      <c r="RDK131" s="202"/>
      <c r="RDL131" s="203"/>
      <c r="RDM131" s="204"/>
      <c r="RDN131" s="204"/>
      <c r="RDO131" s="204"/>
      <c r="RDP131" s="205"/>
      <c r="RDQ131" s="206"/>
      <c r="RDR131" s="207"/>
      <c r="RDS131" s="207"/>
      <c r="RDT131" s="208"/>
      <c r="RDU131" s="209"/>
      <c r="RDV131" s="207"/>
      <c r="RDW131" s="210"/>
      <c r="RDX131" s="209"/>
      <c r="RDY131" s="204"/>
      <c r="RDZ131" s="204"/>
      <c r="REA131" s="204"/>
      <c r="REB131" s="199"/>
      <c r="REC131" s="167"/>
      <c r="RED131" s="199"/>
      <c r="REE131" s="200"/>
      <c r="REF131" s="201"/>
      <c r="REG131" s="202"/>
      <c r="REH131" s="202"/>
      <c r="REI131" s="202"/>
      <c r="REJ131" s="202"/>
      <c r="REK131" s="203"/>
      <c r="REL131" s="204"/>
      <c r="REM131" s="204"/>
      <c r="REN131" s="204"/>
      <c r="REO131" s="205"/>
      <c r="REP131" s="206"/>
      <c r="REQ131" s="207"/>
      <c r="RER131" s="207"/>
      <c r="RES131" s="208"/>
      <c r="RET131" s="209"/>
      <c r="REU131" s="207"/>
      <c r="REV131" s="210"/>
      <c r="REW131" s="209"/>
      <c r="REX131" s="204"/>
      <c r="REY131" s="204"/>
      <c r="REZ131" s="204"/>
      <c r="RFA131" s="199"/>
      <c r="RFB131" s="167"/>
      <c r="RFC131" s="199"/>
      <c r="RFD131" s="200"/>
      <c r="RFE131" s="201"/>
      <c r="RFF131" s="202"/>
      <c r="RFG131" s="202"/>
      <c r="RFH131" s="202"/>
      <c r="RFI131" s="202"/>
      <c r="RFJ131" s="203"/>
      <c r="RFK131" s="204"/>
      <c r="RFL131" s="204"/>
      <c r="RFM131" s="204"/>
      <c r="RFN131" s="205"/>
      <c r="RFO131" s="206"/>
      <c r="RFP131" s="207"/>
      <c r="RFQ131" s="207"/>
      <c r="RFR131" s="208"/>
      <c r="RFS131" s="209"/>
      <c r="RFT131" s="207"/>
      <c r="RFU131" s="210"/>
      <c r="RFV131" s="209"/>
      <c r="RFW131" s="204"/>
      <c r="RFX131" s="204"/>
      <c r="RFY131" s="204"/>
      <c r="RFZ131" s="199"/>
      <c r="RGA131" s="167"/>
      <c r="RGB131" s="199"/>
      <c r="RGC131" s="200"/>
      <c r="RGD131" s="201"/>
      <c r="RGE131" s="202"/>
      <c r="RGF131" s="202"/>
      <c r="RGG131" s="202"/>
      <c r="RGH131" s="202"/>
      <c r="RGI131" s="203"/>
      <c r="RGJ131" s="204"/>
      <c r="RGK131" s="204"/>
      <c r="RGL131" s="204"/>
      <c r="RGM131" s="205"/>
      <c r="RGN131" s="206"/>
      <c r="RGO131" s="207"/>
      <c r="RGP131" s="207"/>
      <c r="RGQ131" s="208"/>
      <c r="RGR131" s="209"/>
      <c r="RGS131" s="207"/>
      <c r="RGT131" s="210"/>
      <c r="RGU131" s="209"/>
      <c r="RGV131" s="204"/>
      <c r="RGW131" s="204"/>
      <c r="RGX131" s="204"/>
      <c r="RGY131" s="199"/>
      <c r="RGZ131" s="167"/>
      <c r="RHA131" s="199"/>
      <c r="RHB131" s="200"/>
      <c r="RHC131" s="201"/>
      <c r="RHD131" s="202"/>
      <c r="RHE131" s="202"/>
      <c r="RHF131" s="202"/>
      <c r="RHG131" s="202"/>
      <c r="RHH131" s="203"/>
      <c r="RHI131" s="204"/>
      <c r="RHJ131" s="204"/>
      <c r="RHK131" s="204"/>
      <c r="RHL131" s="205"/>
      <c r="RHM131" s="206"/>
      <c r="RHN131" s="207"/>
      <c r="RHO131" s="207"/>
      <c r="RHP131" s="208"/>
      <c r="RHQ131" s="209"/>
      <c r="RHR131" s="207"/>
      <c r="RHS131" s="210"/>
      <c r="RHT131" s="209"/>
      <c r="RHU131" s="204"/>
      <c r="RHV131" s="204"/>
      <c r="RHW131" s="204"/>
      <c r="RHX131" s="199"/>
      <c r="RHY131" s="167"/>
      <c r="RHZ131" s="199"/>
      <c r="RIA131" s="200"/>
      <c r="RIB131" s="201"/>
      <c r="RIC131" s="202"/>
      <c r="RID131" s="202"/>
      <c r="RIE131" s="202"/>
      <c r="RIF131" s="202"/>
      <c r="RIG131" s="203"/>
      <c r="RIH131" s="204"/>
      <c r="RII131" s="204"/>
      <c r="RIJ131" s="204"/>
      <c r="RIK131" s="205"/>
      <c r="RIL131" s="206"/>
      <c r="RIM131" s="207"/>
      <c r="RIN131" s="207"/>
      <c r="RIO131" s="208"/>
      <c r="RIP131" s="209"/>
      <c r="RIQ131" s="207"/>
      <c r="RIR131" s="210"/>
      <c r="RIS131" s="209"/>
      <c r="RIT131" s="204"/>
      <c r="RIU131" s="204"/>
      <c r="RIV131" s="204"/>
      <c r="RIW131" s="199"/>
      <c r="RIX131" s="167"/>
      <c r="RIY131" s="199"/>
      <c r="RIZ131" s="200"/>
      <c r="RJA131" s="201"/>
      <c r="RJB131" s="202"/>
      <c r="RJC131" s="202"/>
      <c r="RJD131" s="202"/>
      <c r="RJE131" s="202"/>
      <c r="RJF131" s="203"/>
      <c r="RJG131" s="204"/>
      <c r="RJH131" s="204"/>
      <c r="RJI131" s="204"/>
      <c r="RJJ131" s="205"/>
      <c r="RJK131" s="206"/>
      <c r="RJL131" s="207"/>
      <c r="RJM131" s="207"/>
      <c r="RJN131" s="208"/>
      <c r="RJO131" s="209"/>
      <c r="RJP131" s="207"/>
      <c r="RJQ131" s="210"/>
      <c r="RJR131" s="209"/>
      <c r="RJS131" s="204"/>
      <c r="RJT131" s="204"/>
      <c r="RJU131" s="204"/>
      <c r="RJV131" s="199"/>
      <c r="RJW131" s="167"/>
      <c r="RJX131" s="199"/>
      <c r="RJY131" s="200"/>
      <c r="RJZ131" s="201"/>
      <c r="RKA131" s="202"/>
      <c r="RKB131" s="202"/>
      <c r="RKC131" s="202"/>
      <c r="RKD131" s="202"/>
      <c r="RKE131" s="203"/>
      <c r="RKF131" s="204"/>
      <c r="RKG131" s="204"/>
      <c r="RKH131" s="204"/>
      <c r="RKI131" s="205"/>
      <c r="RKJ131" s="206"/>
      <c r="RKK131" s="207"/>
      <c r="RKL131" s="207"/>
      <c r="RKM131" s="208"/>
      <c r="RKN131" s="209"/>
      <c r="RKO131" s="207"/>
      <c r="RKP131" s="210"/>
      <c r="RKQ131" s="209"/>
      <c r="RKR131" s="204"/>
      <c r="RKS131" s="204"/>
      <c r="RKT131" s="204"/>
      <c r="RKU131" s="199"/>
      <c r="RKV131" s="167"/>
      <c r="RKW131" s="199"/>
      <c r="RKX131" s="200"/>
      <c r="RKY131" s="201"/>
      <c r="RKZ131" s="202"/>
      <c r="RLA131" s="202"/>
      <c r="RLB131" s="202"/>
      <c r="RLC131" s="202"/>
      <c r="RLD131" s="203"/>
      <c r="RLE131" s="204"/>
      <c r="RLF131" s="204"/>
      <c r="RLG131" s="204"/>
      <c r="RLH131" s="205"/>
      <c r="RLI131" s="206"/>
      <c r="RLJ131" s="207"/>
      <c r="RLK131" s="207"/>
      <c r="RLL131" s="208"/>
      <c r="RLM131" s="209"/>
      <c r="RLN131" s="207"/>
      <c r="RLO131" s="210"/>
      <c r="RLP131" s="209"/>
      <c r="RLQ131" s="204"/>
      <c r="RLR131" s="204"/>
      <c r="RLS131" s="204"/>
      <c r="RLT131" s="199"/>
      <c r="RLU131" s="167"/>
      <c r="RLV131" s="199"/>
      <c r="RLW131" s="200"/>
      <c r="RLX131" s="201"/>
      <c r="RLY131" s="202"/>
      <c r="RLZ131" s="202"/>
      <c r="RMA131" s="202"/>
      <c r="RMB131" s="202"/>
      <c r="RMC131" s="203"/>
      <c r="RMD131" s="204"/>
      <c r="RME131" s="204"/>
      <c r="RMF131" s="204"/>
      <c r="RMG131" s="205"/>
      <c r="RMH131" s="206"/>
      <c r="RMI131" s="207"/>
      <c r="RMJ131" s="207"/>
      <c r="RMK131" s="208"/>
      <c r="RML131" s="209"/>
      <c r="RMM131" s="207"/>
      <c r="RMN131" s="210"/>
      <c r="RMO131" s="209"/>
      <c r="RMP131" s="204"/>
      <c r="RMQ131" s="204"/>
      <c r="RMR131" s="204"/>
      <c r="RMS131" s="199"/>
      <c r="RMT131" s="167"/>
      <c r="RMU131" s="199"/>
      <c r="RMV131" s="200"/>
      <c r="RMW131" s="201"/>
      <c r="RMX131" s="202"/>
      <c r="RMY131" s="202"/>
      <c r="RMZ131" s="202"/>
      <c r="RNA131" s="202"/>
      <c r="RNB131" s="203"/>
      <c r="RNC131" s="204"/>
      <c r="RND131" s="204"/>
      <c r="RNE131" s="204"/>
      <c r="RNF131" s="205"/>
      <c r="RNG131" s="206"/>
      <c r="RNH131" s="207"/>
      <c r="RNI131" s="207"/>
      <c r="RNJ131" s="208"/>
      <c r="RNK131" s="209"/>
      <c r="RNL131" s="207"/>
      <c r="RNM131" s="210"/>
      <c r="RNN131" s="209"/>
      <c r="RNO131" s="204"/>
      <c r="RNP131" s="204"/>
      <c r="RNQ131" s="204"/>
      <c r="RNR131" s="199"/>
      <c r="RNS131" s="167"/>
      <c r="RNT131" s="199"/>
      <c r="RNU131" s="200"/>
      <c r="RNV131" s="201"/>
      <c r="RNW131" s="202"/>
      <c r="RNX131" s="202"/>
      <c r="RNY131" s="202"/>
      <c r="RNZ131" s="202"/>
      <c r="ROA131" s="203"/>
      <c r="ROB131" s="204"/>
      <c r="ROC131" s="204"/>
      <c r="ROD131" s="204"/>
      <c r="ROE131" s="205"/>
      <c r="ROF131" s="206"/>
      <c r="ROG131" s="207"/>
      <c r="ROH131" s="207"/>
      <c r="ROI131" s="208"/>
      <c r="ROJ131" s="209"/>
      <c r="ROK131" s="207"/>
      <c r="ROL131" s="210"/>
      <c r="ROM131" s="209"/>
      <c r="RON131" s="204"/>
      <c r="ROO131" s="204"/>
      <c r="ROP131" s="204"/>
      <c r="ROQ131" s="199"/>
      <c r="ROR131" s="167"/>
      <c r="ROS131" s="199"/>
      <c r="ROT131" s="200"/>
      <c r="ROU131" s="201"/>
      <c r="ROV131" s="202"/>
      <c r="ROW131" s="202"/>
      <c r="ROX131" s="202"/>
      <c r="ROY131" s="202"/>
      <c r="ROZ131" s="203"/>
      <c r="RPA131" s="204"/>
      <c r="RPB131" s="204"/>
      <c r="RPC131" s="204"/>
      <c r="RPD131" s="205"/>
      <c r="RPE131" s="206"/>
      <c r="RPF131" s="207"/>
      <c r="RPG131" s="207"/>
      <c r="RPH131" s="208"/>
      <c r="RPI131" s="209"/>
      <c r="RPJ131" s="207"/>
      <c r="RPK131" s="210"/>
      <c r="RPL131" s="209"/>
      <c r="RPM131" s="204"/>
      <c r="RPN131" s="204"/>
      <c r="RPO131" s="204"/>
      <c r="RPP131" s="199"/>
      <c r="RPQ131" s="167"/>
      <c r="RPR131" s="199"/>
      <c r="RPS131" s="200"/>
      <c r="RPT131" s="201"/>
      <c r="RPU131" s="202"/>
      <c r="RPV131" s="202"/>
      <c r="RPW131" s="202"/>
      <c r="RPX131" s="202"/>
      <c r="RPY131" s="203"/>
      <c r="RPZ131" s="204"/>
      <c r="RQA131" s="204"/>
      <c r="RQB131" s="204"/>
      <c r="RQC131" s="205"/>
      <c r="RQD131" s="206"/>
      <c r="RQE131" s="207"/>
      <c r="RQF131" s="207"/>
      <c r="RQG131" s="208"/>
      <c r="RQH131" s="209"/>
      <c r="RQI131" s="207"/>
      <c r="RQJ131" s="210"/>
      <c r="RQK131" s="209"/>
      <c r="RQL131" s="204"/>
      <c r="RQM131" s="204"/>
      <c r="RQN131" s="204"/>
      <c r="RQO131" s="199"/>
      <c r="RQP131" s="167"/>
      <c r="RQQ131" s="199"/>
      <c r="RQR131" s="200"/>
      <c r="RQS131" s="201"/>
      <c r="RQT131" s="202"/>
      <c r="RQU131" s="202"/>
      <c r="RQV131" s="202"/>
      <c r="RQW131" s="202"/>
      <c r="RQX131" s="203"/>
      <c r="RQY131" s="204"/>
      <c r="RQZ131" s="204"/>
      <c r="RRA131" s="204"/>
      <c r="RRB131" s="205"/>
      <c r="RRC131" s="206"/>
      <c r="RRD131" s="207"/>
      <c r="RRE131" s="207"/>
      <c r="RRF131" s="208"/>
      <c r="RRG131" s="209"/>
      <c r="RRH131" s="207"/>
      <c r="RRI131" s="210"/>
      <c r="RRJ131" s="209"/>
      <c r="RRK131" s="204"/>
      <c r="RRL131" s="204"/>
      <c r="RRM131" s="204"/>
      <c r="RRN131" s="199"/>
      <c r="RRO131" s="167"/>
      <c r="RRP131" s="199"/>
      <c r="RRQ131" s="200"/>
      <c r="RRR131" s="201"/>
      <c r="RRS131" s="202"/>
      <c r="RRT131" s="202"/>
      <c r="RRU131" s="202"/>
      <c r="RRV131" s="202"/>
      <c r="RRW131" s="203"/>
      <c r="RRX131" s="204"/>
      <c r="RRY131" s="204"/>
      <c r="RRZ131" s="204"/>
      <c r="RSA131" s="205"/>
      <c r="RSB131" s="206"/>
      <c r="RSC131" s="207"/>
      <c r="RSD131" s="207"/>
      <c r="RSE131" s="208"/>
      <c r="RSF131" s="209"/>
      <c r="RSG131" s="207"/>
      <c r="RSH131" s="210"/>
      <c r="RSI131" s="209"/>
      <c r="RSJ131" s="204"/>
      <c r="RSK131" s="204"/>
      <c r="RSL131" s="204"/>
      <c r="RSM131" s="199"/>
      <c r="RSN131" s="167"/>
      <c r="RSO131" s="199"/>
      <c r="RSP131" s="200"/>
      <c r="RSQ131" s="201"/>
      <c r="RSR131" s="202"/>
      <c r="RSS131" s="202"/>
      <c r="RST131" s="202"/>
      <c r="RSU131" s="202"/>
      <c r="RSV131" s="203"/>
      <c r="RSW131" s="204"/>
      <c r="RSX131" s="204"/>
      <c r="RSY131" s="204"/>
      <c r="RSZ131" s="205"/>
      <c r="RTA131" s="206"/>
      <c r="RTB131" s="207"/>
      <c r="RTC131" s="207"/>
      <c r="RTD131" s="208"/>
      <c r="RTE131" s="209"/>
      <c r="RTF131" s="207"/>
      <c r="RTG131" s="210"/>
      <c r="RTH131" s="209"/>
      <c r="RTI131" s="204"/>
      <c r="RTJ131" s="204"/>
      <c r="RTK131" s="204"/>
      <c r="RTL131" s="199"/>
      <c r="RTM131" s="167"/>
      <c r="RTN131" s="199"/>
      <c r="RTO131" s="200"/>
      <c r="RTP131" s="201"/>
      <c r="RTQ131" s="202"/>
      <c r="RTR131" s="202"/>
      <c r="RTS131" s="202"/>
      <c r="RTT131" s="202"/>
      <c r="RTU131" s="203"/>
      <c r="RTV131" s="204"/>
      <c r="RTW131" s="204"/>
      <c r="RTX131" s="204"/>
      <c r="RTY131" s="205"/>
      <c r="RTZ131" s="206"/>
      <c r="RUA131" s="207"/>
      <c r="RUB131" s="207"/>
      <c r="RUC131" s="208"/>
      <c r="RUD131" s="209"/>
      <c r="RUE131" s="207"/>
      <c r="RUF131" s="210"/>
      <c r="RUG131" s="209"/>
      <c r="RUH131" s="204"/>
      <c r="RUI131" s="204"/>
      <c r="RUJ131" s="204"/>
      <c r="RUK131" s="199"/>
      <c r="RUL131" s="167"/>
      <c r="RUM131" s="199"/>
      <c r="RUN131" s="200"/>
      <c r="RUO131" s="201"/>
      <c r="RUP131" s="202"/>
      <c r="RUQ131" s="202"/>
      <c r="RUR131" s="202"/>
      <c r="RUS131" s="202"/>
      <c r="RUT131" s="203"/>
      <c r="RUU131" s="204"/>
      <c r="RUV131" s="204"/>
      <c r="RUW131" s="204"/>
      <c r="RUX131" s="205"/>
      <c r="RUY131" s="206"/>
      <c r="RUZ131" s="207"/>
      <c r="RVA131" s="207"/>
      <c r="RVB131" s="208"/>
      <c r="RVC131" s="209"/>
      <c r="RVD131" s="207"/>
      <c r="RVE131" s="210"/>
      <c r="RVF131" s="209"/>
      <c r="RVG131" s="204"/>
      <c r="RVH131" s="204"/>
      <c r="RVI131" s="204"/>
      <c r="RVJ131" s="199"/>
      <c r="RVK131" s="167"/>
      <c r="RVL131" s="199"/>
      <c r="RVM131" s="200"/>
      <c r="RVN131" s="201"/>
      <c r="RVO131" s="202"/>
      <c r="RVP131" s="202"/>
      <c r="RVQ131" s="202"/>
      <c r="RVR131" s="202"/>
      <c r="RVS131" s="203"/>
      <c r="RVT131" s="204"/>
      <c r="RVU131" s="204"/>
      <c r="RVV131" s="204"/>
      <c r="RVW131" s="205"/>
      <c r="RVX131" s="206"/>
      <c r="RVY131" s="207"/>
      <c r="RVZ131" s="207"/>
      <c r="RWA131" s="208"/>
      <c r="RWB131" s="209"/>
      <c r="RWC131" s="207"/>
      <c r="RWD131" s="210"/>
      <c r="RWE131" s="209"/>
      <c r="RWF131" s="204"/>
      <c r="RWG131" s="204"/>
      <c r="RWH131" s="204"/>
      <c r="RWI131" s="199"/>
      <c r="RWJ131" s="167"/>
      <c r="RWK131" s="199"/>
      <c r="RWL131" s="200"/>
      <c r="RWM131" s="201"/>
      <c r="RWN131" s="202"/>
      <c r="RWO131" s="202"/>
      <c r="RWP131" s="202"/>
      <c r="RWQ131" s="202"/>
      <c r="RWR131" s="203"/>
      <c r="RWS131" s="204"/>
      <c r="RWT131" s="204"/>
      <c r="RWU131" s="204"/>
      <c r="RWV131" s="205"/>
      <c r="RWW131" s="206"/>
      <c r="RWX131" s="207"/>
      <c r="RWY131" s="207"/>
      <c r="RWZ131" s="208"/>
      <c r="RXA131" s="209"/>
      <c r="RXB131" s="207"/>
      <c r="RXC131" s="210"/>
      <c r="RXD131" s="209"/>
      <c r="RXE131" s="204"/>
      <c r="RXF131" s="204"/>
      <c r="RXG131" s="204"/>
      <c r="RXH131" s="199"/>
      <c r="RXI131" s="167"/>
      <c r="RXJ131" s="199"/>
      <c r="RXK131" s="200"/>
      <c r="RXL131" s="201"/>
      <c r="RXM131" s="202"/>
      <c r="RXN131" s="202"/>
      <c r="RXO131" s="202"/>
      <c r="RXP131" s="202"/>
      <c r="RXQ131" s="203"/>
      <c r="RXR131" s="204"/>
      <c r="RXS131" s="204"/>
      <c r="RXT131" s="204"/>
      <c r="RXU131" s="205"/>
      <c r="RXV131" s="206"/>
      <c r="RXW131" s="207"/>
      <c r="RXX131" s="207"/>
      <c r="RXY131" s="208"/>
      <c r="RXZ131" s="209"/>
      <c r="RYA131" s="207"/>
      <c r="RYB131" s="210"/>
      <c r="RYC131" s="209"/>
      <c r="RYD131" s="204"/>
      <c r="RYE131" s="204"/>
      <c r="RYF131" s="204"/>
      <c r="RYG131" s="199"/>
      <c r="RYH131" s="167"/>
      <c r="RYI131" s="199"/>
      <c r="RYJ131" s="200"/>
      <c r="RYK131" s="201"/>
      <c r="RYL131" s="202"/>
      <c r="RYM131" s="202"/>
      <c r="RYN131" s="202"/>
      <c r="RYO131" s="202"/>
      <c r="RYP131" s="203"/>
      <c r="RYQ131" s="204"/>
      <c r="RYR131" s="204"/>
      <c r="RYS131" s="204"/>
      <c r="RYT131" s="205"/>
      <c r="RYU131" s="206"/>
      <c r="RYV131" s="207"/>
      <c r="RYW131" s="207"/>
      <c r="RYX131" s="208"/>
      <c r="RYY131" s="209"/>
      <c r="RYZ131" s="207"/>
      <c r="RZA131" s="210"/>
      <c r="RZB131" s="209"/>
      <c r="RZC131" s="204"/>
      <c r="RZD131" s="204"/>
      <c r="RZE131" s="204"/>
      <c r="RZF131" s="199"/>
      <c r="RZG131" s="167"/>
      <c r="RZH131" s="199"/>
      <c r="RZI131" s="200"/>
      <c r="RZJ131" s="201"/>
      <c r="RZK131" s="202"/>
      <c r="RZL131" s="202"/>
      <c r="RZM131" s="202"/>
      <c r="RZN131" s="202"/>
      <c r="RZO131" s="203"/>
      <c r="RZP131" s="204"/>
      <c r="RZQ131" s="204"/>
      <c r="RZR131" s="204"/>
      <c r="RZS131" s="205"/>
      <c r="RZT131" s="206"/>
      <c r="RZU131" s="207"/>
      <c r="RZV131" s="207"/>
      <c r="RZW131" s="208"/>
      <c r="RZX131" s="209"/>
      <c r="RZY131" s="207"/>
      <c r="RZZ131" s="210"/>
      <c r="SAA131" s="209"/>
      <c r="SAB131" s="204"/>
      <c r="SAC131" s="204"/>
      <c r="SAD131" s="204"/>
      <c r="SAE131" s="199"/>
      <c r="SAF131" s="167"/>
      <c r="SAG131" s="199"/>
      <c r="SAH131" s="200"/>
      <c r="SAI131" s="201"/>
      <c r="SAJ131" s="202"/>
      <c r="SAK131" s="202"/>
      <c r="SAL131" s="202"/>
      <c r="SAM131" s="202"/>
      <c r="SAN131" s="203"/>
      <c r="SAO131" s="204"/>
      <c r="SAP131" s="204"/>
      <c r="SAQ131" s="204"/>
      <c r="SAR131" s="205"/>
      <c r="SAS131" s="206"/>
      <c r="SAT131" s="207"/>
      <c r="SAU131" s="207"/>
      <c r="SAV131" s="208"/>
      <c r="SAW131" s="209"/>
      <c r="SAX131" s="207"/>
      <c r="SAY131" s="210"/>
      <c r="SAZ131" s="209"/>
      <c r="SBA131" s="204"/>
      <c r="SBB131" s="204"/>
      <c r="SBC131" s="204"/>
      <c r="SBD131" s="199"/>
      <c r="SBE131" s="167"/>
      <c r="SBF131" s="199"/>
      <c r="SBG131" s="200"/>
      <c r="SBH131" s="201"/>
      <c r="SBI131" s="202"/>
      <c r="SBJ131" s="202"/>
      <c r="SBK131" s="202"/>
      <c r="SBL131" s="202"/>
      <c r="SBM131" s="203"/>
      <c r="SBN131" s="204"/>
      <c r="SBO131" s="204"/>
      <c r="SBP131" s="204"/>
      <c r="SBQ131" s="205"/>
      <c r="SBR131" s="206"/>
      <c r="SBS131" s="207"/>
      <c r="SBT131" s="207"/>
      <c r="SBU131" s="208"/>
      <c r="SBV131" s="209"/>
      <c r="SBW131" s="207"/>
      <c r="SBX131" s="210"/>
      <c r="SBY131" s="209"/>
      <c r="SBZ131" s="204"/>
      <c r="SCA131" s="204"/>
      <c r="SCB131" s="204"/>
      <c r="SCC131" s="199"/>
      <c r="SCD131" s="167"/>
      <c r="SCE131" s="199"/>
      <c r="SCF131" s="200"/>
      <c r="SCG131" s="201"/>
      <c r="SCH131" s="202"/>
      <c r="SCI131" s="202"/>
      <c r="SCJ131" s="202"/>
      <c r="SCK131" s="202"/>
      <c r="SCL131" s="203"/>
      <c r="SCM131" s="204"/>
      <c r="SCN131" s="204"/>
      <c r="SCO131" s="204"/>
      <c r="SCP131" s="205"/>
      <c r="SCQ131" s="206"/>
      <c r="SCR131" s="207"/>
      <c r="SCS131" s="207"/>
      <c r="SCT131" s="208"/>
      <c r="SCU131" s="209"/>
      <c r="SCV131" s="207"/>
      <c r="SCW131" s="210"/>
      <c r="SCX131" s="209"/>
      <c r="SCY131" s="204"/>
      <c r="SCZ131" s="204"/>
      <c r="SDA131" s="204"/>
      <c r="SDB131" s="199"/>
      <c r="SDC131" s="167"/>
      <c r="SDD131" s="199"/>
      <c r="SDE131" s="200"/>
      <c r="SDF131" s="201"/>
      <c r="SDG131" s="202"/>
      <c r="SDH131" s="202"/>
      <c r="SDI131" s="202"/>
      <c r="SDJ131" s="202"/>
      <c r="SDK131" s="203"/>
      <c r="SDL131" s="204"/>
      <c r="SDM131" s="204"/>
      <c r="SDN131" s="204"/>
      <c r="SDO131" s="205"/>
      <c r="SDP131" s="206"/>
      <c r="SDQ131" s="207"/>
      <c r="SDR131" s="207"/>
      <c r="SDS131" s="208"/>
      <c r="SDT131" s="209"/>
      <c r="SDU131" s="207"/>
      <c r="SDV131" s="210"/>
      <c r="SDW131" s="209"/>
      <c r="SDX131" s="204"/>
      <c r="SDY131" s="204"/>
      <c r="SDZ131" s="204"/>
      <c r="SEA131" s="199"/>
      <c r="SEB131" s="167"/>
      <c r="SEC131" s="199"/>
      <c r="SED131" s="200"/>
      <c r="SEE131" s="201"/>
      <c r="SEF131" s="202"/>
      <c r="SEG131" s="202"/>
      <c r="SEH131" s="202"/>
      <c r="SEI131" s="202"/>
      <c r="SEJ131" s="203"/>
      <c r="SEK131" s="204"/>
      <c r="SEL131" s="204"/>
      <c r="SEM131" s="204"/>
      <c r="SEN131" s="205"/>
      <c r="SEO131" s="206"/>
      <c r="SEP131" s="207"/>
      <c r="SEQ131" s="207"/>
      <c r="SER131" s="208"/>
      <c r="SES131" s="209"/>
      <c r="SET131" s="207"/>
      <c r="SEU131" s="210"/>
      <c r="SEV131" s="209"/>
      <c r="SEW131" s="204"/>
      <c r="SEX131" s="204"/>
      <c r="SEY131" s="204"/>
      <c r="SEZ131" s="199"/>
      <c r="SFA131" s="167"/>
      <c r="SFB131" s="199"/>
      <c r="SFC131" s="200"/>
      <c r="SFD131" s="201"/>
      <c r="SFE131" s="202"/>
      <c r="SFF131" s="202"/>
      <c r="SFG131" s="202"/>
      <c r="SFH131" s="202"/>
      <c r="SFI131" s="203"/>
      <c r="SFJ131" s="204"/>
      <c r="SFK131" s="204"/>
      <c r="SFL131" s="204"/>
      <c r="SFM131" s="205"/>
      <c r="SFN131" s="206"/>
      <c r="SFO131" s="207"/>
      <c r="SFP131" s="207"/>
      <c r="SFQ131" s="208"/>
      <c r="SFR131" s="209"/>
      <c r="SFS131" s="207"/>
      <c r="SFT131" s="210"/>
      <c r="SFU131" s="209"/>
      <c r="SFV131" s="204"/>
      <c r="SFW131" s="204"/>
      <c r="SFX131" s="204"/>
      <c r="SFY131" s="199"/>
      <c r="SFZ131" s="167"/>
      <c r="SGA131" s="199"/>
      <c r="SGB131" s="200"/>
      <c r="SGC131" s="201"/>
      <c r="SGD131" s="202"/>
      <c r="SGE131" s="202"/>
      <c r="SGF131" s="202"/>
      <c r="SGG131" s="202"/>
      <c r="SGH131" s="203"/>
      <c r="SGI131" s="204"/>
      <c r="SGJ131" s="204"/>
      <c r="SGK131" s="204"/>
      <c r="SGL131" s="205"/>
      <c r="SGM131" s="206"/>
      <c r="SGN131" s="207"/>
      <c r="SGO131" s="207"/>
      <c r="SGP131" s="208"/>
      <c r="SGQ131" s="209"/>
      <c r="SGR131" s="207"/>
      <c r="SGS131" s="210"/>
      <c r="SGT131" s="209"/>
      <c r="SGU131" s="204"/>
      <c r="SGV131" s="204"/>
      <c r="SGW131" s="204"/>
      <c r="SGX131" s="199"/>
      <c r="SGY131" s="167"/>
      <c r="SGZ131" s="199"/>
      <c r="SHA131" s="200"/>
      <c r="SHB131" s="201"/>
      <c r="SHC131" s="202"/>
      <c r="SHD131" s="202"/>
      <c r="SHE131" s="202"/>
      <c r="SHF131" s="202"/>
      <c r="SHG131" s="203"/>
      <c r="SHH131" s="204"/>
      <c r="SHI131" s="204"/>
      <c r="SHJ131" s="204"/>
      <c r="SHK131" s="205"/>
      <c r="SHL131" s="206"/>
      <c r="SHM131" s="207"/>
      <c r="SHN131" s="207"/>
      <c r="SHO131" s="208"/>
      <c r="SHP131" s="209"/>
      <c r="SHQ131" s="207"/>
      <c r="SHR131" s="210"/>
      <c r="SHS131" s="209"/>
      <c r="SHT131" s="204"/>
      <c r="SHU131" s="204"/>
      <c r="SHV131" s="204"/>
      <c r="SHW131" s="199"/>
      <c r="SHX131" s="167"/>
      <c r="SHY131" s="199"/>
      <c r="SHZ131" s="200"/>
      <c r="SIA131" s="201"/>
      <c r="SIB131" s="202"/>
      <c r="SIC131" s="202"/>
      <c r="SID131" s="202"/>
      <c r="SIE131" s="202"/>
      <c r="SIF131" s="203"/>
      <c r="SIG131" s="204"/>
      <c r="SIH131" s="204"/>
      <c r="SII131" s="204"/>
      <c r="SIJ131" s="205"/>
      <c r="SIK131" s="206"/>
      <c r="SIL131" s="207"/>
      <c r="SIM131" s="207"/>
      <c r="SIN131" s="208"/>
      <c r="SIO131" s="209"/>
      <c r="SIP131" s="207"/>
      <c r="SIQ131" s="210"/>
      <c r="SIR131" s="209"/>
      <c r="SIS131" s="204"/>
      <c r="SIT131" s="204"/>
      <c r="SIU131" s="204"/>
      <c r="SIV131" s="199"/>
      <c r="SIW131" s="167"/>
      <c r="SIX131" s="199"/>
      <c r="SIY131" s="200"/>
      <c r="SIZ131" s="201"/>
      <c r="SJA131" s="202"/>
      <c r="SJB131" s="202"/>
      <c r="SJC131" s="202"/>
      <c r="SJD131" s="202"/>
      <c r="SJE131" s="203"/>
      <c r="SJF131" s="204"/>
      <c r="SJG131" s="204"/>
      <c r="SJH131" s="204"/>
      <c r="SJI131" s="205"/>
      <c r="SJJ131" s="206"/>
      <c r="SJK131" s="207"/>
      <c r="SJL131" s="207"/>
      <c r="SJM131" s="208"/>
      <c r="SJN131" s="209"/>
      <c r="SJO131" s="207"/>
      <c r="SJP131" s="210"/>
      <c r="SJQ131" s="209"/>
      <c r="SJR131" s="204"/>
      <c r="SJS131" s="204"/>
      <c r="SJT131" s="204"/>
      <c r="SJU131" s="199"/>
      <c r="SJV131" s="167"/>
      <c r="SJW131" s="199"/>
      <c r="SJX131" s="200"/>
      <c r="SJY131" s="201"/>
      <c r="SJZ131" s="202"/>
      <c r="SKA131" s="202"/>
      <c r="SKB131" s="202"/>
      <c r="SKC131" s="202"/>
      <c r="SKD131" s="203"/>
      <c r="SKE131" s="204"/>
      <c r="SKF131" s="204"/>
      <c r="SKG131" s="204"/>
      <c r="SKH131" s="205"/>
      <c r="SKI131" s="206"/>
      <c r="SKJ131" s="207"/>
      <c r="SKK131" s="207"/>
      <c r="SKL131" s="208"/>
      <c r="SKM131" s="209"/>
      <c r="SKN131" s="207"/>
      <c r="SKO131" s="210"/>
      <c r="SKP131" s="209"/>
      <c r="SKQ131" s="204"/>
      <c r="SKR131" s="204"/>
      <c r="SKS131" s="204"/>
      <c r="SKT131" s="199"/>
      <c r="SKU131" s="167"/>
      <c r="SKV131" s="199"/>
      <c r="SKW131" s="200"/>
      <c r="SKX131" s="201"/>
      <c r="SKY131" s="202"/>
      <c r="SKZ131" s="202"/>
      <c r="SLA131" s="202"/>
      <c r="SLB131" s="202"/>
      <c r="SLC131" s="203"/>
      <c r="SLD131" s="204"/>
      <c r="SLE131" s="204"/>
      <c r="SLF131" s="204"/>
      <c r="SLG131" s="205"/>
      <c r="SLH131" s="206"/>
      <c r="SLI131" s="207"/>
      <c r="SLJ131" s="207"/>
      <c r="SLK131" s="208"/>
      <c r="SLL131" s="209"/>
      <c r="SLM131" s="207"/>
      <c r="SLN131" s="210"/>
      <c r="SLO131" s="209"/>
      <c r="SLP131" s="204"/>
      <c r="SLQ131" s="204"/>
      <c r="SLR131" s="204"/>
      <c r="SLS131" s="199"/>
      <c r="SLT131" s="167"/>
      <c r="SLU131" s="199"/>
      <c r="SLV131" s="200"/>
      <c r="SLW131" s="201"/>
      <c r="SLX131" s="202"/>
      <c r="SLY131" s="202"/>
      <c r="SLZ131" s="202"/>
      <c r="SMA131" s="202"/>
      <c r="SMB131" s="203"/>
      <c r="SMC131" s="204"/>
      <c r="SMD131" s="204"/>
      <c r="SME131" s="204"/>
      <c r="SMF131" s="205"/>
      <c r="SMG131" s="206"/>
      <c r="SMH131" s="207"/>
      <c r="SMI131" s="207"/>
      <c r="SMJ131" s="208"/>
      <c r="SMK131" s="209"/>
      <c r="SML131" s="207"/>
      <c r="SMM131" s="210"/>
      <c r="SMN131" s="209"/>
      <c r="SMO131" s="204"/>
      <c r="SMP131" s="204"/>
      <c r="SMQ131" s="204"/>
      <c r="SMR131" s="199"/>
      <c r="SMS131" s="167"/>
      <c r="SMT131" s="199"/>
      <c r="SMU131" s="200"/>
      <c r="SMV131" s="201"/>
      <c r="SMW131" s="202"/>
      <c r="SMX131" s="202"/>
      <c r="SMY131" s="202"/>
      <c r="SMZ131" s="202"/>
      <c r="SNA131" s="203"/>
      <c r="SNB131" s="204"/>
      <c r="SNC131" s="204"/>
      <c r="SND131" s="204"/>
      <c r="SNE131" s="205"/>
      <c r="SNF131" s="206"/>
      <c r="SNG131" s="207"/>
      <c r="SNH131" s="207"/>
      <c r="SNI131" s="208"/>
      <c r="SNJ131" s="209"/>
      <c r="SNK131" s="207"/>
      <c r="SNL131" s="210"/>
      <c r="SNM131" s="209"/>
      <c r="SNN131" s="204"/>
      <c r="SNO131" s="204"/>
      <c r="SNP131" s="204"/>
      <c r="SNQ131" s="199"/>
      <c r="SNR131" s="167"/>
      <c r="SNS131" s="199"/>
      <c r="SNT131" s="200"/>
      <c r="SNU131" s="201"/>
      <c r="SNV131" s="202"/>
      <c r="SNW131" s="202"/>
      <c r="SNX131" s="202"/>
      <c r="SNY131" s="202"/>
      <c r="SNZ131" s="203"/>
      <c r="SOA131" s="204"/>
      <c r="SOB131" s="204"/>
      <c r="SOC131" s="204"/>
      <c r="SOD131" s="205"/>
      <c r="SOE131" s="206"/>
      <c r="SOF131" s="207"/>
      <c r="SOG131" s="207"/>
      <c r="SOH131" s="208"/>
      <c r="SOI131" s="209"/>
      <c r="SOJ131" s="207"/>
      <c r="SOK131" s="210"/>
      <c r="SOL131" s="209"/>
      <c r="SOM131" s="204"/>
      <c r="SON131" s="204"/>
      <c r="SOO131" s="204"/>
      <c r="SOP131" s="199"/>
      <c r="SOQ131" s="167"/>
      <c r="SOR131" s="199"/>
      <c r="SOS131" s="200"/>
      <c r="SOT131" s="201"/>
      <c r="SOU131" s="202"/>
      <c r="SOV131" s="202"/>
      <c r="SOW131" s="202"/>
      <c r="SOX131" s="202"/>
      <c r="SOY131" s="203"/>
      <c r="SOZ131" s="204"/>
      <c r="SPA131" s="204"/>
      <c r="SPB131" s="204"/>
      <c r="SPC131" s="205"/>
      <c r="SPD131" s="206"/>
      <c r="SPE131" s="207"/>
      <c r="SPF131" s="207"/>
      <c r="SPG131" s="208"/>
      <c r="SPH131" s="209"/>
      <c r="SPI131" s="207"/>
      <c r="SPJ131" s="210"/>
      <c r="SPK131" s="209"/>
      <c r="SPL131" s="204"/>
      <c r="SPM131" s="204"/>
      <c r="SPN131" s="204"/>
      <c r="SPO131" s="199"/>
      <c r="SPP131" s="167"/>
      <c r="SPQ131" s="199"/>
      <c r="SPR131" s="200"/>
      <c r="SPS131" s="201"/>
      <c r="SPT131" s="202"/>
      <c r="SPU131" s="202"/>
      <c r="SPV131" s="202"/>
      <c r="SPW131" s="202"/>
      <c r="SPX131" s="203"/>
      <c r="SPY131" s="204"/>
      <c r="SPZ131" s="204"/>
      <c r="SQA131" s="204"/>
      <c r="SQB131" s="205"/>
      <c r="SQC131" s="206"/>
      <c r="SQD131" s="207"/>
      <c r="SQE131" s="207"/>
      <c r="SQF131" s="208"/>
      <c r="SQG131" s="209"/>
      <c r="SQH131" s="207"/>
      <c r="SQI131" s="210"/>
      <c r="SQJ131" s="209"/>
      <c r="SQK131" s="204"/>
      <c r="SQL131" s="204"/>
      <c r="SQM131" s="204"/>
      <c r="SQN131" s="199"/>
      <c r="SQO131" s="167"/>
      <c r="SQP131" s="199"/>
      <c r="SQQ131" s="200"/>
      <c r="SQR131" s="201"/>
      <c r="SQS131" s="202"/>
      <c r="SQT131" s="202"/>
      <c r="SQU131" s="202"/>
      <c r="SQV131" s="202"/>
      <c r="SQW131" s="203"/>
      <c r="SQX131" s="204"/>
      <c r="SQY131" s="204"/>
      <c r="SQZ131" s="204"/>
      <c r="SRA131" s="205"/>
      <c r="SRB131" s="206"/>
      <c r="SRC131" s="207"/>
      <c r="SRD131" s="207"/>
      <c r="SRE131" s="208"/>
      <c r="SRF131" s="209"/>
      <c r="SRG131" s="207"/>
      <c r="SRH131" s="210"/>
      <c r="SRI131" s="209"/>
      <c r="SRJ131" s="204"/>
      <c r="SRK131" s="204"/>
      <c r="SRL131" s="204"/>
      <c r="SRM131" s="199"/>
      <c r="SRN131" s="167"/>
      <c r="SRO131" s="199"/>
      <c r="SRP131" s="200"/>
      <c r="SRQ131" s="201"/>
      <c r="SRR131" s="202"/>
      <c r="SRS131" s="202"/>
      <c r="SRT131" s="202"/>
      <c r="SRU131" s="202"/>
      <c r="SRV131" s="203"/>
      <c r="SRW131" s="204"/>
      <c r="SRX131" s="204"/>
      <c r="SRY131" s="204"/>
      <c r="SRZ131" s="205"/>
      <c r="SSA131" s="206"/>
      <c r="SSB131" s="207"/>
      <c r="SSC131" s="207"/>
      <c r="SSD131" s="208"/>
      <c r="SSE131" s="209"/>
      <c r="SSF131" s="207"/>
      <c r="SSG131" s="210"/>
      <c r="SSH131" s="209"/>
      <c r="SSI131" s="204"/>
      <c r="SSJ131" s="204"/>
      <c r="SSK131" s="204"/>
      <c r="SSL131" s="199"/>
      <c r="SSM131" s="167"/>
      <c r="SSN131" s="199"/>
      <c r="SSO131" s="200"/>
      <c r="SSP131" s="201"/>
      <c r="SSQ131" s="202"/>
      <c r="SSR131" s="202"/>
      <c r="SSS131" s="202"/>
      <c r="SST131" s="202"/>
      <c r="SSU131" s="203"/>
      <c r="SSV131" s="204"/>
      <c r="SSW131" s="204"/>
      <c r="SSX131" s="204"/>
      <c r="SSY131" s="205"/>
      <c r="SSZ131" s="206"/>
      <c r="STA131" s="207"/>
      <c r="STB131" s="207"/>
      <c r="STC131" s="208"/>
      <c r="STD131" s="209"/>
      <c r="STE131" s="207"/>
      <c r="STF131" s="210"/>
      <c r="STG131" s="209"/>
      <c r="STH131" s="204"/>
      <c r="STI131" s="204"/>
      <c r="STJ131" s="204"/>
      <c r="STK131" s="199"/>
      <c r="STL131" s="167"/>
      <c r="STM131" s="199"/>
      <c r="STN131" s="200"/>
      <c r="STO131" s="201"/>
      <c r="STP131" s="202"/>
      <c r="STQ131" s="202"/>
      <c r="STR131" s="202"/>
      <c r="STS131" s="202"/>
      <c r="STT131" s="203"/>
      <c r="STU131" s="204"/>
      <c r="STV131" s="204"/>
      <c r="STW131" s="204"/>
      <c r="STX131" s="205"/>
      <c r="STY131" s="206"/>
      <c r="STZ131" s="207"/>
      <c r="SUA131" s="207"/>
      <c r="SUB131" s="208"/>
      <c r="SUC131" s="209"/>
      <c r="SUD131" s="207"/>
      <c r="SUE131" s="210"/>
      <c r="SUF131" s="209"/>
      <c r="SUG131" s="204"/>
      <c r="SUH131" s="204"/>
      <c r="SUI131" s="204"/>
      <c r="SUJ131" s="199"/>
      <c r="SUK131" s="167"/>
      <c r="SUL131" s="199"/>
      <c r="SUM131" s="200"/>
      <c r="SUN131" s="201"/>
      <c r="SUO131" s="202"/>
      <c r="SUP131" s="202"/>
      <c r="SUQ131" s="202"/>
      <c r="SUR131" s="202"/>
      <c r="SUS131" s="203"/>
      <c r="SUT131" s="204"/>
      <c r="SUU131" s="204"/>
      <c r="SUV131" s="204"/>
      <c r="SUW131" s="205"/>
      <c r="SUX131" s="206"/>
      <c r="SUY131" s="207"/>
      <c r="SUZ131" s="207"/>
      <c r="SVA131" s="208"/>
      <c r="SVB131" s="209"/>
      <c r="SVC131" s="207"/>
      <c r="SVD131" s="210"/>
      <c r="SVE131" s="209"/>
      <c r="SVF131" s="204"/>
      <c r="SVG131" s="204"/>
      <c r="SVH131" s="204"/>
      <c r="SVI131" s="199"/>
      <c r="SVJ131" s="167"/>
      <c r="SVK131" s="199"/>
      <c r="SVL131" s="200"/>
      <c r="SVM131" s="201"/>
      <c r="SVN131" s="202"/>
      <c r="SVO131" s="202"/>
      <c r="SVP131" s="202"/>
      <c r="SVQ131" s="202"/>
      <c r="SVR131" s="203"/>
      <c r="SVS131" s="204"/>
      <c r="SVT131" s="204"/>
      <c r="SVU131" s="204"/>
      <c r="SVV131" s="205"/>
      <c r="SVW131" s="206"/>
      <c r="SVX131" s="207"/>
      <c r="SVY131" s="207"/>
      <c r="SVZ131" s="208"/>
      <c r="SWA131" s="209"/>
      <c r="SWB131" s="207"/>
      <c r="SWC131" s="210"/>
      <c r="SWD131" s="209"/>
      <c r="SWE131" s="204"/>
      <c r="SWF131" s="204"/>
      <c r="SWG131" s="204"/>
      <c r="SWH131" s="199"/>
      <c r="SWI131" s="167"/>
      <c r="SWJ131" s="199"/>
      <c r="SWK131" s="200"/>
      <c r="SWL131" s="201"/>
      <c r="SWM131" s="202"/>
      <c r="SWN131" s="202"/>
      <c r="SWO131" s="202"/>
      <c r="SWP131" s="202"/>
      <c r="SWQ131" s="203"/>
      <c r="SWR131" s="204"/>
      <c r="SWS131" s="204"/>
      <c r="SWT131" s="204"/>
      <c r="SWU131" s="205"/>
      <c r="SWV131" s="206"/>
      <c r="SWW131" s="207"/>
      <c r="SWX131" s="207"/>
      <c r="SWY131" s="208"/>
      <c r="SWZ131" s="209"/>
      <c r="SXA131" s="207"/>
      <c r="SXB131" s="210"/>
      <c r="SXC131" s="209"/>
      <c r="SXD131" s="204"/>
      <c r="SXE131" s="204"/>
      <c r="SXF131" s="204"/>
      <c r="SXG131" s="199"/>
      <c r="SXH131" s="167"/>
      <c r="SXI131" s="199"/>
      <c r="SXJ131" s="200"/>
      <c r="SXK131" s="201"/>
      <c r="SXL131" s="202"/>
      <c r="SXM131" s="202"/>
      <c r="SXN131" s="202"/>
      <c r="SXO131" s="202"/>
      <c r="SXP131" s="203"/>
      <c r="SXQ131" s="204"/>
      <c r="SXR131" s="204"/>
      <c r="SXS131" s="204"/>
      <c r="SXT131" s="205"/>
      <c r="SXU131" s="206"/>
      <c r="SXV131" s="207"/>
      <c r="SXW131" s="207"/>
      <c r="SXX131" s="208"/>
      <c r="SXY131" s="209"/>
      <c r="SXZ131" s="207"/>
      <c r="SYA131" s="210"/>
      <c r="SYB131" s="209"/>
      <c r="SYC131" s="204"/>
      <c r="SYD131" s="204"/>
      <c r="SYE131" s="204"/>
      <c r="SYF131" s="199"/>
      <c r="SYG131" s="167"/>
      <c r="SYH131" s="199"/>
      <c r="SYI131" s="200"/>
      <c r="SYJ131" s="201"/>
      <c r="SYK131" s="202"/>
      <c r="SYL131" s="202"/>
      <c r="SYM131" s="202"/>
      <c r="SYN131" s="202"/>
      <c r="SYO131" s="203"/>
      <c r="SYP131" s="204"/>
      <c r="SYQ131" s="204"/>
      <c r="SYR131" s="204"/>
      <c r="SYS131" s="205"/>
      <c r="SYT131" s="206"/>
      <c r="SYU131" s="207"/>
      <c r="SYV131" s="207"/>
      <c r="SYW131" s="208"/>
      <c r="SYX131" s="209"/>
      <c r="SYY131" s="207"/>
      <c r="SYZ131" s="210"/>
      <c r="SZA131" s="209"/>
      <c r="SZB131" s="204"/>
      <c r="SZC131" s="204"/>
      <c r="SZD131" s="204"/>
      <c r="SZE131" s="199"/>
      <c r="SZF131" s="167"/>
      <c r="SZG131" s="199"/>
      <c r="SZH131" s="200"/>
      <c r="SZI131" s="201"/>
      <c r="SZJ131" s="202"/>
      <c r="SZK131" s="202"/>
      <c r="SZL131" s="202"/>
      <c r="SZM131" s="202"/>
      <c r="SZN131" s="203"/>
      <c r="SZO131" s="204"/>
      <c r="SZP131" s="204"/>
      <c r="SZQ131" s="204"/>
      <c r="SZR131" s="205"/>
      <c r="SZS131" s="206"/>
      <c r="SZT131" s="207"/>
      <c r="SZU131" s="207"/>
      <c r="SZV131" s="208"/>
      <c r="SZW131" s="209"/>
      <c r="SZX131" s="207"/>
      <c r="SZY131" s="210"/>
      <c r="SZZ131" s="209"/>
      <c r="TAA131" s="204"/>
      <c r="TAB131" s="204"/>
      <c r="TAC131" s="204"/>
      <c r="TAD131" s="199"/>
      <c r="TAE131" s="167"/>
      <c r="TAF131" s="199"/>
      <c r="TAG131" s="200"/>
      <c r="TAH131" s="201"/>
      <c r="TAI131" s="202"/>
      <c r="TAJ131" s="202"/>
      <c r="TAK131" s="202"/>
      <c r="TAL131" s="202"/>
      <c r="TAM131" s="203"/>
      <c r="TAN131" s="204"/>
      <c r="TAO131" s="204"/>
      <c r="TAP131" s="204"/>
      <c r="TAQ131" s="205"/>
      <c r="TAR131" s="206"/>
      <c r="TAS131" s="207"/>
      <c r="TAT131" s="207"/>
      <c r="TAU131" s="208"/>
      <c r="TAV131" s="209"/>
      <c r="TAW131" s="207"/>
      <c r="TAX131" s="210"/>
      <c r="TAY131" s="209"/>
      <c r="TAZ131" s="204"/>
      <c r="TBA131" s="204"/>
      <c r="TBB131" s="204"/>
      <c r="TBC131" s="199"/>
      <c r="TBD131" s="167"/>
      <c r="TBE131" s="199"/>
      <c r="TBF131" s="200"/>
      <c r="TBG131" s="201"/>
      <c r="TBH131" s="202"/>
      <c r="TBI131" s="202"/>
      <c r="TBJ131" s="202"/>
      <c r="TBK131" s="202"/>
      <c r="TBL131" s="203"/>
      <c r="TBM131" s="204"/>
      <c r="TBN131" s="204"/>
      <c r="TBO131" s="204"/>
      <c r="TBP131" s="205"/>
      <c r="TBQ131" s="206"/>
      <c r="TBR131" s="207"/>
      <c r="TBS131" s="207"/>
      <c r="TBT131" s="208"/>
      <c r="TBU131" s="209"/>
      <c r="TBV131" s="207"/>
      <c r="TBW131" s="210"/>
      <c r="TBX131" s="209"/>
      <c r="TBY131" s="204"/>
      <c r="TBZ131" s="204"/>
      <c r="TCA131" s="204"/>
      <c r="TCB131" s="199"/>
      <c r="TCC131" s="167"/>
      <c r="TCD131" s="199"/>
      <c r="TCE131" s="200"/>
      <c r="TCF131" s="201"/>
      <c r="TCG131" s="202"/>
      <c r="TCH131" s="202"/>
      <c r="TCI131" s="202"/>
      <c r="TCJ131" s="202"/>
      <c r="TCK131" s="203"/>
      <c r="TCL131" s="204"/>
      <c r="TCM131" s="204"/>
      <c r="TCN131" s="204"/>
      <c r="TCO131" s="205"/>
      <c r="TCP131" s="206"/>
      <c r="TCQ131" s="207"/>
      <c r="TCR131" s="207"/>
      <c r="TCS131" s="208"/>
      <c r="TCT131" s="209"/>
      <c r="TCU131" s="207"/>
      <c r="TCV131" s="210"/>
      <c r="TCW131" s="209"/>
      <c r="TCX131" s="204"/>
      <c r="TCY131" s="204"/>
      <c r="TCZ131" s="204"/>
      <c r="TDA131" s="199"/>
      <c r="TDB131" s="167"/>
      <c r="TDC131" s="199"/>
      <c r="TDD131" s="200"/>
      <c r="TDE131" s="201"/>
      <c r="TDF131" s="202"/>
      <c r="TDG131" s="202"/>
      <c r="TDH131" s="202"/>
      <c r="TDI131" s="202"/>
      <c r="TDJ131" s="203"/>
      <c r="TDK131" s="204"/>
      <c r="TDL131" s="204"/>
      <c r="TDM131" s="204"/>
      <c r="TDN131" s="205"/>
      <c r="TDO131" s="206"/>
      <c r="TDP131" s="207"/>
      <c r="TDQ131" s="207"/>
      <c r="TDR131" s="208"/>
      <c r="TDS131" s="209"/>
      <c r="TDT131" s="207"/>
      <c r="TDU131" s="210"/>
      <c r="TDV131" s="209"/>
      <c r="TDW131" s="204"/>
      <c r="TDX131" s="204"/>
      <c r="TDY131" s="204"/>
      <c r="TDZ131" s="199"/>
      <c r="TEA131" s="167"/>
      <c r="TEB131" s="199"/>
      <c r="TEC131" s="200"/>
      <c r="TED131" s="201"/>
      <c r="TEE131" s="202"/>
      <c r="TEF131" s="202"/>
      <c r="TEG131" s="202"/>
      <c r="TEH131" s="202"/>
      <c r="TEI131" s="203"/>
      <c r="TEJ131" s="204"/>
      <c r="TEK131" s="204"/>
      <c r="TEL131" s="204"/>
      <c r="TEM131" s="205"/>
      <c r="TEN131" s="206"/>
      <c r="TEO131" s="207"/>
      <c r="TEP131" s="207"/>
      <c r="TEQ131" s="208"/>
      <c r="TER131" s="209"/>
      <c r="TES131" s="207"/>
      <c r="TET131" s="210"/>
      <c r="TEU131" s="209"/>
      <c r="TEV131" s="204"/>
      <c r="TEW131" s="204"/>
      <c r="TEX131" s="204"/>
      <c r="TEY131" s="199"/>
      <c r="TEZ131" s="167"/>
      <c r="TFA131" s="199"/>
      <c r="TFB131" s="200"/>
      <c r="TFC131" s="201"/>
      <c r="TFD131" s="202"/>
      <c r="TFE131" s="202"/>
      <c r="TFF131" s="202"/>
      <c r="TFG131" s="202"/>
      <c r="TFH131" s="203"/>
      <c r="TFI131" s="204"/>
      <c r="TFJ131" s="204"/>
      <c r="TFK131" s="204"/>
      <c r="TFL131" s="205"/>
      <c r="TFM131" s="206"/>
      <c r="TFN131" s="207"/>
      <c r="TFO131" s="207"/>
      <c r="TFP131" s="208"/>
      <c r="TFQ131" s="209"/>
      <c r="TFR131" s="207"/>
      <c r="TFS131" s="210"/>
      <c r="TFT131" s="209"/>
      <c r="TFU131" s="204"/>
      <c r="TFV131" s="204"/>
      <c r="TFW131" s="204"/>
      <c r="TFX131" s="199"/>
      <c r="TFY131" s="167"/>
      <c r="TFZ131" s="199"/>
      <c r="TGA131" s="200"/>
      <c r="TGB131" s="201"/>
      <c r="TGC131" s="202"/>
      <c r="TGD131" s="202"/>
      <c r="TGE131" s="202"/>
      <c r="TGF131" s="202"/>
      <c r="TGG131" s="203"/>
      <c r="TGH131" s="204"/>
      <c r="TGI131" s="204"/>
      <c r="TGJ131" s="204"/>
      <c r="TGK131" s="205"/>
      <c r="TGL131" s="206"/>
      <c r="TGM131" s="207"/>
      <c r="TGN131" s="207"/>
      <c r="TGO131" s="208"/>
      <c r="TGP131" s="209"/>
      <c r="TGQ131" s="207"/>
      <c r="TGR131" s="210"/>
      <c r="TGS131" s="209"/>
      <c r="TGT131" s="204"/>
      <c r="TGU131" s="204"/>
      <c r="TGV131" s="204"/>
      <c r="TGW131" s="199"/>
      <c r="TGX131" s="167"/>
      <c r="TGY131" s="199"/>
      <c r="TGZ131" s="200"/>
      <c r="THA131" s="201"/>
      <c r="THB131" s="202"/>
      <c r="THC131" s="202"/>
      <c r="THD131" s="202"/>
      <c r="THE131" s="202"/>
      <c r="THF131" s="203"/>
      <c r="THG131" s="204"/>
      <c r="THH131" s="204"/>
      <c r="THI131" s="204"/>
      <c r="THJ131" s="205"/>
      <c r="THK131" s="206"/>
      <c r="THL131" s="207"/>
      <c r="THM131" s="207"/>
      <c r="THN131" s="208"/>
      <c r="THO131" s="209"/>
      <c r="THP131" s="207"/>
      <c r="THQ131" s="210"/>
      <c r="THR131" s="209"/>
      <c r="THS131" s="204"/>
      <c r="THT131" s="204"/>
      <c r="THU131" s="204"/>
      <c r="THV131" s="199"/>
      <c r="THW131" s="167"/>
      <c r="THX131" s="199"/>
      <c r="THY131" s="200"/>
      <c r="THZ131" s="201"/>
      <c r="TIA131" s="202"/>
      <c r="TIB131" s="202"/>
      <c r="TIC131" s="202"/>
      <c r="TID131" s="202"/>
      <c r="TIE131" s="203"/>
      <c r="TIF131" s="204"/>
      <c r="TIG131" s="204"/>
      <c r="TIH131" s="204"/>
      <c r="TII131" s="205"/>
      <c r="TIJ131" s="206"/>
      <c r="TIK131" s="207"/>
      <c r="TIL131" s="207"/>
      <c r="TIM131" s="208"/>
      <c r="TIN131" s="209"/>
      <c r="TIO131" s="207"/>
      <c r="TIP131" s="210"/>
      <c r="TIQ131" s="209"/>
      <c r="TIR131" s="204"/>
      <c r="TIS131" s="204"/>
      <c r="TIT131" s="204"/>
      <c r="TIU131" s="199"/>
      <c r="TIV131" s="167"/>
      <c r="TIW131" s="199"/>
      <c r="TIX131" s="200"/>
      <c r="TIY131" s="201"/>
      <c r="TIZ131" s="202"/>
      <c r="TJA131" s="202"/>
      <c r="TJB131" s="202"/>
      <c r="TJC131" s="202"/>
      <c r="TJD131" s="203"/>
      <c r="TJE131" s="204"/>
      <c r="TJF131" s="204"/>
      <c r="TJG131" s="204"/>
      <c r="TJH131" s="205"/>
      <c r="TJI131" s="206"/>
      <c r="TJJ131" s="207"/>
      <c r="TJK131" s="207"/>
      <c r="TJL131" s="208"/>
      <c r="TJM131" s="209"/>
      <c r="TJN131" s="207"/>
      <c r="TJO131" s="210"/>
      <c r="TJP131" s="209"/>
      <c r="TJQ131" s="204"/>
      <c r="TJR131" s="204"/>
      <c r="TJS131" s="204"/>
      <c r="TJT131" s="199"/>
      <c r="TJU131" s="167"/>
      <c r="TJV131" s="199"/>
      <c r="TJW131" s="200"/>
      <c r="TJX131" s="201"/>
      <c r="TJY131" s="202"/>
      <c r="TJZ131" s="202"/>
      <c r="TKA131" s="202"/>
      <c r="TKB131" s="202"/>
      <c r="TKC131" s="203"/>
      <c r="TKD131" s="204"/>
      <c r="TKE131" s="204"/>
      <c r="TKF131" s="204"/>
      <c r="TKG131" s="205"/>
      <c r="TKH131" s="206"/>
      <c r="TKI131" s="207"/>
      <c r="TKJ131" s="207"/>
      <c r="TKK131" s="208"/>
      <c r="TKL131" s="209"/>
      <c r="TKM131" s="207"/>
      <c r="TKN131" s="210"/>
      <c r="TKO131" s="209"/>
      <c r="TKP131" s="204"/>
      <c r="TKQ131" s="204"/>
      <c r="TKR131" s="204"/>
      <c r="TKS131" s="199"/>
      <c r="TKT131" s="167"/>
      <c r="TKU131" s="199"/>
      <c r="TKV131" s="200"/>
      <c r="TKW131" s="201"/>
      <c r="TKX131" s="202"/>
      <c r="TKY131" s="202"/>
      <c r="TKZ131" s="202"/>
      <c r="TLA131" s="202"/>
      <c r="TLB131" s="203"/>
      <c r="TLC131" s="204"/>
      <c r="TLD131" s="204"/>
      <c r="TLE131" s="204"/>
      <c r="TLF131" s="205"/>
      <c r="TLG131" s="206"/>
      <c r="TLH131" s="207"/>
      <c r="TLI131" s="207"/>
      <c r="TLJ131" s="208"/>
      <c r="TLK131" s="209"/>
      <c r="TLL131" s="207"/>
      <c r="TLM131" s="210"/>
      <c r="TLN131" s="209"/>
      <c r="TLO131" s="204"/>
      <c r="TLP131" s="204"/>
      <c r="TLQ131" s="204"/>
      <c r="TLR131" s="199"/>
      <c r="TLS131" s="167"/>
      <c r="TLT131" s="199"/>
      <c r="TLU131" s="200"/>
      <c r="TLV131" s="201"/>
      <c r="TLW131" s="202"/>
      <c r="TLX131" s="202"/>
      <c r="TLY131" s="202"/>
      <c r="TLZ131" s="202"/>
      <c r="TMA131" s="203"/>
      <c r="TMB131" s="204"/>
      <c r="TMC131" s="204"/>
      <c r="TMD131" s="204"/>
      <c r="TME131" s="205"/>
      <c r="TMF131" s="206"/>
      <c r="TMG131" s="207"/>
      <c r="TMH131" s="207"/>
      <c r="TMI131" s="208"/>
      <c r="TMJ131" s="209"/>
      <c r="TMK131" s="207"/>
      <c r="TML131" s="210"/>
      <c r="TMM131" s="209"/>
      <c r="TMN131" s="204"/>
      <c r="TMO131" s="204"/>
      <c r="TMP131" s="204"/>
      <c r="TMQ131" s="199"/>
      <c r="TMR131" s="167"/>
      <c r="TMS131" s="199"/>
      <c r="TMT131" s="200"/>
      <c r="TMU131" s="201"/>
      <c r="TMV131" s="202"/>
      <c r="TMW131" s="202"/>
      <c r="TMX131" s="202"/>
      <c r="TMY131" s="202"/>
      <c r="TMZ131" s="203"/>
      <c r="TNA131" s="204"/>
      <c r="TNB131" s="204"/>
      <c r="TNC131" s="204"/>
      <c r="TND131" s="205"/>
      <c r="TNE131" s="206"/>
      <c r="TNF131" s="207"/>
      <c r="TNG131" s="207"/>
      <c r="TNH131" s="208"/>
      <c r="TNI131" s="209"/>
      <c r="TNJ131" s="207"/>
      <c r="TNK131" s="210"/>
      <c r="TNL131" s="209"/>
      <c r="TNM131" s="204"/>
      <c r="TNN131" s="204"/>
      <c r="TNO131" s="204"/>
      <c r="TNP131" s="199"/>
      <c r="TNQ131" s="167"/>
      <c r="TNR131" s="199"/>
      <c r="TNS131" s="200"/>
      <c r="TNT131" s="201"/>
      <c r="TNU131" s="202"/>
      <c r="TNV131" s="202"/>
      <c r="TNW131" s="202"/>
      <c r="TNX131" s="202"/>
      <c r="TNY131" s="203"/>
      <c r="TNZ131" s="204"/>
      <c r="TOA131" s="204"/>
      <c r="TOB131" s="204"/>
      <c r="TOC131" s="205"/>
      <c r="TOD131" s="206"/>
      <c r="TOE131" s="207"/>
      <c r="TOF131" s="207"/>
      <c r="TOG131" s="208"/>
      <c r="TOH131" s="209"/>
      <c r="TOI131" s="207"/>
      <c r="TOJ131" s="210"/>
      <c r="TOK131" s="209"/>
      <c r="TOL131" s="204"/>
      <c r="TOM131" s="204"/>
      <c r="TON131" s="204"/>
      <c r="TOO131" s="199"/>
      <c r="TOP131" s="167"/>
      <c r="TOQ131" s="199"/>
      <c r="TOR131" s="200"/>
      <c r="TOS131" s="201"/>
      <c r="TOT131" s="202"/>
      <c r="TOU131" s="202"/>
      <c r="TOV131" s="202"/>
      <c r="TOW131" s="202"/>
      <c r="TOX131" s="203"/>
      <c r="TOY131" s="204"/>
      <c r="TOZ131" s="204"/>
      <c r="TPA131" s="204"/>
      <c r="TPB131" s="205"/>
      <c r="TPC131" s="206"/>
      <c r="TPD131" s="207"/>
      <c r="TPE131" s="207"/>
      <c r="TPF131" s="208"/>
      <c r="TPG131" s="209"/>
      <c r="TPH131" s="207"/>
      <c r="TPI131" s="210"/>
      <c r="TPJ131" s="209"/>
      <c r="TPK131" s="204"/>
      <c r="TPL131" s="204"/>
      <c r="TPM131" s="204"/>
      <c r="TPN131" s="199"/>
      <c r="TPO131" s="167"/>
      <c r="TPP131" s="199"/>
      <c r="TPQ131" s="200"/>
      <c r="TPR131" s="201"/>
      <c r="TPS131" s="202"/>
      <c r="TPT131" s="202"/>
      <c r="TPU131" s="202"/>
      <c r="TPV131" s="202"/>
      <c r="TPW131" s="203"/>
      <c r="TPX131" s="204"/>
      <c r="TPY131" s="204"/>
      <c r="TPZ131" s="204"/>
      <c r="TQA131" s="205"/>
      <c r="TQB131" s="206"/>
      <c r="TQC131" s="207"/>
      <c r="TQD131" s="207"/>
      <c r="TQE131" s="208"/>
      <c r="TQF131" s="209"/>
      <c r="TQG131" s="207"/>
      <c r="TQH131" s="210"/>
      <c r="TQI131" s="209"/>
      <c r="TQJ131" s="204"/>
      <c r="TQK131" s="204"/>
      <c r="TQL131" s="204"/>
      <c r="TQM131" s="199"/>
      <c r="TQN131" s="167"/>
      <c r="TQO131" s="199"/>
      <c r="TQP131" s="200"/>
      <c r="TQQ131" s="201"/>
      <c r="TQR131" s="202"/>
      <c r="TQS131" s="202"/>
      <c r="TQT131" s="202"/>
      <c r="TQU131" s="202"/>
      <c r="TQV131" s="203"/>
      <c r="TQW131" s="204"/>
      <c r="TQX131" s="204"/>
      <c r="TQY131" s="204"/>
      <c r="TQZ131" s="205"/>
      <c r="TRA131" s="206"/>
      <c r="TRB131" s="207"/>
      <c r="TRC131" s="207"/>
      <c r="TRD131" s="208"/>
      <c r="TRE131" s="209"/>
      <c r="TRF131" s="207"/>
      <c r="TRG131" s="210"/>
      <c r="TRH131" s="209"/>
      <c r="TRI131" s="204"/>
      <c r="TRJ131" s="204"/>
      <c r="TRK131" s="204"/>
      <c r="TRL131" s="199"/>
      <c r="TRM131" s="167"/>
      <c r="TRN131" s="199"/>
      <c r="TRO131" s="200"/>
      <c r="TRP131" s="201"/>
      <c r="TRQ131" s="202"/>
      <c r="TRR131" s="202"/>
      <c r="TRS131" s="202"/>
      <c r="TRT131" s="202"/>
      <c r="TRU131" s="203"/>
      <c r="TRV131" s="204"/>
      <c r="TRW131" s="204"/>
      <c r="TRX131" s="204"/>
      <c r="TRY131" s="205"/>
      <c r="TRZ131" s="206"/>
      <c r="TSA131" s="207"/>
      <c r="TSB131" s="207"/>
      <c r="TSC131" s="208"/>
      <c r="TSD131" s="209"/>
      <c r="TSE131" s="207"/>
      <c r="TSF131" s="210"/>
      <c r="TSG131" s="209"/>
      <c r="TSH131" s="204"/>
      <c r="TSI131" s="204"/>
      <c r="TSJ131" s="204"/>
      <c r="TSK131" s="199"/>
      <c r="TSL131" s="167"/>
      <c r="TSM131" s="199"/>
      <c r="TSN131" s="200"/>
      <c r="TSO131" s="201"/>
      <c r="TSP131" s="202"/>
      <c r="TSQ131" s="202"/>
      <c r="TSR131" s="202"/>
      <c r="TSS131" s="202"/>
      <c r="TST131" s="203"/>
      <c r="TSU131" s="204"/>
      <c r="TSV131" s="204"/>
      <c r="TSW131" s="204"/>
      <c r="TSX131" s="205"/>
      <c r="TSY131" s="206"/>
      <c r="TSZ131" s="207"/>
      <c r="TTA131" s="207"/>
      <c r="TTB131" s="208"/>
      <c r="TTC131" s="209"/>
      <c r="TTD131" s="207"/>
      <c r="TTE131" s="210"/>
      <c r="TTF131" s="209"/>
      <c r="TTG131" s="204"/>
      <c r="TTH131" s="204"/>
      <c r="TTI131" s="204"/>
      <c r="TTJ131" s="199"/>
      <c r="TTK131" s="167"/>
      <c r="TTL131" s="199"/>
      <c r="TTM131" s="200"/>
      <c r="TTN131" s="201"/>
      <c r="TTO131" s="202"/>
      <c r="TTP131" s="202"/>
      <c r="TTQ131" s="202"/>
      <c r="TTR131" s="202"/>
      <c r="TTS131" s="203"/>
      <c r="TTT131" s="204"/>
      <c r="TTU131" s="204"/>
      <c r="TTV131" s="204"/>
      <c r="TTW131" s="205"/>
      <c r="TTX131" s="206"/>
      <c r="TTY131" s="207"/>
      <c r="TTZ131" s="207"/>
      <c r="TUA131" s="208"/>
      <c r="TUB131" s="209"/>
      <c r="TUC131" s="207"/>
      <c r="TUD131" s="210"/>
      <c r="TUE131" s="209"/>
      <c r="TUF131" s="204"/>
      <c r="TUG131" s="204"/>
      <c r="TUH131" s="204"/>
      <c r="TUI131" s="199"/>
      <c r="TUJ131" s="167"/>
      <c r="TUK131" s="199"/>
      <c r="TUL131" s="200"/>
      <c r="TUM131" s="201"/>
      <c r="TUN131" s="202"/>
      <c r="TUO131" s="202"/>
      <c r="TUP131" s="202"/>
      <c r="TUQ131" s="202"/>
      <c r="TUR131" s="203"/>
      <c r="TUS131" s="204"/>
      <c r="TUT131" s="204"/>
      <c r="TUU131" s="204"/>
      <c r="TUV131" s="205"/>
      <c r="TUW131" s="206"/>
      <c r="TUX131" s="207"/>
      <c r="TUY131" s="207"/>
      <c r="TUZ131" s="208"/>
      <c r="TVA131" s="209"/>
      <c r="TVB131" s="207"/>
      <c r="TVC131" s="210"/>
      <c r="TVD131" s="209"/>
      <c r="TVE131" s="204"/>
      <c r="TVF131" s="204"/>
      <c r="TVG131" s="204"/>
      <c r="TVH131" s="199"/>
      <c r="TVI131" s="167"/>
      <c r="TVJ131" s="199"/>
      <c r="TVK131" s="200"/>
      <c r="TVL131" s="201"/>
      <c r="TVM131" s="202"/>
      <c r="TVN131" s="202"/>
      <c r="TVO131" s="202"/>
      <c r="TVP131" s="202"/>
      <c r="TVQ131" s="203"/>
      <c r="TVR131" s="204"/>
      <c r="TVS131" s="204"/>
      <c r="TVT131" s="204"/>
      <c r="TVU131" s="205"/>
      <c r="TVV131" s="206"/>
      <c r="TVW131" s="207"/>
      <c r="TVX131" s="207"/>
      <c r="TVY131" s="208"/>
      <c r="TVZ131" s="209"/>
      <c r="TWA131" s="207"/>
      <c r="TWB131" s="210"/>
      <c r="TWC131" s="209"/>
      <c r="TWD131" s="204"/>
      <c r="TWE131" s="204"/>
      <c r="TWF131" s="204"/>
      <c r="TWG131" s="199"/>
      <c r="TWH131" s="167"/>
      <c r="TWI131" s="199"/>
      <c r="TWJ131" s="200"/>
      <c r="TWK131" s="201"/>
      <c r="TWL131" s="202"/>
      <c r="TWM131" s="202"/>
      <c r="TWN131" s="202"/>
      <c r="TWO131" s="202"/>
      <c r="TWP131" s="203"/>
      <c r="TWQ131" s="204"/>
      <c r="TWR131" s="204"/>
      <c r="TWS131" s="204"/>
      <c r="TWT131" s="205"/>
      <c r="TWU131" s="206"/>
      <c r="TWV131" s="207"/>
      <c r="TWW131" s="207"/>
      <c r="TWX131" s="208"/>
      <c r="TWY131" s="209"/>
      <c r="TWZ131" s="207"/>
      <c r="TXA131" s="210"/>
      <c r="TXB131" s="209"/>
      <c r="TXC131" s="204"/>
      <c r="TXD131" s="204"/>
      <c r="TXE131" s="204"/>
      <c r="TXF131" s="199"/>
      <c r="TXG131" s="167"/>
      <c r="TXH131" s="199"/>
      <c r="TXI131" s="200"/>
      <c r="TXJ131" s="201"/>
      <c r="TXK131" s="202"/>
      <c r="TXL131" s="202"/>
      <c r="TXM131" s="202"/>
      <c r="TXN131" s="202"/>
      <c r="TXO131" s="203"/>
      <c r="TXP131" s="204"/>
      <c r="TXQ131" s="204"/>
      <c r="TXR131" s="204"/>
      <c r="TXS131" s="205"/>
      <c r="TXT131" s="206"/>
      <c r="TXU131" s="207"/>
      <c r="TXV131" s="207"/>
      <c r="TXW131" s="208"/>
      <c r="TXX131" s="209"/>
      <c r="TXY131" s="207"/>
      <c r="TXZ131" s="210"/>
      <c r="TYA131" s="209"/>
      <c r="TYB131" s="204"/>
      <c r="TYC131" s="204"/>
      <c r="TYD131" s="204"/>
      <c r="TYE131" s="199"/>
      <c r="TYF131" s="167"/>
      <c r="TYG131" s="199"/>
      <c r="TYH131" s="200"/>
      <c r="TYI131" s="201"/>
      <c r="TYJ131" s="202"/>
      <c r="TYK131" s="202"/>
      <c r="TYL131" s="202"/>
      <c r="TYM131" s="202"/>
      <c r="TYN131" s="203"/>
      <c r="TYO131" s="204"/>
      <c r="TYP131" s="204"/>
      <c r="TYQ131" s="204"/>
      <c r="TYR131" s="205"/>
      <c r="TYS131" s="206"/>
      <c r="TYT131" s="207"/>
      <c r="TYU131" s="207"/>
      <c r="TYV131" s="208"/>
      <c r="TYW131" s="209"/>
      <c r="TYX131" s="207"/>
      <c r="TYY131" s="210"/>
      <c r="TYZ131" s="209"/>
      <c r="TZA131" s="204"/>
      <c r="TZB131" s="204"/>
      <c r="TZC131" s="204"/>
      <c r="TZD131" s="199"/>
      <c r="TZE131" s="167"/>
      <c r="TZF131" s="199"/>
      <c r="TZG131" s="200"/>
      <c r="TZH131" s="201"/>
      <c r="TZI131" s="202"/>
      <c r="TZJ131" s="202"/>
      <c r="TZK131" s="202"/>
      <c r="TZL131" s="202"/>
      <c r="TZM131" s="203"/>
      <c r="TZN131" s="204"/>
      <c r="TZO131" s="204"/>
      <c r="TZP131" s="204"/>
      <c r="TZQ131" s="205"/>
      <c r="TZR131" s="206"/>
      <c r="TZS131" s="207"/>
      <c r="TZT131" s="207"/>
      <c r="TZU131" s="208"/>
      <c r="TZV131" s="209"/>
      <c r="TZW131" s="207"/>
      <c r="TZX131" s="210"/>
      <c r="TZY131" s="209"/>
      <c r="TZZ131" s="204"/>
      <c r="UAA131" s="204"/>
      <c r="UAB131" s="204"/>
      <c r="UAC131" s="199"/>
      <c r="UAD131" s="167"/>
      <c r="UAE131" s="199"/>
      <c r="UAF131" s="200"/>
      <c r="UAG131" s="201"/>
      <c r="UAH131" s="202"/>
      <c r="UAI131" s="202"/>
      <c r="UAJ131" s="202"/>
      <c r="UAK131" s="202"/>
      <c r="UAL131" s="203"/>
      <c r="UAM131" s="204"/>
      <c r="UAN131" s="204"/>
      <c r="UAO131" s="204"/>
      <c r="UAP131" s="205"/>
      <c r="UAQ131" s="206"/>
      <c r="UAR131" s="207"/>
      <c r="UAS131" s="207"/>
      <c r="UAT131" s="208"/>
      <c r="UAU131" s="209"/>
      <c r="UAV131" s="207"/>
      <c r="UAW131" s="210"/>
      <c r="UAX131" s="209"/>
      <c r="UAY131" s="204"/>
      <c r="UAZ131" s="204"/>
      <c r="UBA131" s="204"/>
      <c r="UBB131" s="199"/>
      <c r="UBC131" s="167"/>
      <c r="UBD131" s="199"/>
      <c r="UBE131" s="200"/>
      <c r="UBF131" s="201"/>
      <c r="UBG131" s="202"/>
      <c r="UBH131" s="202"/>
      <c r="UBI131" s="202"/>
      <c r="UBJ131" s="202"/>
      <c r="UBK131" s="203"/>
      <c r="UBL131" s="204"/>
      <c r="UBM131" s="204"/>
      <c r="UBN131" s="204"/>
      <c r="UBO131" s="205"/>
      <c r="UBP131" s="206"/>
      <c r="UBQ131" s="207"/>
      <c r="UBR131" s="207"/>
      <c r="UBS131" s="208"/>
      <c r="UBT131" s="209"/>
      <c r="UBU131" s="207"/>
      <c r="UBV131" s="210"/>
      <c r="UBW131" s="209"/>
      <c r="UBX131" s="204"/>
      <c r="UBY131" s="204"/>
      <c r="UBZ131" s="204"/>
      <c r="UCA131" s="199"/>
      <c r="UCB131" s="167"/>
      <c r="UCC131" s="199"/>
      <c r="UCD131" s="200"/>
      <c r="UCE131" s="201"/>
      <c r="UCF131" s="202"/>
      <c r="UCG131" s="202"/>
      <c r="UCH131" s="202"/>
      <c r="UCI131" s="202"/>
      <c r="UCJ131" s="203"/>
      <c r="UCK131" s="204"/>
      <c r="UCL131" s="204"/>
      <c r="UCM131" s="204"/>
      <c r="UCN131" s="205"/>
      <c r="UCO131" s="206"/>
      <c r="UCP131" s="207"/>
      <c r="UCQ131" s="207"/>
      <c r="UCR131" s="208"/>
      <c r="UCS131" s="209"/>
      <c r="UCT131" s="207"/>
      <c r="UCU131" s="210"/>
      <c r="UCV131" s="209"/>
      <c r="UCW131" s="204"/>
      <c r="UCX131" s="204"/>
      <c r="UCY131" s="204"/>
      <c r="UCZ131" s="199"/>
      <c r="UDA131" s="167"/>
      <c r="UDB131" s="199"/>
      <c r="UDC131" s="200"/>
      <c r="UDD131" s="201"/>
      <c r="UDE131" s="202"/>
      <c r="UDF131" s="202"/>
      <c r="UDG131" s="202"/>
      <c r="UDH131" s="202"/>
      <c r="UDI131" s="203"/>
      <c r="UDJ131" s="204"/>
      <c r="UDK131" s="204"/>
      <c r="UDL131" s="204"/>
      <c r="UDM131" s="205"/>
      <c r="UDN131" s="206"/>
      <c r="UDO131" s="207"/>
      <c r="UDP131" s="207"/>
      <c r="UDQ131" s="208"/>
      <c r="UDR131" s="209"/>
      <c r="UDS131" s="207"/>
      <c r="UDT131" s="210"/>
      <c r="UDU131" s="209"/>
      <c r="UDV131" s="204"/>
      <c r="UDW131" s="204"/>
      <c r="UDX131" s="204"/>
      <c r="UDY131" s="199"/>
      <c r="UDZ131" s="167"/>
      <c r="UEA131" s="199"/>
      <c r="UEB131" s="200"/>
      <c r="UEC131" s="201"/>
      <c r="UED131" s="202"/>
      <c r="UEE131" s="202"/>
      <c r="UEF131" s="202"/>
      <c r="UEG131" s="202"/>
      <c r="UEH131" s="203"/>
      <c r="UEI131" s="204"/>
      <c r="UEJ131" s="204"/>
      <c r="UEK131" s="204"/>
      <c r="UEL131" s="205"/>
      <c r="UEM131" s="206"/>
      <c r="UEN131" s="207"/>
      <c r="UEO131" s="207"/>
      <c r="UEP131" s="208"/>
      <c r="UEQ131" s="209"/>
      <c r="UER131" s="207"/>
      <c r="UES131" s="210"/>
      <c r="UET131" s="209"/>
      <c r="UEU131" s="204"/>
      <c r="UEV131" s="204"/>
      <c r="UEW131" s="204"/>
      <c r="UEX131" s="199"/>
      <c r="UEY131" s="167"/>
      <c r="UEZ131" s="199"/>
      <c r="UFA131" s="200"/>
      <c r="UFB131" s="201"/>
      <c r="UFC131" s="202"/>
      <c r="UFD131" s="202"/>
      <c r="UFE131" s="202"/>
      <c r="UFF131" s="202"/>
      <c r="UFG131" s="203"/>
      <c r="UFH131" s="204"/>
      <c r="UFI131" s="204"/>
      <c r="UFJ131" s="204"/>
      <c r="UFK131" s="205"/>
      <c r="UFL131" s="206"/>
      <c r="UFM131" s="207"/>
      <c r="UFN131" s="207"/>
      <c r="UFO131" s="208"/>
      <c r="UFP131" s="209"/>
      <c r="UFQ131" s="207"/>
      <c r="UFR131" s="210"/>
      <c r="UFS131" s="209"/>
      <c r="UFT131" s="204"/>
      <c r="UFU131" s="204"/>
      <c r="UFV131" s="204"/>
      <c r="UFW131" s="199"/>
      <c r="UFX131" s="167"/>
      <c r="UFY131" s="199"/>
      <c r="UFZ131" s="200"/>
      <c r="UGA131" s="201"/>
      <c r="UGB131" s="202"/>
      <c r="UGC131" s="202"/>
      <c r="UGD131" s="202"/>
      <c r="UGE131" s="202"/>
      <c r="UGF131" s="203"/>
      <c r="UGG131" s="204"/>
      <c r="UGH131" s="204"/>
      <c r="UGI131" s="204"/>
      <c r="UGJ131" s="205"/>
      <c r="UGK131" s="206"/>
      <c r="UGL131" s="207"/>
      <c r="UGM131" s="207"/>
      <c r="UGN131" s="208"/>
      <c r="UGO131" s="209"/>
      <c r="UGP131" s="207"/>
      <c r="UGQ131" s="210"/>
      <c r="UGR131" s="209"/>
      <c r="UGS131" s="204"/>
      <c r="UGT131" s="204"/>
      <c r="UGU131" s="204"/>
      <c r="UGV131" s="199"/>
      <c r="UGW131" s="167"/>
      <c r="UGX131" s="199"/>
      <c r="UGY131" s="200"/>
      <c r="UGZ131" s="201"/>
      <c r="UHA131" s="202"/>
      <c r="UHB131" s="202"/>
      <c r="UHC131" s="202"/>
      <c r="UHD131" s="202"/>
      <c r="UHE131" s="203"/>
      <c r="UHF131" s="204"/>
      <c r="UHG131" s="204"/>
      <c r="UHH131" s="204"/>
      <c r="UHI131" s="205"/>
      <c r="UHJ131" s="206"/>
      <c r="UHK131" s="207"/>
      <c r="UHL131" s="207"/>
      <c r="UHM131" s="208"/>
      <c r="UHN131" s="209"/>
      <c r="UHO131" s="207"/>
      <c r="UHP131" s="210"/>
      <c r="UHQ131" s="209"/>
      <c r="UHR131" s="204"/>
      <c r="UHS131" s="204"/>
      <c r="UHT131" s="204"/>
      <c r="UHU131" s="199"/>
      <c r="UHV131" s="167"/>
      <c r="UHW131" s="199"/>
      <c r="UHX131" s="200"/>
      <c r="UHY131" s="201"/>
      <c r="UHZ131" s="202"/>
      <c r="UIA131" s="202"/>
      <c r="UIB131" s="202"/>
      <c r="UIC131" s="202"/>
      <c r="UID131" s="203"/>
      <c r="UIE131" s="204"/>
      <c r="UIF131" s="204"/>
      <c r="UIG131" s="204"/>
      <c r="UIH131" s="205"/>
      <c r="UII131" s="206"/>
      <c r="UIJ131" s="207"/>
      <c r="UIK131" s="207"/>
      <c r="UIL131" s="208"/>
      <c r="UIM131" s="209"/>
      <c r="UIN131" s="207"/>
      <c r="UIO131" s="210"/>
      <c r="UIP131" s="209"/>
      <c r="UIQ131" s="204"/>
      <c r="UIR131" s="204"/>
      <c r="UIS131" s="204"/>
      <c r="UIT131" s="199"/>
      <c r="UIU131" s="167"/>
      <c r="UIV131" s="199"/>
      <c r="UIW131" s="200"/>
      <c r="UIX131" s="201"/>
      <c r="UIY131" s="202"/>
      <c r="UIZ131" s="202"/>
      <c r="UJA131" s="202"/>
      <c r="UJB131" s="202"/>
      <c r="UJC131" s="203"/>
      <c r="UJD131" s="204"/>
      <c r="UJE131" s="204"/>
      <c r="UJF131" s="204"/>
      <c r="UJG131" s="205"/>
      <c r="UJH131" s="206"/>
      <c r="UJI131" s="207"/>
      <c r="UJJ131" s="207"/>
      <c r="UJK131" s="208"/>
      <c r="UJL131" s="209"/>
      <c r="UJM131" s="207"/>
      <c r="UJN131" s="210"/>
      <c r="UJO131" s="209"/>
      <c r="UJP131" s="204"/>
      <c r="UJQ131" s="204"/>
      <c r="UJR131" s="204"/>
      <c r="UJS131" s="199"/>
      <c r="UJT131" s="167"/>
      <c r="UJU131" s="199"/>
      <c r="UJV131" s="200"/>
      <c r="UJW131" s="201"/>
      <c r="UJX131" s="202"/>
      <c r="UJY131" s="202"/>
      <c r="UJZ131" s="202"/>
      <c r="UKA131" s="202"/>
      <c r="UKB131" s="203"/>
      <c r="UKC131" s="204"/>
      <c r="UKD131" s="204"/>
      <c r="UKE131" s="204"/>
      <c r="UKF131" s="205"/>
      <c r="UKG131" s="206"/>
      <c r="UKH131" s="207"/>
      <c r="UKI131" s="207"/>
      <c r="UKJ131" s="208"/>
      <c r="UKK131" s="209"/>
      <c r="UKL131" s="207"/>
      <c r="UKM131" s="210"/>
      <c r="UKN131" s="209"/>
      <c r="UKO131" s="204"/>
      <c r="UKP131" s="204"/>
      <c r="UKQ131" s="204"/>
      <c r="UKR131" s="199"/>
      <c r="UKS131" s="167"/>
      <c r="UKT131" s="199"/>
      <c r="UKU131" s="200"/>
      <c r="UKV131" s="201"/>
      <c r="UKW131" s="202"/>
      <c r="UKX131" s="202"/>
      <c r="UKY131" s="202"/>
      <c r="UKZ131" s="202"/>
      <c r="ULA131" s="203"/>
      <c r="ULB131" s="204"/>
      <c r="ULC131" s="204"/>
      <c r="ULD131" s="204"/>
      <c r="ULE131" s="205"/>
      <c r="ULF131" s="206"/>
      <c r="ULG131" s="207"/>
      <c r="ULH131" s="207"/>
      <c r="ULI131" s="208"/>
      <c r="ULJ131" s="209"/>
      <c r="ULK131" s="207"/>
      <c r="ULL131" s="210"/>
      <c r="ULM131" s="209"/>
      <c r="ULN131" s="204"/>
      <c r="ULO131" s="204"/>
      <c r="ULP131" s="204"/>
      <c r="ULQ131" s="199"/>
      <c r="ULR131" s="167"/>
      <c r="ULS131" s="199"/>
      <c r="ULT131" s="200"/>
      <c r="ULU131" s="201"/>
      <c r="ULV131" s="202"/>
      <c r="ULW131" s="202"/>
      <c r="ULX131" s="202"/>
      <c r="ULY131" s="202"/>
      <c r="ULZ131" s="203"/>
      <c r="UMA131" s="204"/>
      <c r="UMB131" s="204"/>
      <c r="UMC131" s="204"/>
      <c r="UMD131" s="205"/>
      <c r="UME131" s="206"/>
      <c r="UMF131" s="207"/>
      <c r="UMG131" s="207"/>
      <c r="UMH131" s="208"/>
      <c r="UMI131" s="209"/>
      <c r="UMJ131" s="207"/>
      <c r="UMK131" s="210"/>
      <c r="UML131" s="209"/>
      <c r="UMM131" s="204"/>
      <c r="UMN131" s="204"/>
      <c r="UMO131" s="204"/>
      <c r="UMP131" s="199"/>
      <c r="UMQ131" s="167"/>
      <c r="UMR131" s="199"/>
      <c r="UMS131" s="200"/>
      <c r="UMT131" s="201"/>
      <c r="UMU131" s="202"/>
      <c r="UMV131" s="202"/>
      <c r="UMW131" s="202"/>
      <c r="UMX131" s="202"/>
      <c r="UMY131" s="203"/>
      <c r="UMZ131" s="204"/>
      <c r="UNA131" s="204"/>
      <c r="UNB131" s="204"/>
      <c r="UNC131" s="205"/>
      <c r="UND131" s="206"/>
      <c r="UNE131" s="207"/>
      <c r="UNF131" s="207"/>
      <c r="UNG131" s="208"/>
      <c r="UNH131" s="209"/>
      <c r="UNI131" s="207"/>
      <c r="UNJ131" s="210"/>
      <c r="UNK131" s="209"/>
      <c r="UNL131" s="204"/>
      <c r="UNM131" s="204"/>
      <c r="UNN131" s="204"/>
      <c r="UNO131" s="199"/>
      <c r="UNP131" s="167"/>
      <c r="UNQ131" s="199"/>
      <c r="UNR131" s="200"/>
      <c r="UNS131" s="201"/>
      <c r="UNT131" s="202"/>
      <c r="UNU131" s="202"/>
      <c r="UNV131" s="202"/>
      <c r="UNW131" s="202"/>
      <c r="UNX131" s="203"/>
      <c r="UNY131" s="204"/>
      <c r="UNZ131" s="204"/>
      <c r="UOA131" s="204"/>
      <c r="UOB131" s="205"/>
      <c r="UOC131" s="206"/>
      <c r="UOD131" s="207"/>
      <c r="UOE131" s="207"/>
      <c r="UOF131" s="208"/>
      <c r="UOG131" s="209"/>
      <c r="UOH131" s="207"/>
      <c r="UOI131" s="210"/>
      <c r="UOJ131" s="209"/>
      <c r="UOK131" s="204"/>
      <c r="UOL131" s="204"/>
      <c r="UOM131" s="204"/>
      <c r="UON131" s="199"/>
      <c r="UOO131" s="167"/>
      <c r="UOP131" s="199"/>
      <c r="UOQ131" s="200"/>
      <c r="UOR131" s="201"/>
      <c r="UOS131" s="202"/>
      <c r="UOT131" s="202"/>
      <c r="UOU131" s="202"/>
      <c r="UOV131" s="202"/>
      <c r="UOW131" s="203"/>
      <c r="UOX131" s="204"/>
      <c r="UOY131" s="204"/>
      <c r="UOZ131" s="204"/>
      <c r="UPA131" s="205"/>
      <c r="UPB131" s="206"/>
      <c r="UPC131" s="207"/>
      <c r="UPD131" s="207"/>
      <c r="UPE131" s="208"/>
      <c r="UPF131" s="209"/>
      <c r="UPG131" s="207"/>
      <c r="UPH131" s="210"/>
      <c r="UPI131" s="209"/>
      <c r="UPJ131" s="204"/>
      <c r="UPK131" s="204"/>
      <c r="UPL131" s="204"/>
      <c r="UPM131" s="199"/>
      <c r="UPN131" s="167"/>
      <c r="UPO131" s="199"/>
      <c r="UPP131" s="200"/>
      <c r="UPQ131" s="201"/>
      <c r="UPR131" s="202"/>
      <c r="UPS131" s="202"/>
      <c r="UPT131" s="202"/>
      <c r="UPU131" s="202"/>
      <c r="UPV131" s="203"/>
      <c r="UPW131" s="204"/>
      <c r="UPX131" s="204"/>
      <c r="UPY131" s="204"/>
      <c r="UPZ131" s="205"/>
      <c r="UQA131" s="206"/>
      <c r="UQB131" s="207"/>
      <c r="UQC131" s="207"/>
      <c r="UQD131" s="208"/>
      <c r="UQE131" s="209"/>
      <c r="UQF131" s="207"/>
      <c r="UQG131" s="210"/>
      <c r="UQH131" s="209"/>
      <c r="UQI131" s="204"/>
      <c r="UQJ131" s="204"/>
      <c r="UQK131" s="204"/>
      <c r="UQL131" s="199"/>
      <c r="UQM131" s="167"/>
      <c r="UQN131" s="199"/>
      <c r="UQO131" s="200"/>
      <c r="UQP131" s="201"/>
      <c r="UQQ131" s="202"/>
      <c r="UQR131" s="202"/>
      <c r="UQS131" s="202"/>
      <c r="UQT131" s="202"/>
      <c r="UQU131" s="203"/>
      <c r="UQV131" s="204"/>
      <c r="UQW131" s="204"/>
      <c r="UQX131" s="204"/>
      <c r="UQY131" s="205"/>
      <c r="UQZ131" s="206"/>
      <c r="URA131" s="207"/>
      <c r="URB131" s="207"/>
      <c r="URC131" s="208"/>
      <c r="URD131" s="209"/>
      <c r="URE131" s="207"/>
      <c r="URF131" s="210"/>
      <c r="URG131" s="209"/>
      <c r="URH131" s="204"/>
      <c r="URI131" s="204"/>
      <c r="URJ131" s="204"/>
      <c r="URK131" s="199"/>
      <c r="URL131" s="167"/>
      <c r="URM131" s="199"/>
      <c r="URN131" s="200"/>
      <c r="URO131" s="201"/>
      <c r="URP131" s="202"/>
      <c r="URQ131" s="202"/>
      <c r="URR131" s="202"/>
      <c r="URS131" s="202"/>
      <c r="URT131" s="203"/>
      <c r="URU131" s="204"/>
      <c r="URV131" s="204"/>
      <c r="URW131" s="204"/>
      <c r="URX131" s="205"/>
      <c r="URY131" s="206"/>
      <c r="URZ131" s="207"/>
      <c r="USA131" s="207"/>
      <c r="USB131" s="208"/>
      <c r="USC131" s="209"/>
      <c r="USD131" s="207"/>
      <c r="USE131" s="210"/>
      <c r="USF131" s="209"/>
      <c r="USG131" s="204"/>
      <c r="USH131" s="204"/>
      <c r="USI131" s="204"/>
      <c r="USJ131" s="199"/>
      <c r="USK131" s="167"/>
      <c r="USL131" s="199"/>
      <c r="USM131" s="200"/>
      <c r="USN131" s="201"/>
      <c r="USO131" s="202"/>
      <c r="USP131" s="202"/>
      <c r="USQ131" s="202"/>
      <c r="USR131" s="202"/>
      <c r="USS131" s="203"/>
      <c r="UST131" s="204"/>
      <c r="USU131" s="204"/>
      <c r="USV131" s="204"/>
      <c r="USW131" s="205"/>
      <c r="USX131" s="206"/>
      <c r="USY131" s="207"/>
      <c r="USZ131" s="207"/>
      <c r="UTA131" s="208"/>
      <c r="UTB131" s="209"/>
      <c r="UTC131" s="207"/>
      <c r="UTD131" s="210"/>
      <c r="UTE131" s="209"/>
      <c r="UTF131" s="204"/>
      <c r="UTG131" s="204"/>
      <c r="UTH131" s="204"/>
      <c r="UTI131" s="199"/>
      <c r="UTJ131" s="167"/>
      <c r="UTK131" s="199"/>
      <c r="UTL131" s="200"/>
      <c r="UTM131" s="201"/>
      <c r="UTN131" s="202"/>
      <c r="UTO131" s="202"/>
      <c r="UTP131" s="202"/>
      <c r="UTQ131" s="202"/>
      <c r="UTR131" s="203"/>
      <c r="UTS131" s="204"/>
      <c r="UTT131" s="204"/>
      <c r="UTU131" s="204"/>
      <c r="UTV131" s="205"/>
      <c r="UTW131" s="206"/>
      <c r="UTX131" s="207"/>
      <c r="UTY131" s="207"/>
      <c r="UTZ131" s="208"/>
      <c r="UUA131" s="209"/>
      <c r="UUB131" s="207"/>
      <c r="UUC131" s="210"/>
      <c r="UUD131" s="209"/>
      <c r="UUE131" s="204"/>
      <c r="UUF131" s="204"/>
      <c r="UUG131" s="204"/>
      <c r="UUH131" s="199"/>
      <c r="UUI131" s="167"/>
      <c r="UUJ131" s="199"/>
      <c r="UUK131" s="200"/>
      <c r="UUL131" s="201"/>
      <c r="UUM131" s="202"/>
      <c r="UUN131" s="202"/>
      <c r="UUO131" s="202"/>
      <c r="UUP131" s="202"/>
      <c r="UUQ131" s="203"/>
      <c r="UUR131" s="204"/>
      <c r="UUS131" s="204"/>
      <c r="UUT131" s="204"/>
      <c r="UUU131" s="205"/>
      <c r="UUV131" s="206"/>
      <c r="UUW131" s="207"/>
      <c r="UUX131" s="207"/>
      <c r="UUY131" s="208"/>
      <c r="UUZ131" s="209"/>
      <c r="UVA131" s="207"/>
      <c r="UVB131" s="210"/>
      <c r="UVC131" s="209"/>
      <c r="UVD131" s="204"/>
      <c r="UVE131" s="204"/>
      <c r="UVF131" s="204"/>
      <c r="UVG131" s="199"/>
      <c r="UVH131" s="167"/>
      <c r="UVI131" s="199"/>
      <c r="UVJ131" s="200"/>
      <c r="UVK131" s="201"/>
      <c r="UVL131" s="202"/>
      <c r="UVM131" s="202"/>
      <c r="UVN131" s="202"/>
      <c r="UVO131" s="202"/>
      <c r="UVP131" s="203"/>
      <c r="UVQ131" s="204"/>
      <c r="UVR131" s="204"/>
      <c r="UVS131" s="204"/>
      <c r="UVT131" s="205"/>
      <c r="UVU131" s="206"/>
      <c r="UVV131" s="207"/>
      <c r="UVW131" s="207"/>
      <c r="UVX131" s="208"/>
      <c r="UVY131" s="209"/>
      <c r="UVZ131" s="207"/>
      <c r="UWA131" s="210"/>
      <c r="UWB131" s="209"/>
      <c r="UWC131" s="204"/>
      <c r="UWD131" s="204"/>
      <c r="UWE131" s="204"/>
      <c r="UWF131" s="199"/>
      <c r="UWG131" s="167"/>
      <c r="UWH131" s="199"/>
      <c r="UWI131" s="200"/>
      <c r="UWJ131" s="201"/>
      <c r="UWK131" s="202"/>
      <c r="UWL131" s="202"/>
      <c r="UWM131" s="202"/>
      <c r="UWN131" s="202"/>
      <c r="UWO131" s="203"/>
      <c r="UWP131" s="204"/>
      <c r="UWQ131" s="204"/>
      <c r="UWR131" s="204"/>
      <c r="UWS131" s="205"/>
      <c r="UWT131" s="206"/>
      <c r="UWU131" s="207"/>
      <c r="UWV131" s="207"/>
      <c r="UWW131" s="208"/>
      <c r="UWX131" s="209"/>
      <c r="UWY131" s="207"/>
      <c r="UWZ131" s="210"/>
      <c r="UXA131" s="209"/>
      <c r="UXB131" s="204"/>
      <c r="UXC131" s="204"/>
      <c r="UXD131" s="204"/>
      <c r="UXE131" s="199"/>
      <c r="UXF131" s="167"/>
      <c r="UXG131" s="199"/>
      <c r="UXH131" s="200"/>
      <c r="UXI131" s="201"/>
      <c r="UXJ131" s="202"/>
      <c r="UXK131" s="202"/>
      <c r="UXL131" s="202"/>
      <c r="UXM131" s="202"/>
      <c r="UXN131" s="203"/>
      <c r="UXO131" s="204"/>
      <c r="UXP131" s="204"/>
      <c r="UXQ131" s="204"/>
      <c r="UXR131" s="205"/>
      <c r="UXS131" s="206"/>
      <c r="UXT131" s="207"/>
      <c r="UXU131" s="207"/>
      <c r="UXV131" s="208"/>
      <c r="UXW131" s="209"/>
      <c r="UXX131" s="207"/>
      <c r="UXY131" s="210"/>
      <c r="UXZ131" s="209"/>
      <c r="UYA131" s="204"/>
      <c r="UYB131" s="204"/>
      <c r="UYC131" s="204"/>
      <c r="UYD131" s="199"/>
      <c r="UYE131" s="167"/>
      <c r="UYF131" s="199"/>
      <c r="UYG131" s="200"/>
      <c r="UYH131" s="201"/>
      <c r="UYI131" s="202"/>
      <c r="UYJ131" s="202"/>
      <c r="UYK131" s="202"/>
      <c r="UYL131" s="202"/>
      <c r="UYM131" s="203"/>
      <c r="UYN131" s="204"/>
      <c r="UYO131" s="204"/>
      <c r="UYP131" s="204"/>
      <c r="UYQ131" s="205"/>
      <c r="UYR131" s="206"/>
      <c r="UYS131" s="207"/>
      <c r="UYT131" s="207"/>
      <c r="UYU131" s="208"/>
      <c r="UYV131" s="209"/>
      <c r="UYW131" s="207"/>
      <c r="UYX131" s="210"/>
      <c r="UYY131" s="209"/>
      <c r="UYZ131" s="204"/>
      <c r="UZA131" s="204"/>
      <c r="UZB131" s="204"/>
      <c r="UZC131" s="199"/>
      <c r="UZD131" s="167"/>
      <c r="UZE131" s="199"/>
      <c r="UZF131" s="200"/>
      <c r="UZG131" s="201"/>
      <c r="UZH131" s="202"/>
      <c r="UZI131" s="202"/>
      <c r="UZJ131" s="202"/>
      <c r="UZK131" s="202"/>
      <c r="UZL131" s="203"/>
      <c r="UZM131" s="204"/>
      <c r="UZN131" s="204"/>
      <c r="UZO131" s="204"/>
      <c r="UZP131" s="205"/>
      <c r="UZQ131" s="206"/>
      <c r="UZR131" s="207"/>
      <c r="UZS131" s="207"/>
      <c r="UZT131" s="208"/>
      <c r="UZU131" s="209"/>
      <c r="UZV131" s="207"/>
      <c r="UZW131" s="210"/>
      <c r="UZX131" s="209"/>
      <c r="UZY131" s="204"/>
      <c r="UZZ131" s="204"/>
      <c r="VAA131" s="204"/>
      <c r="VAB131" s="199"/>
      <c r="VAC131" s="167"/>
      <c r="VAD131" s="199"/>
      <c r="VAE131" s="200"/>
      <c r="VAF131" s="201"/>
      <c r="VAG131" s="202"/>
      <c r="VAH131" s="202"/>
      <c r="VAI131" s="202"/>
      <c r="VAJ131" s="202"/>
      <c r="VAK131" s="203"/>
      <c r="VAL131" s="204"/>
      <c r="VAM131" s="204"/>
      <c r="VAN131" s="204"/>
      <c r="VAO131" s="205"/>
      <c r="VAP131" s="206"/>
      <c r="VAQ131" s="207"/>
      <c r="VAR131" s="207"/>
      <c r="VAS131" s="208"/>
      <c r="VAT131" s="209"/>
      <c r="VAU131" s="207"/>
      <c r="VAV131" s="210"/>
      <c r="VAW131" s="209"/>
      <c r="VAX131" s="204"/>
      <c r="VAY131" s="204"/>
      <c r="VAZ131" s="204"/>
      <c r="VBA131" s="199"/>
      <c r="VBB131" s="167"/>
      <c r="VBC131" s="199"/>
      <c r="VBD131" s="200"/>
      <c r="VBE131" s="201"/>
      <c r="VBF131" s="202"/>
      <c r="VBG131" s="202"/>
      <c r="VBH131" s="202"/>
      <c r="VBI131" s="202"/>
      <c r="VBJ131" s="203"/>
      <c r="VBK131" s="204"/>
      <c r="VBL131" s="204"/>
      <c r="VBM131" s="204"/>
      <c r="VBN131" s="205"/>
      <c r="VBO131" s="206"/>
      <c r="VBP131" s="207"/>
      <c r="VBQ131" s="207"/>
      <c r="VBR131" s="208"/>
      <c r="VBS131" s="209"/>
      <c r="VBT131" s="207"/>
      <c r="VBU131" s="210"/>
      <c r="VBV131" s="209"/>
      <c r="VBW131" s="204"/>
      <c r="VBX131" s="204"/>
      <c r="VBY131" s="204"/>
      <c r="VBZ131" s="199"/>
      <c r="VCA131" s="167"/>
      <c r="VCB131" s="199"/>
      <c r="VCC131" s="200"/>
      <c r="VCD131" s="201"/>
      <c r="VCE131" s="202"/>
      <c r="VCF131" s="202"/>
      <c r="VCG131" s="202"/>
      <c r="VCH131" s="202"/>
      <c r="VCI131" s="203"/>
      <c r="VCJ131" s="204"/>
      <c r="VCK131" s="204"/>
      <c r="VCL131" s="204"/>
      <c r="VCM131" s="205"/>
      <c r="VCN131" s="206"/>
      <c r="VCO131" s="207"/>
      <c r="VCP131" s="207"/>
      <c r="VCQ131" s="208"/>
      <c r="VCR131" s="209"/>
      <c r="VCS131" s="207"/>
      <c r="VCT131" s="210"/>
      <c r="VCU131" s="209"/>
      <c r="VCV131" s="204"/>
      <c r="VCW131" s="204"/>
      <c r="VCX131" s="204"/>
      <c r="VCY131" s="199"/>
      <c r="VCZ131" s="167"/>
      <c r="VDA131" s="199"/>
      <c r="VDB131" s="200"/>
      <c r="VDC131" s="201"/>
      <c r="VDD131" s="202"/>
      <c r="VDE131" s="202"/>
      <c r="VDF131" s="202"/>
      <c r="VDG131" s="202"/>
      <c r="VDH131" s="203"/>
      <c r="VDI131" s="204"/>
      <c r="VDJ131" s="204"/>
      <c r="VDK131" s="204"/>
      <c r="VDL131" s="205"/>
      <c r="VDM131" s="206"/>
      <c r="VDN131" s="207"/>
      <c r="VDO131" s="207"/>
      <c r="VDP131" s="208"/>
      <c r="VDQ131" s="209"/>
      <c r="VDR131" s="207"/>
      <c r="VDS131" s="210"/>
      <c r="VDT131" s="209"/>
      <c r="VDU131" s="204"/>
      <c r="VDV131" s="204"/>
      <c r="VDW131" s="204"/>
      <c r="VDX131" s="199"/>
      <c r="VDY131" s="167"/>
      <c r="VDZ131" s="199"/>
      <c r="VEA131" s="200"/>
      <c r="VEB131" s="201"/>
      <c r="VEC131" s="202"/>
      <c r="VED131" s="202"/>
      <c r="VEE131" s="202"/>
      <c r="VEF131" s="202"/>
      <c r="VEG131" s="203"/>
      <c r="VEH131" s="204"/>
      <c r="VEI131" s="204"/>
      <c r="VEJ131" s="204"/>
      <c r="VEK131" s="205"/>
      <c r="VEL131" s="206"/>
      <c r="VEM131" s="207"/>
      <c r="VEN131" s="207"/>
      <c r="VEO131" s="208"/>
      <c r="VEP131" s="209"/>
      <c r="VEQ131" s="207"/>
      <c r="VER131" s="210"/>
      <c r="VES131" s="209"/>
      <c r="VET131" s="204"/>
      <c r="VEU131" s="204"/>
      <c r="VEV131" s="204"/>
      <c r="VEW131" s="199"/>
      <c r="VEX131" s="167"/>
      <c r="VEY131" s="199"/>
      <c r="VEZ131" s="200"/>
      <c r="VFA131" s="201"/>
      <c r="VFB131" s="202"/>
      <c r="VFC131" s="202"/>
      <c r="VFD131" s="202"/>
      <c r="VFE131" s="202"/>
      <c r="VFF131" s="203"/>
      <c r="VFG131" s="204"/>
      <c r="VFH131" s="204"/>
      <c r="VFI131" s="204"/>
      <c r="VFJ131" s="205"/>
      <c r="VFK131" s="206"/>
      <c r="VFL131" s="207"/>
      <c r="VFM131" s="207"/>
      <c r="VFN131" s="208"/>
      <c r="VFO131" s="209"/>
      <c r="VFP131" s="207"/>
      <c r="VFQ131" s="210"/>
      <c r="VFR131" s="209"/>
      <c r="VFS131" s="204"/>
      <c r="VFT131" s="204"/>
      <c r="VFU131" s="204"/>
      <c r="VFV131" s="199"/>
      <c r="VFW131" s="167"/>
      <c r="VFX131" s="199"/>
      <c r="VFY131" s="200"/>
      <c r="VFZ131" s="201"/>
      <c r="VGA131" s="202"/>
      <c r="VGB131" s="202"/>
      <c r="VGC131" s="202"/>
      <c r="VGD131" s="202"/>
      <c r="VGE131" s="203"/>
      <c r="VGF131" s="204"/>
      <c r="VGG131" s="204"/>
      <c r="VGH131" s="204"/>
      <c r="VGI131" s="205"/>
      <c r="VGJ131" s="206"/>
      <c r="VGK131" s="207"/>
      <c r="VGL131" s="207"/>
      <c r="VGM131" s="208"/>
      <c r="VGN131" s="209"/>
      <c r="VGO131" s="207"/>
      <c r="VGP131" s="210"/>
      <c r="VGQ131" s="209"/>
      <c r="VGR131" s="204"/>
      <c r="VGS131" s="204"/>
      <c r="VGT131" s="204"/>
      <c r="VGU131" s="199"/>
      <c r="VGV131" s="167"/>
      <c r="VGW131" s="199"/>
      <c r="VGX131" s="200"/>
      <c r="VGY131" s="201"/>
      <c r="VGZ131" s="202"/>
      <c r="VHA131" s="202"/>
      <c r="VHB131" s="202"/>
      <c r="VHC131" s="202"/>
      <c r="VHD131" s="203"/>
      <c r="VHE131" s="204"/>
      <c r="VHF131" s="204"/>
      <c r="VHG131" s="204"/>
      <c r="VHH131" s="205"/>
      <c r="VHI131" s="206"/>
      <c r="VHJ131" s="207"/>
      <c r="VHK131" s="207"/>
      <c r="VHL131" s="208"/>
      <c r="VHM131" s="209"/>
      <c r="VHN131" s="207"/>
      <c r="VHO131" s="210"/>
      <c r="VHP131" s="209"/>
      <c r="VHQ131" s="204"/>
      <c r="VHR131" s="204"/>
      <c r="VHS131" s="204"/>
      <c r="VHT131" s="199"/>
      <c r="VHU131" s="167"/>
      <c r="VHV131" s="199"/>
      <c r="VHW131" s="200"/>
      <c r="VHX131" s="201"/>
      <c r="VHY131" s="202"/>
      <c r="VHZ131" s="202"/>
      <c r="VIA131" s="202"/>
      <c r="VIB131" s="202"/>
      <c r="VIC131" s="203"/>
      <c r="VID131" s="204"/>
      <c r="VIE131" s="204"/>
      <c r="VIF131" s="204"/>
      <c r="VIG131" s="205"/>
      <c r="VIH131" s="206"/>
      <c r="VII131" s="207"/>
      <c r="VIJ131" s="207"/>
      <c r="VIK131" s="208"/>
      <c r="VIL131" s="209"/>
      <c r="VIM131" s="207"/>
      <c r="VIN131" s="210"/>
      <c r="VIO131" s="209"/>
      <c r="VIP131" s="204"/>
      <c r="VIQ131" s="204"/>
      <c r="VIR131" s="204"/>
      <c r="VIS131" s="199"/>
      <c r="VIT131" s="167"/>
      <c r="VIU131" s="199"/>
      <c r="VIV131" s="200"/>
      <c r="VIW131" s="201"/>
      <c r="VIX131" s="202"/>
      <c r="VIY131" s="202"/>
      <c r="VIZ131" s="202"/>
      <c r="VJA131" s="202"/>
      <c r="VJB131" s="203"/>
      <c r="VJC131" s="204"/>
      <c r="VJD131" s="204"/>
      <c r="VJE131" s="204"/>
      <c r="VJF131" s="205"/>
      <c r="VJG131" s="206"/>
      <c r="VJH131" s="207"/>
      <c r="VJI131" s="207"/>
      <c r="VJJ131" s="208"/>
      <c r="VJK131" s="209"/>
      <c r="VJL131" s="207"/>
      <c r="VJM131" s="210"/>
      <c r="VJN131" s="209"/>
      <c r="VJO131" s="204"/>
      <c r="VJP131" s="204"/>
      <c r="VJQ131" s="204"/>
      <c r="VJR131" s="199"/>
      <c r="VJS131" s="167"/>
      <c r="VJT131" s="199"/>
      <c r="VJU131" s="200"/>
      <c r="VJV131" s="201"/>
      <c r="VJW131" s="202"/>
      <c r="VJX131" s="202"/>
      <c r="VJY131" s="202"/>
      <c r="VJZ131" s="202"/>
      <c r="VKA131" s="203"/>
      <c r="VKB131" s="204"/>
      <c r="VKC131" s="204"/>
      <c r="VKD131" s="204"/>
      <c r="VKE131" s="205"/>
      <c r="VKF131" s="206"/>
      <c r="VKG131" s="207"/>
      <c r="VKH131" s="207"/>
      <c r="VKI131" s="208"/>
      <c r="VKJ131" s="209"/>
      <c r="VKK131" s="207"/>
      <c r="VKL131" s="210"/>
      <c r="VKM131" s="209"/>
      <c r="VKN131" s="204"/>
      <c r="VKO131" s="204"/>
      <c r="VKP131" s="204"/>
      <c r="VKQ131" s="199"/>
      <c r="VKR131" s="167"/>
      <c r="VKS131" s="199"/>
      <c r="VKT131" s="200"/>
      <c r="VKU131" s="201"/>
      <c r="VKV131" s="202"/>
      <c r="VKW131" s="202"/>
      <c r="VKX131" s="202"/>
      <c r="VKY131" s="202"/>
      <c r="VKZ131" s="203"/>
      <c r="VLA131" s="204"/>
      <c r="VLB131" s="204"/>
      <c r="VLC131" s="204"/>
      <c r="VLD131" s="205"/>
      <c r="VLE131" s="206"/>
      <c r="VLF131" s="207"/>
      <c r="VLG131" s="207"/>
      <c r="VLH131" s="208"/>
      <c r="VLI131" s="209"/>
      <c r="VLJ131" s="207"/>
      <c r="VLK131" s="210"/>
      <c r="VLL131" s="209"/>
      <c r="VLM131" s="204"/>
      <c r="VLN131" s="204"/>
      <c r="VLO131" s="204"/>
      <c r="VLP131" s="199"/>
      <c r="VLQ131" s="167"/>
      <c r="VLR131" s="199"/>
      <c r="VLS131" s="200"/>
      <c r="VLT131" s="201"/>
      <c r="VLU131" s="202"/>
      <c r="VLV131" s="202"/>
      <c r="VLW131" s="202"/>
      <c r="VLX131" s="202"/>
      <c r="VLY131" s="203"/>
      <c r="VLZ131" s="204"/>
      <c r="VMA131" s="204"/>
      <c r="VMB131" s="204"/>
      <c r="VMC131" s="205"/>
      <c r="VMD131" s="206"/>
      <c r="VME131" s="207"/>
      <c r="VMF131" s="207"/>
      <c r="VMG131" s="208"/>
      <c r="VMH131" s="209"/>
      <c r="VMI131" s="207"/>
      <c r="VMJ131" s="210"/>
      <c r="VMK131" s="209"/>
      <c r="VML131" s="204"/>
      <c r="VMM131" s="204"/>
      <c r="VMN131" s="204"/>
      <c r="VMO131" s="199"/>
      <c r="VMP131" s="167"/>
      <c r="VMQ131" s="199"/>
      <c r="VMR131" s="200"/>
      <c r="VMS131" s="201"/>
      <c r="VMT131" s="202"/>
      <c r="VMU131" s="202"/>
      <c r="VMV131" s="202"/>
      <c r="VMW131" s="202"/>
      <c r="VMX131" s="203"/>
      <c r="VMY131" s="204"/>
      <c r="VMZ131" s="204"/>
      <c r="VNA131" s="204"/>
      <c r="VNB131" s="205"/>
      <c r="VNC131" s="206"/>
      <c r="VND131" s="207"/>
      <c r="VNE131" s="207"/>
      <c r="VNF131" s="208"/>
      <c r="VNG131" s="209"/>
      <c r="VNH131" s="207"/>
      <c r="VNI131" s="210"/>
      <c r="VNJ131" s="209"/>
      <c r="VNK131" s="204"/>
      <c r="VNL131" s="204"/>
      <c r="VNM131" s="204"/>
      <c r="VNN131" s="199"/>
      <c r="VNO131" s="167"/>
      <c r="VNP131" s="199"/>
      <c r="VNQ131" s="200"/>
      <c r="VNR131" s="201"/>
      <c r="VNS131" s="202"/>
      <c r="VNT131" s="202"/>
      <c r="VNU131" s="202"/>
      <c r="VNV131" s="202"/>
      <c r="VNW131" s="203"/>
      <c r="VNX131" s="204"/>
      <c r="VNY131" s="204"/>
      <c r="VNZ131" s="204"/>
      <c r="VOA131" s="205"/>
      <c r="VOB131" s="206"/>
      <c r="VOC131" s="207"/>
      <c r="VOD131" s="207"/>
      <c r="VOE131" s="208"/>
      <c r="VOF131" s="209"/>
      <c r="VOG131" s="207"/>
      <c r="VOH131" s="210"/>
      <c r="VOI131" s="209"/>
      <c r="VOJ131" s="204"/>
      <c r="VOK131" s="204"/>
      <c r="VOL131" s="204"/>
      <c r="VOM131" s="199"/>
      <c r="VON131" s="167"/>
      <c r="VOO131" s="199"/>
      <c r="VOP131" s="200"/>
      <c r="VOQ131" s="201"/>
      <c r="VOR131" s="202"/>
      <c r="VOS131" s="202"/>
      <c r="VOT131" s="202"/>
      <c r="VOU131" s="202"/>
      <c r="VOV131" s="203"/>
      <c r="VOW131" s="204"/>
      <c r="VOX131" s="204"/>
      <c r="VOY131" s="204"/>
      <c r="VOZ131" s="205"/>
      <c r="VPA131" s="206"/>
      <c r="VPB131" s="207"/>
      <c r="VPC131" s="207"/>
      <c r="VPD131" s="208"/>
      <c r="VPE131" s="209"/>
      <c r="VPF131" s="207"/>
      <c r="VPG131" s="210"/>
      <c r="VPH131" s="209"/>
      <c r="VPI131" s="204"/>
      <c r="VPJ131" s="204"/>
      <c r="VPK131" s="204"/>
      <c r="VPL131" s="199"/>
      <c r="VPM131" s="167"/>
      <c r="VPN131" s="199"/>
      <c r="VPO131" s="200"/>
      <c r="VPP131" s="201"/>
      <c r="VPQ131" s="202"/>
      <c r="VPR131" s="202"/>
      <c r="VPS131" s="202"/>
      <c r="VPT131" s="202"/>
      <c r="VPU131" s="203"/>
      <c r="VPV131" s="204"/>
      <c r="VPW131" s="204"/>
      <c r="VPX131" s="204"/>
      <c r="VPY131" s="205"/>
      <c r="VPZ131" s="206"/>
      <c r="VQA131" s="207"/>
      <c r="VQB131" s="207"/>
      <c r="VQC131" s="208"/>
      <c r="VQD131" s="209"/>
      <c r="VQE131" s="207"/>
      <c r="VQF131" s="210"/>
      <c r="VQG131" s="209"/>
      <c r="VQH131" s="204"/>
      <c r="VQI131" s="204"/>
      <c r="VQJ131" s="204"/>
      <c r="VQK131" s="199"/>
      <c r="VQL131" s="167"/>
      <c r="VQM131" s="199"/>
      <c r="VQN131" s="200"/>
      <c r="VQO131" s="201"/>
      <c r="VQP131" s="202"/>
      <c r="VQQ131" s="202"/>
      <c r="VQR131" s="202"/>
      <c r="VQS131" s="202"/>
      <c r="VQT131" s="203"/>
      <c r="VQU131" s="204"/>
      <c r="VQV131" s="204"/>
      <c r="VQW131" s="204"/>
      <c r="VQX131" s="205"/>
      <c r="VQY131" s="206"/>
      <c r="VQZ131" s="207"/>
      <c r="VRA131" s="207"/>
      <c r="VRB131" s="208"/>
      <c r="VRC131" s="209"/>
      <c r="VRD131" s="207"/>
      <c r="VRE131" s="210"/>
      <c r="VRF131" s="209"/>
      <c r="VRG131" s="204"/>
      <c r="VRH131" s="204"/>
      <c r="VRI131" s="204"/>
      <c r="VRJ131" s="199"/>
      <c r="VRK131" s="167"/>
      <c r="VRL131" s="199"/>
      <c r="VRM131" s="200"/>
      <c r="VRN131" s="201"/>
      <c r="VRO131" s="202"/>
      <c r="VRP131" s="202"/>
      <c r="VRQ131" s="202"/>
      <c r="VRR131" s="202"/>
      <c r="VRS131" s="203"/>
      <c r="VRT131" s="204"/>
      <c r="VRU131" s="204"/>
      <c r="VRV131" s="204"/>
      <c r="VRW131" s="205"/>
      <c r="VRX131" s="206"/>
      <c r="VRY131" s="207"/>
      <c r="VRZ131" s="207"/>
      <c r="VSA131" s="208"/>
      <c r="VSB131" s="209"/>
      <c r="VSC131" s="207"/>
      <c r="VSD131" s="210"/>
      <c r="VSE131" s="209"/>
      <c r="VSF131" s="204"/>
      <c r="VSG131" s="204"/>
      <c r="VSH131" s="204"/>
      <c r="VSI131" s="199"/>
      <c r="VSJ131" s="167"/>
      <c r="VSK131" s="199"/>
      <c r="VSL131" s="200"/>
      <c r="VSM131" s="201"/>
      <c r="VSN131" s="202"/>
      <c r="VSO131" s="202"/>
      <c r="VSP131" s="202"/>
      <c r="VSQ131" s="202"/>
      <c r="VSR131" s="203"/>
      <c r="VSS131" s="204"/>
      <c r="VST131" s="204"/>
      <c r="VSU131" s="204"/>
      <c r="VSV131" s="205"/>
      <c r="VSW131" s="206"/>
      <c r="VSX131" s="207"/>
      <c r="VSY131" s="207"/>
      <c r="VSZ131" s="208"/>
      <c r="VTA131" s="209"/>
      <c r="VTB131" s="207"/>
      <c r="VTC131" s="210"/>
      <c r="VTD131" s="209"/>
      <c r="VTE131" s="204"/>
      <c r="VTF131" s="204"/>
      <c r="VTG131" s="204"/>
      <c r="VTH131" s="199"/>
      <c r="VTI131" s="167"/>
      <c r="VTJ131" s="199"/>
      <c r="VTK131" s="200"/>
      <c r="VTL131" s="201"/>
      <c r="VTM131" s="202"/>
      <c r="VTN131" s="202"/>
      <c r="VTO131" s="202"/>
      <c r="VTP131" s="202"/>
      <c r="VTQ131" s="203"/>
      <c r="VTR131" s="204"/>
      <c r="VTS131" s="204"/>
      <c r="VTT131" s="204"/>
      <c r="VTU131" s="205"/>
      <c r="VTV131" s="206"/>
      <c r="VTW131" s="207"/>
      <c r="VTX131" s="207"/>
      <c r="VTY131" s="208"/>
      <c r="VTZ131" s="209"/>
      <c r="VUA131" s="207"/>
      <c r="VUB131" s="210"/>
      <c r="VUC131" s="209"/>
      <c r="VUD131" s="204"/>
      <c r="VUE131" s="204"/>
      <c r="VUF131" s="204"/>
      <c r="VUG131" s="199"/>
      <c r="VUH131" s="167"/>
      <c r="VUI131" s="199"/>
      <c r="VUJ131" s="200"/>
      <c r="VUK131" s="201"/>
      <c r="VUL131" s="202"/>
      <c r="VUM131" s="202"/>
      <c r="VUN131" s="202"/>
      <c r="VUO131" s="202"/>
      <c r="VUP131" s="203"/>
      <c r="VUQ131" s="204"/>
      <c r="VUR131" s="204"/>
      <c r="VUS131" s="204"/>
      <c r="VUT131" s="205"/>
      <c r="VUU131" s="206"/>
      <c r="VUV131" s="207"/>
      <c r="VUW131" s="207"/>
      <c r="VUX131" s="208"/>
      <c r="VUY131" s="209"/>
      <c r="VUZ131" s="207"/>
      <c r="VVA131" s="210"/>
      <c r="VVB131" s="209"/>
      <c r="VVC131" s="204"/>
      <c r="VVD131" s="204"/>
      <c r="VVE131" s="204"/>
      <c r="VVF131" s="199"/>
      <c r="VVG131" s="167"/>
      <c r="VVH131" s="199"/>
      <c r="VVI131" s="200"/>
      <c r="VVJ131" s="201"/>
      <c r="VVK131" s="202"/>
      <c r="VVL131" s="202"/>
      <c r="VVM131" s="202"/>
      <c r="VVN131" s="202"/>
      <c r="VVO131" s="203"/>
      <c r="VVP131" s="204"/>
      <c r="VVQ131" s="204"/>
      <c r="VVR131" s="204"/>
      <c r="VVS131" s="205"/>
      <c r="VVT131" s="206"/>
      <c r="VVU131" s="207"/>
      <c r="VVV131" s="207"/>
      <c r="VVW131" s="208"/>
      <c r="VVX131" s="209"/>
      <c r="VVY131" s="207"/>
      <c r="VVZ131" s="210"/>
      <c r="VWA131" s="209"/>
      <c r="VWB131" s="204"/>
      <c r="VWC131" s="204"/>
      <c r="VWD131" s="204"/>
      <c r="VWE131" s="199"/>
      <c r="VWF131" s="167"/>
      <c r="VWG131" s="199"/>
      <c r="VWH131" s="200"/>
      <c r="VWI131" s="201"/>
      <c r="VWJ131" s="202"/>
      <c r="VWK131" s="202"/>
      <c r="VWL131" s="202"/>
      <c r="VWM131" s="202"/>
      <c r="VWN131" s="203"/>
      <c r="VWO131" s="204"/>
      <c r="VWP131" s="204"/>
      <c r="VWQ131" s="204"/>
      <c r="VWR131" s="205"/>
      <c r="VWS131" s="206"/>
      <c r="VWT131" s="207"/>
      <c r="VWU131" s="207"/>
      <c r="VWV131" s="208"/>
      <c r="VWW131" s="209"/>
      <c r="VWX131" s="207"/>
      <c r="VWY131" s="210"/>
      <c r="VWZ131" s="209"/>
      <c r="VXA131" s="204"/>
      <c r="VXB131" s="204"/>
      <c r="VXC131" s="204"/>
      <c r="VXD131" s="199"/>
      <c r="VXE131" s="167"/>
      <c r="VXF131" s="199"/>
      <c r="VXG131" s="200"/>
      <c r="VXH131" s="201"/>
      <c r="VXI131" s="202"/>
      <c r="VXJ131" s="202"/>
      <c r="VXK131" s="202"/>
      <c r="VXL131" s="202"/>
      <c r="VXM131" s="203"/>
      <c r="VXN131" s="204"/>
      <c r="VXO131" s="204"/>
      <c r="VXP131" s="204"/>
      <c r="VXQ131" s="205"/>
      <c r="VXR131" s="206"/>
      <c r="VXS131" s="207"/>
      <c r="VXT131" s="207"/>
      <c r="VXU131" s="208"/>
      <c r="VXV131" s="209"/>
      <c r="VXW131" s="207"/>
      <c r="VXX131" s="210"/>
      <c r="VXY131" s="209"/>
      <c r="VXZ131" s="204"/>
      <c r="VYA131" s="204"/>
      <c r="VYB131" s="204"/>
      <c r="VYC131" s="199"/>
      <c r="VYD131" s="167"/>
      <c r="VYE131" s="199"/>
      <c r="VYF131" s="200"/>
      <c r="VYG131" s="201"/>
      <c r="VYH131" s="202"/>
      <c r="VYI131" s="202"/>
      <c r="VYJ131" s="202"/>
      <c r="VYK131" s="202"/>
      <c r="VYL131" s="203"/>
      <c r="VYM131" s="204"/>
      <c r="VYN131" s="204"/>
      <c r="VYO131" s="204"/>
      <c r="VYP131" s="205"/>
      <c r="VYQ131" s="206"/>
      <c r="VYR131" s="207"/>
      <c r="VYS131" s="207"/>
      <c r="VYT131" s="208"/>
      <c r="VYU131" s="209"/>
      <c r="VYV131" s="207"/>
      <c r="VYW131" s="210"/>
      <c r="VYX131" s="209"/>
      <c r="VYY131" s="204"/>
      <c r="VYZ131" s="204"/>
      <c r="VZA131" s="204"/>
      <c r="VZB131" s="199"/>
      <c r="VZC131" s="167"/>
      <c r="VZD131" s="199"/>
      <c r="VZE131" s="200"/>
      <c r="VZF131" s="201"/>
      <c r="VZG131" s="202"/>
      <c r="VZH131" s="202"/>
      <c r="VZI131" s="202"/>
      <c r="VZJ131" s="202"/>
      <c r="VZK131" s="203"/>
      <c r="VZL131" s="204"/>
      <c r="VZM131" s="204"/>
      <c r="VZN131" s="204"/>
      <c r="VZO131" s="205"/>
      <c r="VZP131" s="206"/>
      <c r="VZQ131" s="207"/>
      <c r="VZR131" s="207"/>
      <c r="VZS131" s="208"/>
      <c r="VZT131" s="209"/>
      <c r="VZU131" s="207"/>
      <c r="VZV131" s="210"/>
      <c r="VZW131" s="209"/>
      <c r="VZX131" s="204"/>
      <c r="VZY131" s="204"/>
      <c r="VZZ131" s="204"/>
      <c r="WAA131" s="199"/>
      <c r="WAB131" s="167"/>
      <c r="WAC131" s="199"/>
      <c r="WAD131" s="200"/>
      <c r="WAE131" s="201"/>
      <c r="WAF131" s="202"/>
      <c r="WAG131" s="202"/>
      <c r="WAH131" s="202"/>
      <c r="WAI131" s="202"/>
      <c r="WAJ131" s="203"/>
      <c r="WAK131" s="204"/>
      <c r="WAL131" s="204"/>
      <c r="WAM131" s="204"/>
      <c r="WAN131" s="205"/>
      <c r="WAO131" s="206"/>
      <c r="WAP131" s="207"/>
      <c r="WAQ131" s="207"/>
      <c r="WAR131" s="208"/>
      <c r="WAS131" s="209"/>
      <c r="WAT131" s="207"/>
      <c r="WAU131" s="210"/>
      <c r="WAV131" s="209"/>
      <c r="WAW131" s="204"/>
      <c r="WAX131" s="204"/>
      <c r="WAY131" s="204"/>
      <c r="WAZ131" s="199"/>
      <c r="WBA131" s="167"/>
      <c r="WBB131" s="199"/>
      <c r="WBC131" s="200"/>
      <c r="WBD131" s="201"/>
      <c r="WBE131" s="202"/>
      <c r="WBF131" s="202"/>
      <c r="WBG131" s="202"/>
      <c r="WBH131" s="202"/>
      <c r="WBI131" s="203"/>
      <c r="WBJ131" s="204"/>
      <c r="WBK131" s="204"/>
      <c r="WBL131" s="204"/>
      <c r="WBM131" s="205"/>
      <c r="WBN131" s="206"/>
      <c r="WBO131" s="207"/>
      <c r="WBP131" s="207"/>
      <c r="WBQ131" s="208"/>
      <c r="WBR131" s="209"/>
      <c r="WBS131" s="207"/>
      <c r="WBT131" s="210"/>
      <c r="WBU131" s="209"/>
      <c r="WBV131" s="204"/>
      <c r="WBW131" s="204"/>
      <c r="WBX131" s="204"/>
      <c r="WBY131" s="199"/>
      <c r="WBZ131" s="167"/>
      <c r="WCA131" s="199"/>
      <c r="WCB131" s="200"/>
      <c r="WCC131" s="201"/>
      <c r="WCD131" s="202"/>
      <c r="WCE131" s="202"/>
      <c r="WCF131" s="202"/>
      <c r="WCG131" s="202"/>
      <c r="WCH131" s="203"/>
      <c r="WCI131" s="204"/>
      <c r="WCJ131" s="204"/>
      <c r="WCK131" s="204"/>
      <c r="WCL131" s="205"/>
      <c r="WCM131" s="206"/>
      <c r="WCN131" s="207"/>
      <c r="WCO131" s="207"/>
      <c r="WCP131" s="208"/>
      <c r="WCQ131" s="209"/>
      <c r="WCR131" s="207"/>
      <c r="WCS131" s="210"/>
      <c r="WCT131" s="209"/>
      <c r="WCU131" s="204"/>
      <c r="WCV131" s="204"/>
      <c r="WCW131" s="204"/>
      <c r="WCX131" s="199"/>
      <c r="WCY131" s="167"/>
      <c r="WCZ131" s="199"/>
      <c r="WDA131" s="200"/>
      <c r="WDB131" s="201"/>
      <c r="WDC131" s="202"/>
      <c r="WDD131" s="202"/>
      <c r="WDE131" s="202"/>
      <c r="WDF131" s="202"/>
      <c r="WDG131" s="203"/>
      <c r="WDH131" s="204"/>
      <c r="WDI131" s="204"/>
      <c r="WDJ131" s="204"/>
      <c r="WDK131" s="205"/>
      <c r="WDL131" s="206"/>
      <c r="WDM131" s="207"/>
      <c r="WDN131" s="207"/>
      <c r="WDO131" s="208"/>
      <c r="WDP131" s="209"/>
      <c r="WDQ131" s="207"/>
      <c r="WDR131" s="210"/>
      <c r="WDS131" s="209"/>
      <c r="WDT131" s="204"/>
      <c r="WDU131" s="204"/>
      <c r="WDV131" s="204"/>
      <c r="WDW131" s="199"/>
      <c r="WDX131" s="167"/>
      <c r="WDY131" s="199"/>
      <c r="WDZ131" s="200"/>
      <c r="WEA131" s="201"/>
      <c r="WEB131" s="202"/>
      <c r="WEC131" s="202"/>
      <c r="WED131" s="202"/>
      <c r="WEE131" s="202"/>
      <c r="WEF131" s="203"/>
      <c r="WEG131" s="204"/>
      <c r="WEH131" s="204"/>
      <c r="WEI131" s="204"/>
      <c r="WEJ131" s="205"/>
      <c r="WEK131" s="206"/>
      <c r="WEL131" s="207"/>
      <c r="WEM131" s="207"/>
      <c r="WEN131" s="208"/>
      <c r="WEO131" s="209"/>
      <c r="WEP131" s="207"/>
      <c r="WEQ131" s="210"/>
      <c r="WER131" s="209"/>
      <c r="WES131" s="204"/>
      <c r="WET131" s="204"/>
      <c r="WEU131" s="204"/>
      <c r="WEV131" s="199"/>
      <c r="WEW131" s="167"/>
      <c r="WEX131" s="199"/>
      <c r="WEY131" s="200"/>
      <c r="WEZ131" s="201"/>
      <c r="WFA131" s="202"/>
      <c r="WFB131" s="202"/>
      <c r="WFC131" s="202"/>
      <c r="WFD131" s="202"/>
      <c r="WFE131" s="203"/>
      <c r="WFF131" s="204"/>
      <c r="WFG131" s="204"/>
      <c r="WFH131" s="204"/>
      <c r="WFI131" s="205"/>
      <c r="WFJ131" s="206"/>
      <c r="WFK131" s="207"/>
      <c r="WFL131" s="207"/>
      <c r="WFM131" s="208"/>
      <c r="WFN131" s="209"/>
      <c r="WFO131" s="207"/>
      <c r="WFP131" s="210"/>
      <c r="WFQ131" s="209"/>
      <c r="WFR131" s="204"/>
      <c r="WFS131" s="204"/>
      <c r="WFT131" s="204"/>
      <c r="WFU131" s="199"/>
      <c r="WFV131" s="167"/>
      <c r="WFW131" s="199"/>
      <c r="WFX131" s="200"/>
      <c r="WFY131" s="201"/>
      <c r="WFZ131" s="202"/>
      <c r="WGA131" s="202"/>
      <c r="WGB131" s="202"/>
      <c r="WGC131" s="202"/>
      <c r="WGD131" s="203"/>
      <c r="WGE131" s="204"/>
      <c r="WGF131" s="204"/>
      <c r="WGG131" s="204"/>
      <c r="WGH131" s="205"/>
      <c r="WGI131" s="206"/>
      <c r="WGJ131" s="207"/>
      <c r="WGK131" s="207"/>
      <c r="WGL131" s="208"/>
      <c r="WGM131" s="209"/>
      <c r="WGN131" s="207"/>
      <c r="WGO131" s="210"/>
      <c r="WGP131" s="209"/>
      <c r="WGQ131" s="204"/>
      <c r="WGR131" s="204"/>
      <c r="WGS131" s="204"/>
      <c r="WGT131" s="199"/>
      <c r="WGU131" s="167"/>
      <c r="WGV131" s="199"/>
      <c r="WGW131" s="200"/>
      <c r="WGX131" s="201"/>
      <c r="WGY131" s="202"/>
      <c r="WGZ131" s="202"/>
      <c r="WHA131" s="202"/>
      <c r="WHB131" s="202"/>
      <c r="WHC131" s="203"/>
      <c r="WHD131" s="204"/>
      <c r="WHE131" s="204"/>
      <c r="WHF131" s="204"/>
      <c r="WHG131" s="205"/>
      <c r="WHH131" s="206"/>
      <c r="WHI131" s="207"/>
      <c r="WHJ131" s="207"/>
      <c r="WHK131" s="208"/>
      <c r="WHL131" s="209"/>
      <c r="WHM131" s="207"/>
      <c r="WHN131" s="210"/>
      <c r="WHO131" s="209"/>
      <c r="WHP131" s="204"/>
      <c r="WHQ131" s="204"/>
      <c r="WHR131" s="204"/>
      <c r="WHS131" s="199"/>
      <c r="WHT131" s="167"/>
      <c r="WHU131" s="199"/>
      <c r="WHV131" s="200"/>
      <c r="WHW131" s="201"/>
      <c r="WHX131" s="202"/>
      <c r="WHY131" s="202"/>
      <c r="WHZ131" s="202"/>
      <c r="WIA131" s="202"/>
      <c r="WIB131" s="203"/>
      <c r="WIC131" s="204"/>
      <c r="WID131" s="204"/>
      <c r="WIE131" s="204"/>
      <c r="WIF131" s="205"/>
      <c r="WIG131" s="206"/>
      <c r="WIH131" s="207"/>
      <c r="WII131" s="207"/>
      <c r="WIJ131" s="208"/>
      <c r="WIK131" s="209"/>
      <c r="WIL131" s="207"/>
      <c r="WIM131" s="210"/>
      <c r="WIN131" s="209"/>
      <c r="WIO131" s="204"/>
      <c r="WIP131" s="204"/>
      <c r="WIQ131" s="204"/>
      <c r="WIR131" s="199"/>
      <c r="WIS131" s="167"/>
      <c r="WIT131" s="199"/>
      <c r="WIU131" s="200"/>
      <c r="WIV131" s="201"/>
      <c r="WIW131" s="202"/>
      <c r="WIX131" s="202"/>
      <c r="WIY131" s="202"/>
      <c r="WIZ131" s="202"/>
      <c r="WJA131" s="203"/>
      <c r="WJB131" s="204"/>
      <c r="WJC131" s="204"/>
      <c r="WJD131" s="204"/>
      <c r="WJE131" s="205"/>
      <c r="WJF131" s="206"/>
      <c r="WJG131" s="207"/>
      <c r="WJH131" s="207"/>
      <c r="WJI131" s="208"/>
      <c r="WJJ131" s="209"/>
      <c r="WJK131" s="207"/>
      <c r="WJL131" s="210"/>
      <c r="WJM131" s="209"/>
      <c r="WJN131" s="204"/>
      <c r="WJO131" s="204"/>
      <c r="WJP131" s="204"/>
      <c r="WJQ131" s="199"/>
      <c r="WJR131" s="167"/>
      <c r="WJS131" s="199"/>
      <c r="WJT131" s="200"/>
      <c r="WJU131" s="201"/>
      <c r="WJV131" s="202"/>
      <c r="WJW131" s="202"/>
      <c r="WJX131" s="202"/>
      <c r="WJY131" s="202"/>
      <c r="WJZ131" s="203"/>
      <c r="WKA131" s="204"/>
      <c r="WKB131" s="204"/>
      <c r="WKC131" s="204"/>
      <c r="WKD131" s="205"/>
      <c r="WKE131" s="206"/>
      <c r="WKF131" s="207"/>
      <c r="WKG131" s="207"/>
      <c r="WKH131" s="208"/>
      <c r="WKI131" s="209"/>
      <c r="WKJ131" s="207"/>
      <c r="WKK131" s="210"/>
      <c r="WKL131" s="209"/>
      <c r="WKM131" s="204"/>
      <c r="WKN131" s="204"/>
      <c r="WKO131" s="204"/>
      <c r="WKP131" s="199"/>
      <c r="WKQ131" s="167"/>
      <c r="WKR131" s="199"/>
      <c r="WKS131" s="200"/>
      <c r="WKT131" s="201"/>
      <c r="WKU131" s="202"/>
      <c r="WKV131" s="202"/>
      <c r="WKW131" s="202"/>
      <c r="WKX131" s="202"/>
      <c r="WKY131" s="203"/>
      <c r="WKZ131" s="204"/>
      <c r="WLA131" s="204"/>
      <c r="WLB131" s="204"/>
      <c r="WLC131" s="205"/>
      <c r="WLD131" s="206"/>
      <c r="WLE131" s="207"/>
      <c r="WLF131" s="207"/>
      <c r="WLG131" s="208"/>
      <c r="WLH131" s="209"/>
      <c r="WLI131" s="207"/>
      <c r="WLJ131" s="210"/>
      <c r="WLK131" s="209"/>
      <c r="WLL131" s="204"/>
      <c r="WLM131" s="204"/>
      <c r="WLN131" s="204"/>
      <c r="WLO131" s="199"/>
      <c r="WLP131" s="167"/>
      <c r="WLQ131" s="199"/>
      <c r="WLR131" s="200"/>
      <c r="WLS131" s="201"/>
      <c r="WLT131" s="202"/>
      <c r="WLU131" s="202"/>
      <c r="WLV131" s="202"/>
      <c r="WLW131" s="202"/>
      <c r="WLX131" s="203"/>
      <c r="WLY131" s="204"/>
      <c r="WLZ131" s="204"/>
      <c r="WMA131" s="204"/>
      <c r="WMB131" s="205"/>
      <c r="WMC131" s="206"/>
      <c r="WMD131" s="207"/>
      <c r="WME131" s="207"/>
      <c r="WMF131" s="208"/>
      <c r="WMG131" s="209"/>
      <c r="WMH131" s="207"/>
      <c r="WMI131" s="210"/>
      <c r="WMJ131" s="209"/>
      <c r="WMK131" s="204"/>
      <c r="WML131" s="204"/>
      <c r="WMM131" s="204"/>
      <c r="WMN131" s="199"/>
      <c r="WMO131" s="167"/>
      <c r="WMP131" s="199"/>
      <c r="WMQ131" s="200"/>
      <c r="WMR131" s="201"/>
      <c r="WMS131" s="202"/>
      <c r="WMT131" s="202"/>
      <c r="WMU131" s="202"/>
      <c r="WMV131" s="202"/>
      <c r="WMW131" s="203"/>
      <c r="WMX131" s="204"/>
      <c r="WMY131" s="204"/>
      <c r="WMZ131" s="204"/>
      <c r="WNA131" s="205"/>
      <c r="WNB131" s="206"/>
      <c r="WNC131" s="207"/>
      <c r="WND131" s="207"/>
      <c r="WNE131" s="208"/>
      <c r="WNF131" s="209"/>
      <c r="WNG131" s="207"/>
      <c r="WNH131" s="210"/>
      <c r="WNI131" s="209"/>
      <c r="WNJ131" s="204"/>
      <c r="WNK131" s="204"/>
      <c r="WNL131" s="204"/>
      <c r="WNM131" s="199"/>
      <c r="WNN131" s="167"/>
      <c r="WNO131" s="199"/>
      <c r="WNP131" s="200"/>
      <c r="WNQ131" s="201"/>
      <c r="WNR131" s="202"/>
      <c r="WNS131" s="202"/>
      <c r="WNT131" s="202"/>
      <c r="WNU131" s="202"/>
      <c r="WNV131" s="203"/>
      <c r="WNW131" s="204"/>
      <c r="WNX131" s="204"/>
      <c r="WNY131" s="204"/>
      <c r="WNZ131" s="205"/>
      <c r="WOA131" s="206"/>
      <c r="WOB131" s="207"/>
      <c r="WOC131" s="207"/>
      <c r="WOD131" s="208"/>
      <c r="WOE131" s="209"/>
      <c r="WOF131" s="207"/>
      <c r="WOG131" s="210"/>
      <c r="WOH131" s="209"/>
      <c r="WOI131" s="204"/>
      <c r="WOJ131" s="204"/>
      <c r="WOK131" s="204"/>
      <c r="WOL131" s="199"/>
      <c r="WOM131" s="167"/>
      <c r="WON131" s="199"/>
      <c r="WOO131" s="200"/>
      <c r="WOP131" s="201"/>
      <c r="WOQ131" s="202"/>
      <c r="WOR131" s="202"/>
      <c r="WOS131" s="202"/>
      <c r="WOT131" s="202"/>
      <c r="WOU131" s="203"/>
      <c r="WOV131" s="204"/>
      <c r="WOW131" s="204"/>
      <c r="WOX131" s="204"/>
      <c r="WOY131" s="205"/>
      <c r="WOZ131" s="206"/>
      <c r="WPA131" s="207"/>
      <c r="WPB131" s="207"/>
      <c r="WPC131" s="208"/>
      <c r="WPD131" s="209"/>
      <c r="WPE131" s="207"/>
      <c r="WPF131" s="210"/>
      <c r="WPG131" s="209"/>
      <c r="WPH131" s="204"/>
      <c r="WPI131" s="204"/>
      <c r="WPJ131" s="204"/>
      <c r="WPK131" s="199"/>
      <c r="WPL131" s="167"/>
      <c r="WPM131" s="199"/>
      <c r="WPN131" s="200"/>
      <c r="WPO131" s="201"/>
      <c r="WPP131" s="202"/>
      <c r="WPQ131" s="202"/>
      <c r="WPR131" s="202"/>
      <c r="WPS131" s="202"/>
      <c r="WPT131" s="203"/>
      <c r="WPU131" s="204"/>
      <c r="WPV131" s="204"/>
      <c r="WPW131" s="204"/>
      <c r="WPX131" s="205"/>
      <c r="WPY131" s="206"/>
      <c r="WPZ131" s="207"/>
      <c r="WQA131" s="207"/>
      <c r="WQB131" s="208"/>
      <c r="WQC131" s="209"/>
      <c r="WQD131" s="207"/>
      <c r="WQE131" s="210"/>
      <c r="WQF131" s="209"/>
      <c r="WQG131" s="204"/>
      <c r="WQH131" s="204"/>
      <c r="WQI131" s="204"/>
      <c r="WQJ131" s="199"/>
      <c r="WQK131" s="167"/>
      <c r="WQL131" s="199"/>
      <c r="WQM131" s="200"/>
      <c r="WQN131" s="201"/>
      <c r="WQO131" s="202"/>
      <c r="WQP131" s="202"/>
      <c r="WQQ131" s="202"/>
      <c r="WQR131" s="202"/>
      <c r="WQS131" s="203"/>
      <c r="WQT131" s="204"/>
      <c r="WQU131" s="204"/>
      <c r="WQV131" s="204"/>
      <c r="WQW131" s="205"/>
      <c r="WQX131" s="206"/>
      <c r="WQY131" s="207"/>
      <c r="WQZ131" s="207"/>
      <c r="WRA131" s="208"/>
      <c r="WRB131" s="209"/>
      <c r="WRC131" s="207"/>
      <c r="WRD131" s="210"/>
      <c r="WRE131" s="209"/>
      <c r="WRF131" s="204"/>
      <c r="WRG131" s="204"/>
      <c r="WRH131" s="204"/>
      <c r="WRI131" s="199"/>
      <c r="WRJ131" s="167"/>
      <c r="WRK131" s="199"/>
      <c r="WRL131" s="200"/>
      <c r="WRM131" s="201"/>
      <c r="WRN131" s="202"/>
      <c r="WRO131" s="202"/>
      <c r="WRP131" s="202"/>
      <c r="WRQ131" s="202"/>
      <c r="WRR131" s="203"/>
      <c r="WRS131" s="204"/>
      <c r="WRT131" s="204"/>
      <c r="WRU131" s="204"/>
      <c r="WRV131" s="205"/>
      <c r="WRW131" s="206"/>
      <c r="WRX131" s="207"/>
      <c r="WRY131" s="207"/>
      <c r="WRZ131" s="208"/>
      <c r="WSA131" s="209"/>
      <c r="WSB131" s="207"/>
      <c r="WSC131" s="210"/>
      <c r="WSD131" s="209"/>
      <c r="WSE131" s="204"/>
      <c r="WSF131" s="204"/>
      <c r="WSG131" s="204"/>
      <c r="WSH131" s="199"/>
      <c r="WSI131" s="167"/>
      <c r="WSJ131" s="199"/>
      <c r="WSK131" s="200"/>
      <c r="WSL131" s="201"/>
      <c r="WSM131" s="202"/>
      <c r="WSN131" s="202"/>
      <c r="WSO131" s="202"/>
      <c r="WSP131" s="202"/>
      <c r="WSQ131" s="203"/>
      <c r="WSR131" s="204"/>
      <c r="WSS131" s="204"/>
      <c r="WST131" s="204"/>
      <c r="WSU131" s="205"/>
      <c r="WSV131" s="206"/>
      <c r="WSW131" s="207"/>
      <c r="WSX131" s="207"/>
      <c r="WSY131" s="208"/>
      <c r="WSZ131" s="209"/>
      <c r="WTA131" s="207"/>
      <c r="WTB131" s="210"/>
      <c r="WTC131" s="209"/>
      <c r="WTD131" s="204"/>
      <c r="WTE131" s="204"/>
      <c r="WTF131" s="204"/>
      <c r="WTG131" s="199"/>
      <c r="WTH131" s="167"/>
      <c r="WTI131" s="199"/>
      <c r="WTJ131" s="200"/>
      <c r="WTK131" s="201"/>
      <c r="WTL131" s="202"/>
      <c r="WTM131" s="202"/>
      <c r="WTN131" s="202"/>
      <c r="WTO131" s="202"/>
      <c r="WTP131" s="203"/>
      <c r="WTQ131" s="204"/>
      <c r="WTR131" s="204"/>
      <c r="WTS131" s="204"/>
      <c r="WTT131" s="205"/>
      <c r="WTU131" s="206"/>
      <c r="WTV131" s="207"/>
      <c r="WTW131" s="207"/>
      <c r="WTX131" s="208"/>
      <c r="WTY131" s="209"/>
      <c r="WTZ131" s="207"/>
      <c r="WUA131" s="210"/>
      <c r="WUB131" s="209"/>
      <c r="WUC131" s="204"/>
      <c r="WUD131" s="204"/>
      <c r="WUE131" s="204"/>
      <c r="WUF131" s="199"/>
      <c r="WUG131" s="167"/>
      <c r="WUH131" s="199"/>
      <c r="WUI131" s="200"/>
      <c r="WUJ131" s="201"/>
      <c r="WUK131" s="202"/>
      <c r="WUL131" s="202"/>
      <c r="WUM131" s="202"/>
      <c r="WUN131" s="202"/>
      <c r="WUO131" s="203"/>
      <c r="WUP131" s="204"/>
      <c r="WUQ131" s="204"/>
      <c r="WUR131" s="204"/>
      <c r="WUS131" s="205"/>
      <c r="WUT131" s="206"/>
      <c r="WUU131" s="207"/>
      <c r="WUV131" s="207"/>
      <c r="WUW131" s="208"/>
      <c r="WUX131" s="209"/>
      <c r="WUY131" s="207"/>
      <c r="WUZ131" s="210"/>
      <c r="WVA131" s="209"/>
      <c r="WVB131" s="204"/>
      <c r="WVC131" s="204"/>
      <c r="WVD131" s="204"/>
      <c r="WVE131" s="199"/>
      <c r="WVF131" s="167"/>
      <c r="WVG131" s="199"/>
      <c r="WVH131" s="200"/>
      <c r="WVI131" s="201"/>
      <c r="WVJ131" s="202"/>
      <c r="WVK131" s="202"/>
      <c r="WVL131" s="202"/>
      <c r="WVM131" s="202"/>
      <c r="WVN131" s="203"/>
      <c r="WVO131" s="204"/>
      <c r="WVP131" s="204"/>
      <c r="WVQ131" s="204"/>
      <c r="WVR131" s="205"/>
      <c r="WVS131" s="206"/>
      <c r="WVT131" s="207"/>
      <c r="WVU131" s="207"/>
      <c r="WVV131" s="208"/>
      <c r="WVW131" s="209"/>
      <c r="WVX131" s="207"/>
      <c r="WVY131" s="210"/>
      <c r="WVZ131" s="209"/>
      <c r="WWA131" s="204"/>
      <c r="WWB131" s="204"/>
      <c r="WWC131" s="204"/>
      <c r="WWD131" s="199"/>
      <c r="WWE131" s="167"/>
      <c r="WWF131" s="199"/>
      <c r="WWG131" s="200"/>
      <c r="WWH131" s="201"/>
      <c r="WWI131" s="202"/>
      <c r="WWJ131" s="202"/>
      <c r="WWK131" s="202"/>
      <c r="WWL131" s="202"/>
      <c r="WWM131" s="203"/>
      <c r="WWN131" s="204"/>
      <c r="WWO131" s="204"/>
      <c r="WWP131" s="204"/>
      <c r="WWQ131" s="205"/>
      <c r="WWR131" s="206"/>
      <c r="WWS131" s="207"/>
      <c r="WWT131" s="207"/>
      <c r="WWU131" s="208"/>
      <c r="WWV131" s="209"/>
      <c r="WWW131" s="207"/>
      <c r="WWX131" s="210"/>
      <c r="WWY131" s="209"/>
      <c r="WWZ131" s="204"/>
      <c r="WXA131" s="204"/>
      <c r="WXB131" s="204"/>
      <c r="WXC131" s="199"/>
      <c r="WXD131" s="167"/>
      <c r="WXE131" s="199"/>
      <c r="WXF131" s="200"/>
      <c r="WXG131" s="201"/>
      <c r="WXH131" s="202"/>
      <c r="WXI131" s="202"/>
      <c r="WXJ131" s="202"/>
      <c r="WXK131" s="202"/>
      <c r="WXL131" s="203"/>
      <c r="WXM131" s="204"/>
      <c r="WXN131" s="204"/>
      <c r="WXO131" s="204"/>
      <c r="WXP131" s="205"/>
      <c r="WXQ131" s="206"/>
      <c r="WXR131" s="207"/>
      <c r="WXS131" s="207"/>
      <c r="WXT131" s="208"/>
      <c r="WXU131" s="209"/>
      <c r="WXV131" s="207"/>
      <c r="WXW131" s="210"/>
      <c r="WXX131" s="209"/>
      <c r="WXY131" s="204"/>
      <c r="WXZ131" s="204"/>
      <c r="WYA131" s="204"/>
      <c r="WYB131" s="199"/>
      <c r="WYC131" s="167"/>
      <c r="WYD131" s="199"/>
      <c r="WYE131" s="200"/>
      <c r="WYF131" s="201"/>
      <c r="WYG131" s="202"/>
      <c r="WYH131" s="202"/>
      <c r="WYI131" s="202"/>
      <c r="WYJ131" s="202"/>
      <c r="WYK131" s="203"/>
      <c r="WYL131" s="204"/>
      <c r="WYM131" s="204"/>
      <c r="WYN131" s="204"/>
      <c r="WYO131" s="205"/>
      <c r="WYP131" s="206"/>
      <c r="WYQ131" s="207"/>
      <c r="WYR131" s="207"/>
      <c r="WYS131" s="208"/>
      <c r="WYT131" s="209"/>
      <c r="WYU131" s="207"/>
      <c r="WYV131" s="210"/>
      <c r="WYW131" s="209"/>
      <c r="WYX131" s="204"/>
      <c r="WYY131" s="204"/>
      <c r="WYZ131" s="204"/>
      <c r="WZA131" s="199"/>
      <c r="WZB131" s="167"/>
      <c r="WZC131" s="199"/>
      <c r="WZD131" s="200"/>
      <c r="WZE131" s="201"/>
      <c r="WZF131" s="202"/>
      <c r="WZG131" s="202"/>
      <c r="WZH131" s="202"/>
      <c r="WZI131" s="202"/>
      <c r="WZJ131" s="203"/>
      <c r="WZK131" s="204"/>
      <c r="WZL131" s="204"/>
      <c r="WZM131" s="204"/>
      <c r="WZN131" s="205"/>
      <c r="WZO131" s="206"/>
      <c r="WZP131" s="207"/>
      <c r="WZQ131" s="207"/>
      <c r="WZR131" s="208"/>
      <c r="WZS131" s="209"/>
      <c r="WZT131" s="207"/>
      <c r="WZU131" s="210"/>
      <c r="WZV131" s="209"/>
      <c r="WZW131" s="204"/>
      <c r="WZX131" s="204"/>
      <c r="WZY131" s="204"/>
      <c r="WZZ131" s="199"/>
      <c r="XAA131" s="167"/>
      <c r="XAB131" s="199"/>
      <c r="XAC131" s="200"/>
      <c r="XAD131" s="201"/>
      <c r="XAE131" s="202"/>
      <c r="XAF131" s="202"/>
      <c r="XAG131" s="202"/>
      <c r="XAH131" s="202"/>
      <c r="XAI131" s="203"/>
      <c r="XAJ131" s="204"/>
      <c r="XAK131" s="204"/>
      <c r="XAL131" s="204"/>
      <c r="XAM131" s="205"/>
      <c r="XAN131" s="206"/>
      <c r="XAO131" s="207"/>
      <c r="XAP131" s="207"/>
      <c r="XAQ131" s="208"/>
      <c r="XAR131" s="209"/>
      <c r="XAS131" s="207"/>
      <c r="XAT131" s="210"/>
      <c r="XAU131" s="209"/>
      <c r="XAV131" s="204"/>
      <c r="XAW131" s="204"/>
      <c r="XAX131" s="204"/>
      <c r="XAY131" s="199"/>
      <c r="XAZ131" s="167"/>
      <c r="XBA131" s="199"/>
      <c r="XBB131" s="200"/>
      <c r="XBC131" s="201"/>
      <c r="XBD131" s="202"/>
      <c r="XBE131" s="202"/>
      <c r="XBF131" s="202"/>
      <c r="XBG131" s="202"/>
      <c r="XBH131" s="203"/>
      <c r="XBI131" s="204"/>
      <c r="XBJ131" s="204"/>
      <c r="XBK131" s="204"/>
      <c r="XBL131" s="205"/>
      <c r="XBM131" s="206"/>
      <c r="XBN131" s="207"/>
      <c r="XBO131" s="207"/>
      <c r="XBP131" s="208"/>
      <c r="XBQ131" s="209"/>
      <c r="XBR131" s="207"/>
      <c r="XBS131" s="210"/>
      <c r="XBT131" s="209"/>
      <c r="XBU131" s="204"/>
      <c r="XBV131" s="204"/>
      <c r="XBW131" s="204"/>
      <c r="XBX131" s="199"/>
      <c r="XBY131" s="167"/>
      <c r="XBZ131" s="199"/>
      <c r="XCA131" s="200"/>
      <c r="XCB131" s="201"/>
      <c r="XCC131" s="202"/>
      <c r="XCD131" s="202"/>
      <c r="XCE131" s="202"/>
      <c r="XCF131" s="202"/>
      <c r="XCG131" s="203"/>
      <c r="XCH131" s="204"/>
      <c r="XCI131" s="204"/>
      <c r="XCJ131" s="204"/>
      <c r="XCK131" s="205"/>
      <c r="XCL131" s="206"/>
      <c r="XCM131" s="207"/>
      <c r="XCN131" s="207"/>
      <c r="XCO131" s="208"/>
      <c r="XCP131" s="209"/>
      <c r="XCQ131" s="207"/>
      <c r="XCR131" s="210"/>
      <c r="XCS131" s="209"/>
      <c r="XCT131" s="204"/>
      <c r="XCU131" s="204"/>
      <c r="XCV131" s="204"/>
      <c r="XCW131" s="199"/>
      <c r="XCX131" s="167"/>
      <c r="XCY131" s="199"/>
      <c r="XCZ131" s="200"/>
      <c r="XDA131" s="201"/>
      <c r="XDB131" s="202"/>
      <c r="XDC131" s="202"/>
      <c r="XDD131" s="202"/>
      <c r="XDE131" s="202"/>
      <c r="XDF131" s="203"/>
      <c r="XDG131" s="204"/>
      <c r="XDH131" s="204"/>
      <c r="XDI131" s="204"/>
      <c r="XDJ131" s="205"/>
      <c r="XDK131" s="206"/>
      <c r="XDL131" s="207"/>
      <c r="XDM131" s="207"/>
      <c r="XDN131" s="208"/>
      <c r="XDO131" s="209"/>
      <c r="XDP131" s="207"/>
      <c r="XDQ131" s="210"/>
      <c r="XDR131" s="209"/>
      <c r="XDS131" s="204"/>
      <c r="XDT131" s="204"/>
      <c r="XDU131" s="204"/>
      <c r="XDV131" s="199"/>
      <c r="XDW131" s="167"/>
      <c r="XDX131" s="199"/>
      <c r="XDY131" s="200"/>
      <c r="XDZ131" s="201"/>
      <c r="XEA131" s="202"/>
      <c r="XEB131" s="202"/>
      <c r="XEC131" s="202"/>
      <c r="XED131" s="202"/>
      <c r="XEE131" s="203"/>
      <c r="XEF131" s="204"/>
      <c r="XEG131" s="204"/>
      <c r="XEH131" s="204"/>
      <c r="XEI131" s="205"/>
      <c r="XEJ131" s="206"/>
      <c r="XEK131" s="207"/>
      <c r="XEL131" s="207"/>
      <c r="XEM131" s="208"/>
      <c r="XEN131" s="209"/>
      <c r="XEO131" s="207"/>
      <c r="XEP131" s="210"/>
      <c r="XEQ131" s="209"/>
      <c r="XER131" s="204"/>
      <c r="XES131" s="204"/>
      <c r="XET131" s="204"/>
      <c r="XEU131" s="199"/>
      <c r="XEV131" s="167"/>
      <c r="XEW131" s="199"/>
      <c r="XEX131" s="200"/>
      <c r="XEY131" s="201"/>
      <c r="XEZ131" s="202"/>
      <c r="XFA131" s="202"/>
      <c r="XFB131" s="202"/>
      <c r="XFC131" s="202"/>
    </row>
    <row r="132" spans="1:16383" ht="120" x14ac:dyDescent="0.2">
      <c r="A132" s="38" t="s">
        <v>54</v>
      </c>
      <c r="B132" s="66">
        <f t="shared" si="91"/>
        <v>2</v>
      </c>
      <c r="C132" s="66">
        <v>115</v>
      </c>
      <c r="D132" s="70">
        <v>117</v>
      </c>
      <c r="E132" s="51" t="s">
        <v>270</v>
      </c>
      <c r="F132" s="7" t="s">
        <v>325</v>
      </c>
      <c r="G132" s="15">
        <v>1</v>
      </c>
      <c r="H132" s="12" t="s">
        <v>57</v>
      </c>
      <c r="I132" s="10">
        <v>15</v>
      </c>
      <c r="J132" s="16" t="s">
        <v>67</v>
      </c>
      <c r="K132" s="108"/>
      <c r="L132" s="146"/>
      <c r="M132" s="108">
        <v>600000</v>
      </c>
      <c r="N132" s="148">
        <f>+M132*I132*G132</f>
        <v>9000000</v>
      </c>
      <c r="O132" s="108">
        <v>900000</v>
      </c>
      <c r="P132" s="148">
        <f>+O132*I132*G132</f>
        <v>13500000</v>
      </c>
      <c r="Q132" s="165">
        <f>+AVERAGE(M132,O132)</f>
        <v>750000</v>
      </c>
      <c r="R132" s="166">
        <f>+Q132*G132*I132</f>
        <v>11250000</v>
      </c>
      <c r="S132" s="222">
        <f>_xlfn.STDEV.P(M132,O132)</f>
        <v>150000</v>
      </c>
      <c r="T132" s="223">
        <f t="shared" si="109"/>
        <v>0.2</v>
      </c>
      <c r="U132" s="224">
        <f t="shared" si="117"/>
        <v>750000</v>
      </c>
      <c r="V132" s="225">
        <f>+U132*G132*I132</f>
        <v>11250000</v>
      </c>
      <c r="W132" s="149">
        <f>+S132/U132</f>
        <v>0.2</v>
      </c>
      <c r="X132" s="139"/>
      <c r="Y132" s="137" t="s">
        <v>759</v>
      </c>
      <c r="Z132" s="138" t="s">
        <v>752</v>
      </c>
    </row>
    <row r="133" spans="1:16383" ht="135" x14ac:dyDescent="0.2">
      <c r="A133" s="38" t="s">
        <v>20</v>
      </c>
      <c r="B133" s="66">
        <f t="shared" si="91"/>
        <v>1</v>
      </c>
      <c r="C133" s="66">
        <v>116</v>
      </c>
      <c r="D133" s="70">
        <v>118</v>
      </c>
      <c r="E133" s="51" t="s">
        <v>326</v>
      </c>
      <c r="F133" s="7" t="s">
        <v>327</v>
      </c>
      <c r="G133" s="15">
        <v>1</v>
      </c>
      <c r="H133" s="12" t="s">
        <v>131</v>
      </c>
      <c r="I133" s="10">
        <v>15</v>
      </c>
      <c r="J133" s="16" t="s">
        <v>67</v>
      </c>
      <c r="K133" s="105">
        <v>5114001</v>
      </c>
      <c r="L133" s="106">
        <f>+K133*G133*I133</f>
        <v>76710015</v>
      </c>
      <c r="M133" s="122"/>
      <c r="N133" s="123"/>
      <c r="O133" s="122"/>
      <c r="P133" s="123"/>
      <c r="Q133" s="165">
        <f>+AVERAGE(K133,M133,O133)</f>
        <v>5114001</v>
      </c>
      <c r="R133" s="166">
        <f>+Q133*G133*I133</f>
        <v>76710015</v>
      </c>
      <c r="S133" s="222">
        <f>_xlfn.STDEV.P(K133,M133,O133)</f>
        <v>0</v>
      </c>
      <c r="T133" s="223">
        <f t="shared" ref="T133:T139" si="135">+S133/Q133</f>
        <v>0</v>
      </c>
      <c r="U133" s="224">
        <f>+MEDIAN(K133,M133,O133)</f>
        <v>5114001</v>
      </c>
      <c r="V133" s="225">
        <f>+U133*G133*I133</f>
        <v>76710015</v>
      </c>
      <c r="W133" s="149">
        <f t="shared" ref="W133:W139" si="136">+S133/U133</f>
        <v>0</v>
      </c>
      <c r="X133" s="316" t="s">
        <v>819</v>
      </c>
      <c r="Y133" s="137"/>
      <c r="Z133" s="138"/>
    </row>
    <row r="134" spans="1:16383" ht="90" x14ac:dyDescent="0.2">
      <c r="A134" s="38" t="s">
        <v>20</v>
      </c>
      <c r="B134" s="66">
        <f t="shared" si="91"/>
        <v>1</v>
      </c>
      <c r="C134" s="66">
        <v>117</v>
      </c>
      <c r="D134" s="70">
        <v>119</v>
      </c>
      <c r="E134" s="51" t="s">
        <v>78</v>
      </c>
      <c r="F134" s="398" t="s">
        <v>79</v>
      </c>
      <c r="G134" s="15">
        <v>2</v>
      </c>
      <c r="H134" s="12" t="s">
        <v>131</v>
      </c>
      <c r="I134" s="10">
        <v>15</v>
      </c>
      <c r="J134" s="16" t="s">
        <v>67</v>
      </c>
      <c r="K134" s="105">
        <v>1602000</v>
      </c>
      <c r="L134" s="106">
        <f>+K134*G134*I134</f>
        <v>48060000</v>
      </c>
      <c r="M134" s="122"/>
      <c r="N134" s="123"/>
      <c r="O134" s="122"/>
      <c r="P134" s="123"/>
      <c r="Q134" s="165">
        <f>+AVERAGE(K134,M134,O134)</f>
        <v>1602000</v>
      </c>
      <c r="R134" s="166">
        <f>+Q134*G134*I134</f>
        <v>48060000</v>
      </c>
      <c r="S134" s="222">
        <f>_xlfn.STDEV.P(K134,M134,O134)</f>
        <v>0</v>
      </c>
      <c r="T134" s="223">
        <f t="shared" si="135"/>
        <v>0</v>
      </c>
      <c r="U134" s="224">
        <f>+MEDIAN(K134,M134,O134)</f>
        <v>1602000</v>
      </c>
      <c r="V134" s="225">
        <f>+U134*G134*I134</f>
        <v>48060000</v>
      </c>
      <c r="W134" s="149">
        <f t="shared" si="136"/>
        <v>0</v>
      </c>
      <c r="X134" s="316" t="s">
        <v>819</v>
      </c>
      <c r="Y134" s="137"/>
      <c r="Z134" s="138"/>
    </row>
    <row r="135" spans="1:16383" ht="51" x14ac:dyDescent="0.2">
      <c r="A135" s="38" t="s">
        <v>54</v>
      </c>
      <c r="B135" s="66">
        <f t="shared" si="91"/>
        <v>3</v>
      </c>
      <c r="C135" s="66">
        <v>118</v>
      </c>
      <c r="D135" s="70">
        <v>120</v>
      </c>
      <c r="E135" s="51" t="s">
        <v>328</v>
      </c>
      <c r="F135" s="399" t="s">
        <v>876</v>
      </c>
      <c r="G135" s="15">
        <v>15</v>
      </c>
      <c r="H135" s="12" t="s">
        <v>63</v>
      </c>
      <c r="I135" s="10"/>
      <c r="J135" s="11"/>
      <c r="K135" s="105">
        <f>+(476000*100)/119</f>
        <v>400000</v>
      </c>
      <c r="L135" s="121">
        <f>K135*G135</f>
        <v>6000000</v>
      </c>
      <c r="M135" s="105">
        <f>+(476000*100)/119</f>
        <v>400000</v>
      </c>
      <c r="N135" s="121">
        <f>M135*G135</f>
        <v>6000000</v>
      </c>
      <c r="O135" s="105">
        <f>+(476000*100)/119</f>
        <v>400000</v>
      </c>
      <c r="P135" s="121">
        <f>O135*G135</f>
        <v>6000000</v>
      </c>
      <c r="Q135" s="165">
        <f>+AVERAGE(K135,M135,O135)</f>
        <v>400000</v>
      </c>
      <c r="R135" s="166">
        <f>+Q135*G135</f>
        <v>6000000</v>
      </c>
      <c r="S135" s="222">
        <f>_xlfn.STDEV.P(K135,M135,O135)</f>
        <v>0</v>
      </c>
      <c r="T135" s="223">
        <f t="shared" si="135"/>
        <v>0</v>
      </c>
      <c r="U135" s="224">
        <f>+MEDIAN(K135,M135,O135)</f>
        <v>400000</v>
      </c>
      <c r="V135" s="225">
        <f>+U135*G135</f>
        <v>6000000</v>
      </c>
      <c r="W135" s="149">
        <f t="shared" si="136"/>
        <v>0</v>
      </c>
      <c r="X135" s="139"/>
      <c r="Y135" s="137"/>
      <c r="Z135" s="138"/>
    </row>
    <row r="136" spans="1:16383" ht="90" x14ac:dyDescent="0.2">
      <c r="A136" s="38" t="s">
        <v>54</v>
      </c>
      <c r="B136" s="66">
        <f t="shared" ref="B136:B197" si="137">+COUNT(K136,M136,O136)</f>
        <v>2</v>
      </c>
      <c r="C136" s="66">
        <v>119</v>
      </c>
      <c r="D136" s="70">
        <v>121</v>
      </c>
      <c r="E136" s="51" t="s">
        <v>329</v>
      </c>
      <c r="F136" s="7" t="s">
        <v>903</v>
      </c>
      <c r="G136" s="15">
        <v>60</v>
      </c>
      <c r="H136" s="14" t="s">
        <v>57</v>
      </c>
      <c r="I136" s="10"/>
      <c r="J136" s="11"/>
      <c r="K136" s="105"/>
      <c r="L136" s="121">
        <f>K136*G136</f>
        <v>0</v>
      </c>
      <c r="M136" s="105">
        <v>59748</v>
      </c>
      <c r="N136" s="121">
        <f>G136*M136</f>
        <v>3584880</v>
      </c>
      <c r="O136" s="105">
        <v>45000</v>
      </c>
      <c r="P136" s="121">
        <f>G136*O136</f>
        <v>2700000</v>
      </c>
      <c r="Q136" s="165">
        <f>+AVERAGE(M136,O136)</f>
        <v>52374</v>
      </c>
      <c r="R136" s="166">
        <f>+Q136*G136</f>
        <v>3142440</v>
      </c>
      <c r="S136" s="222">
        <f>_xlfn.STDEV.P(M136,O136)</f>
        <v>7374</v>
      </c>
      <c r="T136" s="223">
        <f t="shared" si="135"/>
        <v>0.14079505097949363</v>
      </c>
      <c r="U136" s="224">
        <f>+MEDIAN(M136,O136)</f>
        <v>52374</v>
      </c>
      <c r="V136" s="225">
        <f t="shared" ref="V136:V138" si="138">+U136*G136</f>
        <v>3142440</v>
      </c>
      <c r="W136" s="149">
        <f t="shared" si="136"/>
        <v>0.14079505097949363</v>
      </c>
      <c r="X136" s="139"/>
      <c r="Y136" s="137" t="s">
        <v>915</v>
      </c>
      <c r="Z136" s="138" t="s">
        <v>752</v>
      </c>
    </row>
    <row r="137" spans="1:16383" ht="120" x14ac:dyDescent="0.2">
      <c r="A137" s="38" t="s">
        <v>54</v>
      </c>
      <c r="B137" s="66">
        <f t="shared" si="137"/>
        <v>3</v>
      </c>
      <c r="C137" s="66">
        <v>120</v>
      </c>
      <c r="D137" s="70">
        <v>122</v>
      </c>
      <c r="E137" s="51" t="s">
        <v>330</v>
      </c>
      <c r="F137" s="7" t="s">
        <v>331</v>
      </c>
      <c r="G137" s="15">
        <v>60</v>
      </c>
      <c r="H137" s="14" t="s">
        <v>57</v>
      </c>
      <c r="I137" s="10"/>
      <c r="J137" s="11"/>
      <c r="K137" s="105">
        <v>19328</v>
      </c>
      <c r="L137" s="121">
        <f>K137*G137</f>
        <v>1159680</v>
      </c>
      <c r="M137" s="105">
        <v>43700</v>
      </c>
      <c r="N137" s="121">
        <f>G137*M137</f>
        <v>2622000</v>
      </c>
      <c r="O137" s="105">
        <v>30000</v>
      </c>
      <c r="P137" s="121">
        <f>G137*O137</f>
        <v>1800000</v>
      </c>
      <c r="Q137" s="165">
        <f t="shared" ref="Q137:Q139" si="139">+AVERAGE(K137,M137,O137)</f>
        <v>31009.333333333332</v>
      </c>
      <c r="R137" s="166">
        <f t="shared" ref="R137:R138" si="140">+Q137*G137</f>
        <v>1860560</v>
      </c>
      <c r="S137" s="222">
        <f t="shared" ref="S137:S139" si="141">_xlfn.STDEV.P(K137,M137,O137)</f>
        <v>9975.3917661858723</v>
      </c>
      <c r="T137" s="223">
        <f t="shared" si="135"/>
        <v>0.32168997827060258</v>
      </c>
      <c r="U137" s="224">
        <f t="shared" ref="U137:U139" si="142">+MEDIAN(K137,M137,O137)</f>
        <v>30000</v>
      </c>
      <c r="V137" s="225">
        <f t="shared" si="138"/>
        <v>1800000</v>
      </c>
      <c r="W137" s="149">
        <f t="shared" si="136"/>
        <v>0.33251305887286242</v>
      </c>
      <c r="X137" s="139" t="s">
        <v>807</v>
      </c>
      <c r="Y137" s="137" t="s">
        <v>759</v>
      </c>
      <c r="Z137" s="138" t="s">
        <v>752</v>
      </c>
    </row>
    <row r="138" spans="1:16383" ht="240" x14ac:dyDescent="0.2">
      <c r="A138" s="38" t="s">
        <v>54</v>
      </c>
      <c r="B138" s="66">
        <f t="shared" si="137"/>
        <v>3</v>
      </c>
      <c r="C138" s="66">
        <v>121</v>
      </c>
      <c r="D138" s="70">
        <v>123</v>
      </c>
      <c r="E138" s="51" t="s">
        <v>332</v>
      </c>
      <c r="F138" s="7" t="s">
        <v>333</v>
      </c>
      <c r="G138" s="15">
        <v>60</v>
      </c>
      <c r="H138" s="14" t="s">
        <v>57</v>
      </c>
      <c r="I138" s="10"/>
      <c r="J138" s="11"/>
      <c r="K138" s="105">
        <f>+(73300*100)/119</f>
        <v>61596.638655462186</v>
      </c>
      <c r="L138" s="121">
        <f>K138*G138</f>
        <v>3695798.3193277312</v>
      </c>
      <c r="M138" s="105">
        <v>128000</v>
      </c>
      <c r="N138" s="121">
        <f>G138*M138</f>
        <v>7680000</v>
      </c>
      <c r="O138" s="105">
        <v>120000</v>
      </c>
      <c r="P138" s="121">
        <f>G138*O138</f>
        <v>7200000</v>
      </c>
      <c r="Q138" s="165">
        <f t="shared" si="139"/>
        <v>103198.87955182073</v>
      </c>
      <c r="R138" s="166">
        <f t="shared" si="140"/>
        <v>6191932.7731092442</v>
      </c>
      <c r="S138" s="222">
        <f t="shared" si="141"/>
        <v>29597.971053198755</v>
      </c>
      <c r="T138" s="223">
        <f t="shared" si="135"/>
        <v>0.2868051589488072</v>
      </c>
      <c r="U138" s="224">
        <f t="shared" si="142"/>
        <v>120000</v>
      </c>
      <c r="V138" s="225">
        <f t="shared" si="138"/>
        <v>7200000</v>
      </c>
      <c r="W138" s="149">
        <f t="shared" si="136"/>
        <v>0.24664975877665629</v>
      </c>
      <c r="X138" s="139" t="s">
        <v>822</v>
      </c>
      <c r="Y138" s="137" t="s">
        <v>759</v>
      </c>
      <c r="Z138" s="138" t="s">
        <v>752</v>
      </c>
    </row>
    <row r="139" spans="1:16383" ht="256" thickBot="1" x14ac:dyDescent="0.25">
      <c r="A139" s="38" t="s">
        <v>54</v>
      </c>
      <c r="B139" s="66">
        <f t="shared" si="137"/>
        <v>3</v>
      </c>
      <c r="C139" s="66">
        <v>122</v>
      </c>
      <c r="D139" s="70">
        <v>124</v>
      </c>
      <c r="E139" s="51" t="s">
        <v>334</v>
      </c>
      <c r="F139" s="7" t="s">
        <v>848</v>
      </c>
      <c r="G139" s="15">
        <v>60</v>
      </c>
      <c r="H139" s="14" t="s">
        <v>57</v>
      </c>
      <c r="I139" s="10"/>
      <c r="J139" s="11"/>
      <c r="K139" s="107">
        <f>+(18000*100)/119</f>
        <v>15126.050420168067</v>
      </c>
      <c r="L139" s="150">
        <f>K139*G139</f>
        <v>907563.02521008404</v>
      </c>
      <c r="M139" s="107">
        <f>+(19500*100)/119</f>
        <v>16386.55462184874</v>
      </c>
      <c r="N139" s="150">
        <f>G139*M139</f>
        <v>983193.27731092437</v>
      </c>
      <c r="O139" s="107">
        <f>+(18500*100)/119</f>
        <v>15546.218487394957</v>
      </c>
      <c r="P139" s="150">
        <f>G139*O139</f>
        <v>932773.10924369749</v>
      </c>
      <c r="Q139" s="165">
        <f t="shared" si="139"/>
        <v>15686.274509803921</v>
      </c>
      <c r="R139" s="166">
        <f>+Q139*G139</f>
        <v>941176.4705882353</v>
      </c>
      <c r="S139" s="222">
        <f t="shared" si="141"/>
        <v>524.04165080867563</v>
      </c>
      <c r="T139" s="223">
        <f t="shared" si="135"/>
        <v>3.340765523905307E-2</v>
      </c>
      <c r="U139" s="224">
        <f t="shared" si="142"/>
        <v>15546.218487394957</v>
      </c>
      <c r="V139" s="225">
        <f>+U139*G139</f>
        <v>932773.10924369749</v>
      </c>
      <c r="W139" s="149">
        <f t="shared" si="136"/>
        <v>3.3708625106071567E-2</v>
      </c>
      <c r="X139" s="139" t="s">
        <v>772</v>
      </c>
      <c r="Y139" s="137" t="s">
        <v>773</v>
      </c>
      <c r="Z139" s="138" t="s">
        <v>774</v>
      </c>
    </row>
    <row r="140" spans="1:16383" ht="20" thickBot="1" x14ac:dyDescent="0.25">
      <c r="A140" s="49">
        <v>1</v>
      </c>
      <c r="B140" s="193"/>
      <c r="C140" s="460"/>
      <c r="D140" s="69"/>
      <c r="E140" s="50"/>
      <c r="F140" s="400" t="s">
        <v>335</v>
      </c>
      <c r="G140" s="30"/>
      <c r="H140" s="30"/>
      <c r="I140" s="30"/>
      <c r="J140" s="30"/>
      <c r="K140" s="109"/>
      <c r="L140" s="110"/>
      <c r="M140" s="110"/>
      <c r="N140" s="110"/>
      <c r="O140" s="109"/>
      <c r="P140" s="110"/>
      <c r="Q140" s="194"/>
      <c r="R140" s="194"/>
      <c r="S140" s="195"/>
      <c r="T140" s="196"/>
      <c r="U140" s="194"/>
      <c r="V140" s="197"/>
      <c r="W140" s="196"/>
      <c r="X140" s="593"/>
      <c r="Y140" s="593"/>
      <c r="Z140" s="594"/>
      <c r="AA140" s="199"/>
      <c r="AB140" s="200"/>
      <c r="AC140" s="201"/>
      <c r="AD140" s="202"/>
      <c r="AE140" s="202"/>
      <c r="AF140" s="202"/>
      <c r="AG140" s="202"/>
      <c r="AH140" s="203"/>
      <c r="AI140" s="204"/>
      <c r="AJ140" s="204"/>
      <c r="AK140" s="204"/>
      <c r="AL140" s="205"/>
      <c r="AM140" s="206"/>
      <c r="AN140" s="207"/>
      <c r="AO140" s="207"/>
      <c r="AP140" s="208"/>
      <c r="AQ140" s="209"/>
      <c r="AR140" s="207"/>
      <c r="AS140" s="210"/>
      <c r="AT140" s="209"/>
      <c r="AU140" s="204"/>
      <c r="AV140" s="204"/>
      <c r="AW140" s="204"/>
      <c r="AX140" s="199"/>
      <c r="AY140" s="167"/>
      <c r="AZ140" s="199"/>
      <c r="BA140" s="200"/>
      <c r="BB140" s="201"/>
      <c r="BC140" s="202"/>
      <c r="BD140" s="202"/>
      <c r="BE140" s="202"/>
      <c r="BF140" s="202"/>
      <c r="BG140" s="203"/>
      <c r="BH140" s="204"/>
      <c r="BI140" s="204"/>
      <c r="BJ140" s="204"/>
      <c r="BK140" s="205"/>
      <c r="BL140" s="206"/>
      <c r="BM140" s="207"/>
      <c r="BN140" s="207"/>
      <c r="BO140" s="208"/>
      <c r="BP140" s="209"/>
      <c r="BQ140" s="207"/>
      <c r="BR140" s="210"/>
      <c r="BS140" s="209"/>
      <c r="BT140" s="204"/>
      <c r="BU140" s="204"/>
      <c r="BV140" s="204"/>
      <c r="BW140" s="199"/>
      <c r="BX140" s="167"/>
      <c r="BY140" s="199"/>
      <c r="BZ140" s="200"/>
      <c r="CA140" s="201"/>
      <c r="CB140" s="202"/>
      <c r="CC140" s="202"/>
      <c r="CD140" s="202"/>
      <c r="CE140" s="202"/>
      <c r="CF140" s="203"/>
      <c r="CG140" s="204"/>
      <c r="CH140" s="204"/>
      <c r="CI140" s="204"/>
      <c r="CJ140" s="205"/>
      <c r="CK140" s="206"/>
      <c r="CL140" s="207"/>
      <c r="CM140" s="207"/>
      <c r="CN140" s="208"/>
      <c r="CO140" s="209"/>
      <c r="CP140" s="207"/>
      <c r="CQ140" s="210"/>
      <c r="CR140" s="209"/>
      <c r="CS140" s="204"/>
      <c r="CT140" s="204"/>
      <c r="CU140" s="204"/>
      <c r="CV140" s="199"/>
      <c r="CW140" s="167"/>
      <c r="CX140" s="199"/>
      <c r="CY140" s="200"/>
      <c r="CZ140" s="201"/>
      <c r="DA140" s="202"/>
      <c r="DB140" s="202"/>
      <c r="DC140" s="202"/>
      <c r="DD140" s="202"/>
      <c r="DE140" s="203"/>
      <c r="DF140" s="204"/>
      <c r="DG140" s="204"/>
      <c r="DH140" s="204"/>
      <c r="DI140" s="205"/>
      <c r="DJ140" s="206"/>
      <c r="DK140" s="207"/>
      <c r="DL140" s="207"/>
      <c r="DM140" s="208"/>
      <c r="DN140" s="209"/>
      <c r="DO140" s="207"/>
      <c r="DP140" s="210"/>
      <c r="DQ140" s="209"/>
      <c r="DR140" s="204"/>
      <c r="DS140" s="204"/>
      <c r="DT140" s="204"/>
      <c r="DU140" s="199"/>
      <c r="DV140" s="167"/>
      <c r="DW140" s="199"/>
      <c r="DX140" s="200"/>
      <c r="DY140" s="201"/>
      <c r="DZ140" s="202"/>
      <c r="EA140" s="202"/>
      <c r="EB140" s="202"/>
      <c r="EC140" s="202"/>
      <c r="ED140" s="203"/>
      <c r="EE140" s="204"/>
      <c r="EF140" s="204"/>
      <c r="EG140" s="204"/>
      <c r="EH140" s="205"/>
      <c r="EI140" s="206"/>
      <c r="EJ140" s="207"/>
      <c r="EK140" s="207"/>
      <c r="EL140" s="208"/>
      <c r="EM140" s="209"/>
      <c r="EN140" s="207"/>
      <c r="EO140" s="210"/>
      <c r="EP140" s="209"/>
      <c r="EQ140" s="204"/>
      <c r="ER140" s="204"/>
      <c r="ES140" s="204"/>
      <c r="ET140" s="199"/>
      <c r="EU140" s="167"/>
      <c r="EV140" s="199"/>
      <c r="EW140" s="200"/>
      <c r="EX140" s="201"/>
      <c r="EY140" s="202"/>
      <c r="EZ140" s="202"/>
      <c r="FA140" s="202"/>
      <c r="FB140" s="202"/>
      <c r="FC140" s="203"/>
      <c r="FD140" s="204"/>
      <c r="FE140" s="204"/>
      <c r="FF140" s="204"/>
      <c r="FG140" s="205"/>
      <c r="FH140" s="206"/>
      <c r="FI140" s="207"/>
      <c r="FJ140" s="207"/>
      <c r="FK140" s="208"/>
      <c r="FL140" s="209"/>
      <c r="FM140" s="207"/>
      <c r="FN140" s="210"/>
      <c r="FO140" s="209"/>
      <c r="FP140" s="204"/>
      <c r="FQ140" s="204"/>
      <c r="FR140" s="204"/>
      <c r="FS140" s="199"/>
      <c r="FT140" s="167"/>
      <c r="FU140" s="199"/>
      <c r="FV140" s="200"/>
      <c r="FW140" s="201"/>
      <c r="FX140" s="202"/>
      <c r="FY140" s="202"/>
      <c r="FZ140" s="202"/>
      <c r="GA140" s="202"/>
      <c r="GB140" s="203"/>
      <c r="GC140" s="204"/>
      <c r="GD140" s="204"/>
      <c r="GE140" s="204"/>
      <c r="GF140" s="205"/>
      <c r="GG140" s="206"/>
      <c r="GH140" s="207"/>
      <c r="GI140" s="207"/>
      <c r="GJ140" s="208"/>
      <c r="GK140" s="209"/>
      <c r="GL140" s="207"/>
      <c r="GM140" s="210"/>
      <c r="GN140" s="209"/>
      <c r="GO140" s="204"/>
      <c r="GP140" s="204"/>
      <c r="GQ140" s="204"/>
      <c r="GR140" s="199"/>
      <c r="GS140" s="167"/>
      <c r="GT140" s="199"/>
      <c r="GU140" s="200"/>
      <c r="GV140" s="201"/>
      <c r="GW140" s="202"/>
      <c r="GX140" s="202"/>
      <c r="GY140" s="202"/>
      <c r="GZ140" s="202"/>
      <c r="HA140" s="203"/>
      <c r="HB140" s="204"/>
      <c r="HC140" s="204"/>
      <c r="HD140" s="204"/>
      <c r="HE140" s="205"/>
      <c r="HF140" s="206"/>
      <c r="HG140" s="207"/>
      <c r="HH140" s="207"/>
      <c r="HI140" s="208"/>
      <c r="HJ140" s="209"/>
      <c r="HK140" s="207"/>
      <c r="HL140" s="210"/>
      <c r="HM140" s="209"/>
      <c r="HN140" s="204"/>
      <c r="HO140" s="204"/>
      <c r="HP140" s="204"/>
      <c r="HQ140" s="199"/>
      <c r="HR140" s="167"/>
      <c r="HS140" s="199"/>
      <c r="HT140" s="200"/>
      <c r="HU140" s="201"/>
      <c r="HV140" s="202"/>
      <c r="HW140" s="202"/>
      <c r="HX140" s="202"/>
      <c r="HY140" s="202"/>
      <c r="HZ140" s="203"/>
      <c r="IA140" s="204"/>
      <c r="IB140" s="204"/>
      <c r="IC140" s="204"/>
      <c r="ID140" s="205"/>
      <c r="IE140" s="206"/>
      <c r="IF140" s="207"/>
      <c r="IG140" s="207"/>
      <c r="IH140" s="208"/>
      <c r="II140" s="209"/>
      <c r="IJ140" s="207"/>
      <c r="IK140" s="210"/>
      <c r="IL140" s="209"/>
      <c r="IM140" s="204"/>
      <c r="IN140" s="204"/>
      <c r="IO140" s="204"/>
      <c r="IP140" s="199"/>
      <c r="IQ140" s="167"/>
      <c r="IR140" s="199"/>
      <c r="IS140" s="200"/>
      <c r="IT140" s="201"/>
      <c r="IU140" s="202"/>
      <c r="IV140" s="202"/>
      <c r="IW140" s="202"/>
      <c r="IX140" s="202"/>
      <c r="IY140" s="203"/>
      <c r="IZ140" s="204"/>
      <c r="JA140" s="204"/>
      <c r="JB140" s="204"/>
      <c r="JC140" s="205"/>
      <c r="JD140" s="206"/>
      <c r="JE140" s="207"/>
      <c r="JF140" s="207"/>
      <c r="JG140" s="208"/>
      <c r="JH140" s="209"/>
      <c r="JI140" s="207"/>
      <c r="JJ140" s="210"/>
      <c r="JK140" s="209"/>
      <c r="JL140" s="204"/>
      <c r="JM140" s="204"/>
      <c r="JN140" s="204"/>
      <c r="JO140" s="199"/>
      <c r="JP140" s="167"/>
      <c r="JQ140" s="199"/>
      <c r="JR140" s="200"/>
      <c r="JS140" s="201"/>
      <c r="JT140" s="202"/>
      <c r="JU140" s="202"/>
      <c r="JV140" s="202"/>
      <c r="JW140" s="202"/>
      <c r="JX140" s="203"/>
      <c r="JY140" s="204"/>
      <c r="JZ140" s="204"/>
      <c r="KA140" s="204"/>
      <c r="KB140" s="205"/>
      <c r="KC140" s="206"/>
      <c r="KD140" s="207"/>
      <c r="KE140" s="207"/>
      <c r="KF140" s="208"/>
      <c r="KG140" s="209"/>
      <c r="KH140" s="207"/>
      <c r="KI140" s="210"/>
      <c r="KJ140" s="209"/>
      <c r="KK140" s="204"/>
      <c r="KL140" s="204"/>
      <c r="KM140" s="204"/>
      <c r="KN140" s="199"/>
      <c r="KO140" s="167"/>
      <c r="KP140" s="199"/>
      <c r="KQ140" s="200"/>
      <c r="KR140" s="201"/>
      <c r="KS140" s="202"/>
      <c r="KT140" s="202"/>
      <c r="KU140" s="202"/>
      <c r="KV140" s="202"/>
      <c r="KW140" s="203"/>
      <c r="KX140" s="204"/>
      <c r="KY140" s="204"/>
      <c r="KZ140" s="204"/>
      <c r="LA140" s="205"/>
      <c r="LB140" s="206"/>
      <c r="LC140" s="207"/>
      <c r="LD140" s="207"/>
      <c r="LE140" s="208"/>
      <c r="LF140" s="209"/>
      <c r="LG140" s="207"/>
      <c r="LH140" s="210"/>
      <c r="LI140" s="209"/>
      <c r="LJ140" s="204"/>
      <c r="LK140" s="204"/>
      <c r="LL140" s="204"/>
      <c r="LM140" s="199"/>
      <c r="LN140" s="167"/>
      <c r="LO140" s="199"/>
      <c r="LP140" s="200"/>
      <c r="LQ140" s="201"/>
      <c r="LR140" s="202"/>
      <c r="LS140" s="202"/>
      <c r="LT140" s="202"/>
      <c r="LU140" s="202"/>
      <c r="LV140" s="203"/>
      <c r="LW140" s="204"/>
      <c r="LX140" s="204"/>
      <c r="LY140" s="204"/>
      <c r="LZ140" s="205"/>
      <c r="MA140" s="206"/>
      <c r="MB140" s="207"/>
      <c r="MC140" s="207"/>
      <c r="MD140" s="208"/>
      <c r="ME140" s="209"/>
      <c r="MF140" s="207"/>
      <c r="MG140" s="210"/>
      <c r="MH140" s="209"/>
      <c r="MI140" s="204"/>
      <c r="MJ140" s="204"/>
      <c r="MK140" s="204"/>
      <c r="ML140" s="199"/>
      <c r="MM140" s="167"/>
      <c r="MN140" s="199"/>
      <c r="MO140" s="200"/>
      <c r="MP140" s="201"/>
      <c r="MQ140" s="202"/>
      <c r="MR140" s="202"/>
      <c r="MS140" s="202"/>
      <c r="MT140" s="202"/>
      <c r="MU140" s="203"/>
      <c r="MV140" s="204"/>
      <c r="MW140" s="204"/>
      <c r="MX140" s="204"/>
      <c r="MY140" s="205"/>
      <c r="MZ140" s="206"/>
      <c r="NA140" s="207"/>
      <c r="NB140" s="207"/>
      <c r="NC140" s="208"/>
      <c r="ND140" s="209"/>
      <c r="NE140" s="207"/>
      <c r="NF140" s="210"/>
      <c r="NG140" s="209"/>
      <c r="NH140" s="204"/>
      <c r="NI140" s="204"/>
      <c r="NJ140" s="204"/>
      <c r="NK140" s="199"/>
      <c r="NL140" s="167"/>
      <c r="NM140" s="199"/>
      <c r="NN140" s="200"/>
      <c r="NO140" s="201"/>
      <c r="NP140" s="202"/>
      <c r="NQ140" s="202"/>
      <c r="NR140" s="202"/>
      <c r="NS140" s="202"/>
      <c r="NT140" s="203"/>
      <c r="NU140" s="204"/>
      <c r="NV140" s="204"/>
      <c r="NW140" s="204"/>
      <c r="NX140" s="205"/>
      <c r="NY140" s="206"/>
      <c r="NZ140" s="207"/>
      <c r="OA140" s="207"/>
      <c r="OB140" s="208"/>
      <c r="OC140" s="209"/>
      <c r="OD140" s="207"/>
      <c r="OE140" s="210"/>
      <c r="OF140" s="209"/>
      <c r="OG140" s="204"/>
      <c r="OH140" s="204"/>
      <c r="OI140" s="204"/>
      <c r="OJ140" s="199"/>
      <c r="OK140" s="167"/>
      <c r="OL140" s="199"/>
      <c r="OM140" s="200"/>
      <c r="ON140" s="201"/>
      <c r="OO140" s="202"/>
      <c r="OP140" s="202"/>
      <c r="OQ140" s="202"/>
      <c r="OR140" s="202"/>
      <c r="OS140" s="203"/>
      <c r="OT140" s="204"/>
      <c r="OU140" s="204"/>
      <c r="OV140" s="204"/>
      <c r="OW140" s="205"/>
      <c r="OX140" s="206"/>
      <c r="OY140" s="207"/>
      <c r="OZ140" s="207"/>
      <c r="PA140" s="208"/>
      <c r="PB140" s="209"/>
      <c r="PC140" s="207"/>
      <c r="PD140" s="210"/>
      <c r="PE140" s="209"/>
      <c r="PF140" s="204"/>
      <c r="PG140" s="204"/>
      <c r="PH140" s="204"/>
      <c r="PI140" s="199"/>
      <c r="PJ140" s="167"/>
      <c r="PK140" s="199"/>
      <c r="PL140" s="200"/>
      <c r="PM140" s="201"/>
      <c r="PN140" s="202"/>
      <c r="PO140" s="202"/>
      <c r="PP140" s="202"/>
      <c r="PQ140" s="202"/>
      <c r="PR140" s="203"/>
      <c r="PS140" s="204"/>
      <c r="PT140" s="204"/>
      <c r="PU140" s="204"/>
      <c r="PV140" s="205"/>
      <c r="PW140" s="206"/>
      <c r="PX140" s="207"/>
      <c r="PY140" s="207"/>
      <c r="PZ140" s="208"/>
      <c r="QA140" s="209"/>
      <c r="QB140" s="207"/>
      <c r="QC140" s="210"/>
      <c r="QD140" s="209"/>
      <c r="QE140" s="204"/>
      <c r="QF140" s="204"/>
      <c r="QG140" s="204"/>
      <c r="QH140" s="199"/>
      <c r="QI140" s="167"/>
      <c r="QJ140" s="199"/>
      <c r="QK140" s="200"/>
      <c r="QL140" s="201"/>
      <c r="QM140" s="202"/>
      <c r="QN140" s="202"/>
      <c r="QO140" s="202"/>
      <c r="QP140" s="202"/>
      <c r="QQ140" s="203"/>
      <c r="QR140" s="204"/>
      <c r="QS140" s="204"/>
      <c r="QT140" s="204"/>
      <c r="QU140" s="205"/>
      <c r="QV140" s="206"/>
      <c r="QW140" s="207"/>
      <c r="QX140" s="207"/>
      <c r="QY140" s="208"/>
      <c r="QZ140" s="209"/>
      <c r="RA140" s="207"/>
      <c r="RB140" s="210"/>
      <c r="RC140" s="209"/>
      <c r="RD140" s="204"/>
      <c r="RE140" s="204"/>
      <c r="RF140" s="204"/>
      <c r="RG140" s="199"/>
      <c r="RH140" s="167"/>
      <c r="RI140" s="199"/>
      <c r="RJ140" s="200"/>
      <c r="RK140" s="201"/>
      <c r="RL140" s="202"/>
      <c r="RM140" s="202"/>
      <c r="RN140" s="202"/>
      <c r="RO140" s="202"/>
      <c r="RP140" s="203"/>
      <c r="RQ140" s="204"/>
      <c r="RR140" s="204"/>
      <c r="RS140" s="204"/>
      <c r="RT140" s="205"/>
      <c r="RU140" s="206"/>
      <c r="RV140" s="207"/>
      <c r="RW140" s="207"/>
      <c r="RX140" s="208"/>
      <c r="RY140" s="209"/>
      <c r="RZ140" s="207"/>
      <c r="SA140" s="210"/>
      <c r="SB140" s="209"/>
      <c r="SC140" s="204"/>
      <c r="SD140" s="204"/>
      <c r="SE140" s="204"/>
      <c r="SF140" s="199"/>
      <c r="SG140" s="167"/>
      <c r="SH140" s="199"/>
      <c r="SI140" s="200"/>
      <c r="SJ140" s="201"/>
      <c r="SK140" s="202"/>
      <c r="SL140" s="202"/>
      <c r="SM140" s="202"/>
      <c r="SN140" s="202"/>
      <c r="SO140" s="203"/>
      <c r="SP140" s="204"/>
      <c r="SQ140" s="204"/>
      <c r="SR140" s="204"/>
      <c r="SS140" s="205"/>
      <c r="ST140" s="206"/>
      <c r="SU140" s="207"/>
      <c r="SV140" s="207"/>
      <c r="SW140" s="208"/>
      <c r="SX140" s="209"/>
      <c r="SY140" s="207"/>
      <c r="SZ140" s="210"/>
      <c r="TA140" s="209"/>
      <c r="TB140" s="204"/>
      <c r="TC140" s="204"/>
      <c r="TD140" s="204"/>
      <c r="TE140" s="199"/>
      <c r="TF140" s="167"/>
      <c r="TG140" s="199"/>
      <c r="TH140" s="200"/>
      <c r="TI140" s="201"/>
      <c r="TJ140" s="202"/>
      <c r="TK140" s="202"/>
      <c r="TL140" s="202"/>
      <c r="TM140" s="202"/>
      <c r="TN140" s="203"/>
      <c r="TO140" s="204"/>
      <c r="TP140" s="204"/>
      <c r="TQ140" s="204"/>
      <c r="TR140" s="205"/>
      <c r="TS140" s="206"/>
      <c r="TT140" s="207"/>
      <c r="TU140" s="207"/>
      <c r="TV140" s="208"/>
      <c r="TW140" s="209"/>
      <c r="TX140" s="207"/>
      <c r="TY140" s="210"/>
      <c r="TZ140" s="209"/>
      <c r="UA140" s="204"/>
      <c r="UB140" s="204"/>
      <c r="UC140" s="204"/>
      <c r="UD140" s="199"/>
      <c r="UE140" s="167"/>
      <c r="UF140" s="199"/>
      <c r="UG140" s="200"/>
      <c r="UH140" s="201"/>
      <c r="UI140" s="202"/>
      <c r="UJ140" s="202"/>
      <c r="UK140" s="202"/>
      <c r="UL140" s="202"/>
      <c r="UM140" s="203"/>
      <c r="UN140" s="204"/>
      <c r="UO140" s="204"/>
      <c r="UP140" s="204"/>
      <c r="UQ140" s="205"/>
      <c r="UR140" s="206"/>
      <c r="US140" s="207"/>
      <c r="UT140" s="207"/>
      <c r="UU140" s="208"/>
      <c r="UV140" s="209"/>
      <c r="UW140" s="207"/>
      <c r="UX140" s="210"/>
      <c r="UY140" s="209"/>
      <c r="UZ140" s="204"/>
      <c r="VA140" s="204"/>
      <c r="VB140" s="204"/>
      <c r="VC140" s="199"/>
      <c r="VD140" s="167"/>
      <c r="VE140" s="199"/>
      <c r="VF140" s="200"/>
      <c r="VG140" s="201"/>
      <c r="VH140" s="202"/>
      <c r="VI140" s="202"/>
      <c r="VJ140" s="202"/>
      <c r="VK140" s="202"/>
      <c r="VL140" s="203"/>
      <c r="VM140" s="204"/>
      <c r="VN140" s="204"/>
      <c r="VO140" s="204"/>
      <c r="VP140" s="205"/>
      <c r="VQ140" s="206"/>
      <c r="VR140" s="207"/>
      <c r="VS140" s="207"/>
      <c r="VT140" s="208"/>
      <c r="VU140" s="209"/>
      <c r="VV140" s="207"/>
      <c r="VW140" s="210"/>
      <c r="VX140" s="209"/>
      <c r="VY140" s="204"/>
      <c r="VZ140" s="204"/>
      <c r="WA140" s="204"/>
      <c r="WB140" s="199"/>
      <c r="WC140" s="167"/>
      <c r="WD140" s="199"/>
      <c r="WE140" s="200"/>
      <c r="WF140" s="201"/>
      <c r="WG140" s="202"/>
      <c r="WH140" s="202"/>
      <c r="WI140" s="202"/>
      <c r="WJ140" s="202"/>
      <c r="WK140" s="203"/>
      <c r="WL140" s="204"/>
      <c r="WM140" s="204"/>
      <c r="WN140" s="204"/>
      <c r="WO140" s="205"/>
      <c r="WP140" s="206"/>
      <c r="WQ140" s="207"/>
      <c r="WR140" s="207"/>
      <c r="WS140" s="208"/>
      <c r="WT140" s="209"/>
      <c r="WU140" s="207"/>
      <c r="WV140" s="210"/>
      <c r="WW140" s="209"/>
      <c r="WX140" s="204"/>
      <c r="WY140" s="204"/>
      <c r="WZ140" s="204"/>
      <c r="XA140" s="199"/>
      <c r="XB140" s="167"/>
      <c r="XC140" s="199"/>
      <c r="XD140" s="200"/>
      <c r="XE140" s="201"/>
      <c r="XF140" s="202"/>
      <c r="XG140" s="202"/>
      <c r="XH140" s="202"/>
      <c r="XI140" s="202"/>
      <c r="XJ140" s="203"/>
      <c r="XK140" s="204"/>
      <c r="XL140" s="204"/>
      <c r="XM140" s="204"/>
      <c r="XN140" s="205"/>
      <c r="XO140" s="206"/>
      <c r="XP140" s="207"/>
      <c r="XQ140" s="207"/>
      <c r="XR140" s="208"/>
      <c r="XS140" s="209"/>
      <c r="XT140" s="207"/>
      <c r="XU140" s="210"/>
      <c r="XV140" s="209"/>
      <c r="XW140" s="204"/>
      <c r="XX140" s="204"/>
      <c r="XY140" s="204"/>
      <c r="XZ140" s="199"/>
      <c r="YA140" s="167"/>
      <c r="YB140" s="199"/>
      <c r="YC140" s="200"/>
      <c r="YD140" s="201"/>
      <c r="YE140" s="202"/>
      <c r="YF140" s="202"/>
      <c r="YG140" s="202"/>
      <c r="YH140" s="202"/>
      <c r="YI140" s="203"/>
      <c r="YJ140" s="204"/>
      <c r="YK140" s="204"/>
      <c r="YL140" s="204"/>
      <c r="YM140" s="205"/>
      <c r="YN140" s="206"/>
      <c r="YO140" s="207"/>
      <c r="YP140" s="207"/>
      <c r="YQ140" s="208"/>
      <c r="YR140" s="209"/>
      <c r="YS140" s="207"/>
      <c r="YT140" s="210"/>
      <c r="YU140" s="209"/>
      <c r="YV140" s="204"/>
      <c r="YW140" s="204"/>
      <c r="YX140" s="204"/>
      <c r="YY140" s="199"/>
      <c r="YZ140" s="167"/>
      <c r="ZA140" s="199"/>
      <c r="ZB140" s="200"/>
      <c r="ZC140" s="201"/>
      <c r="ZD140" s="202"/>
      <c r="ZE140" s="202"/>
      <c r="ZF140" s="202"/>
      <c r="ZG140" s="202"/>
      <c r="ZH140" s="203"/>
      <c r="ZI140" s="204"/>
      <c r="ZJ140" s="204"/>
      <c r="ZK140" s="204"/>
      <c r="ZL140" s="205"/>
      <c r="ZM140" s="206"/>
      <c r="ZN140" s="207"/>
      <c r="ZO140" s="207"/>
      <c r="ZP140" s="208"/>
      <c r="ZQ140" s="209"/>
      <c r="ZR140" s="207"/>
      <c r="ZS140" s="210"/>
      <c r="ZT140" s="209"/>
      <c r="ZU140" s="204"/>
      <c r="ZV140" s="204"/>
      <c r="ZW140" s="204"/>
      <c r="ZX140" s="199"/>
      <c r="ZY140" s="167"/>
      <c r="ZZ140" s="199"/>
      <c r="AAA140" s="200"/>
      <c r="AAB140" s="201"/>
      <c r="AAC140" s="202"/>
      <c r="AAD140" s="202"/>
      <c r="AAE140" s="202"/>
      <c r="AAF140" s="202"/>
      <c r="AAG140" s="203"/>
      <c r="AAH140" s="204"/>
      <c r="AAI140" s="204"/>
      <c r="AAJ140" s="204"/>
      <c r="AAK140" s="205"/>
      <c r="AAL140" s="206"/>
      <c r="AAM140" s="207"/>
      <c r="AAN140" s="207"/>
      <c r="AAO140" s="208"/>
      <c r="AAP140" s="209"/>
      <c r="AAQ140" s="207"/>
      <c r="AAR140" s="210"/>
      <c r="AAS140" s="209"/>
      <c r="AAT140" s="204"/>
      <c r="AAU140" s="204"/>
      <c r="AAV140" s="204"/>
      <c r="AAW140" s="199"/>
      <c r="AAX140" s="167"/>
      <c r="AAY140" s="199"/>
      <c r="AAZ140" s="200"/>
      <c r="ABA140" s="201"/>
      <c r="ABB140" s="202"/>
      <c r="ABC140" s="202"/>
      <c r="ABD140" s="202"/>
      <c r="ABE140" s="202"/>
      <c r="ABF140" s="203"/>
      <c r="ABG140" s="204"/>
      <c r="ABH140" s="204"/>
      <c r="ABI140" s="204"/>
      <c r="ABJ140" s="205"/>
      <c r="ABK140" s="206"/>
      <c r="ABL140" s="207"/>
      <c r="ABM140" s="207"/>
      <c r="ABN140" s="208"/>
      <c r="ABO140" s="209"/>
      <c r="ABP140" s="207"/>
      <c r="ABQ140" s="210"/>
      <c r="ABR140" s="209"/>
      <c r="ABS140" s="204"/>
      <c r="ABT140" s="204"/>
      <c r="ABU140" s="204"/>
      <c r="ABV140" s="199"/>
      <c r="ABW140" s="167"/>
      <c r="ABX140" s="199"/>
      <c r="ABY140" s="200"/>
      <c r="ABZ140" s="201"/>
      <c r="ACA140" s="202"/>
      <c r="ACB140" s="202"/>
      <c r="ACC140" s="202"/>
      <c r="ACD140" s="202"/>
      <c r="ACE140" s="203"/>
      <c r="ACF140" s="204"/>
      <c r="ACG140" s="204"/>
      <c r="ACH140" s="204"/>
      <c r="ACI140" s="205"/>
      <c r="ACJ140" s="206"/>
      <c r="ACK140" s="207"/>
      <c r="ACL140" s="207"/>
      <c r="ACM140" s="208"/>
      <c r="ACN140" s="209"/>
      <c r="ACO140" s="207"/>
      <c r="ACP140" s="210"/>
      <c r="ACQ140" s="209"/>
      <c r="ACR140" s="204"/>
      <c r="ACS140" s="204"/>
      <c r="ACT140" s="204"/>
      <c r="ACU140" s="199"/>
      <c r="ACV140" s="167"/>
      <c r="ACW140" s="199"/>
      <c r="ACX140" s="200"/>
      <c r="ACY140" s="201"/>
      <c r="ACZ140" s="202"/>
      <c r="ADA140" s="202"/>
      <c r="ADB140" s="202"/>
      <c r="ADC140" s="202"/>
      <c r="ADD140" s="203"/>
      <c r="ADE140" s="204"/>
      <c r="ADF140" s="204"/>
      <c r="ADG140" s="204"/>
      <c r="ADH140" s="205"/>
      <c r="ADI140" s="206"/>
      <c r="ADJ140" s="207"/>
      <c r="ADK140" s="207"/>
      <c r="ADL140" s="208"/>
      <c r="ADM140" s="209"/>
      <c r="ADN140" s="207"/>
      <c r="ADO140" s="210"/>
      <c r="ADP140" s="209"/>
      <c r="ADQ140" s="204"/>
      <c r="ADR140" s="204"/>
      <c r="ADS140" s="204"/>
      <c r="ADT140" s="199"/>
      <c r="ADU140" s="167"/>
      <c r="ADV140" s="199"/>
      <c r="ADW140" s="200"/>
      <c r="ADX140" s="201"/>
      <c r="ADY140" s="202"/>
      <c r="ADZ140" s="202"/>
      <c r="AEA140" s="202"/>
      <c r="AEB140" s="202"/>
      <c r="AEC140" s="203"/>
      <c r="AED140" s="204"/>
      <c r="AEE140" s="204"/>
      <c r="AEF140" s="204"/>
      <c r="AEG140" s="205"/>
      <c r="AEH140" s="206"/>
      <c r="AEI140" s="207"/>
      <c r="AEJ140" s="207"/>
      <c r="AEK140" s="208"/>
      <c r="AEL140" s="209"/>
      <c r="AEM140" s="207"/>
      <c r="AEN140" s="210"/>
      <c r="AEO140" s="209"/>
      <c r="AEP140" s="204"/>
      <c r="AEQ140" s="204"/>
      <c r="AER140" s="204"/>
      <c r="AES140" s="199"/>
      <c r="AET140" s="167"/>
      <c r="AEU140" s="199"/>
      <c r="AEV140" s="200"/>
      <c r="AEW140" s="201"/>
      <c r="AEX140" s="202"/>
      <c r="AEY140" s="202"/>
      <c r="AEZ140" s="202"/>
      <c r="AFA140" s="202"/>
      <c r="AFB140" s="203"/>
      <c r="AFC140" s="204"/>
      <c r="AFD140" s="204"/>
      <c r="AFE140" s="204"/>
      <c r="AFF140" s="205"/>
      <c r="AFG140" s="206"/>
      <c r="AFH140" s="207"/>
      <c r="AFI140" s="207"/>
      <c r="AFJ140" s="208"/>
      <c r="AFK140" s="209"/>
      <c r="AFL140" s="207"/>
      <c r="AFM140" s="210"/>
      <c r="AFN140" s="209"/>
      <c r="AFO140" s="204"/>
      <c r="AFP140" s="204"/>
      <c r="AFQ140" s="204"/>
      <c r="AFR140" s="199"/>
      <c r="AFS140" s="167"/>
      <c r="AFT140" s="199"/>
      <c r="AFU140" s="200"/>
      <c r="AFV140" s="201"/>
      <c r="AFW140" s="202"/>
      <c r="AFX140" s="202"/>
      <c r="AFY140" s="202"/>
      <c r="AFZ140" s="202"/>
      <c r="AGA140" s="203"/>
      <c r="AGB140" s="204"/>
      <c r="AGC140" s="204"/>
      <c r="AGD140" s="204"/>
      <c r="AGE140" s="205"/>
      <c r="AGF140" s="206"/>
      <c r="AGG140" s="207"/>
      <c r="AGH140" s="207"/>
      <c r="AGI140" s="208"/>
      <c r="AGJ140" s="209"/>
      <c r="AGK140" s="207"/>
      <c r="AGL140" s="210"/>
      <c r="AGM140" s="209"/>
      <c r="AGN140" s="204"/>
      <c r="AGO140" s="204"/>
      <c r="AGP140" s="204"/>
      <c r="AGQ140" s="199"/>
      <c r="AGR140" s="167"/>
      <c r="AGS140" s="199"/>
      <c r="AGT140" s="200"/>
      <c r="AGU140" s="201"/>
      <c r="AGV140" s="202"/>
      <c r="AGW140" s="202"/>
      <c r="AGX140" s="202"/>
      <c r="AGY140" s="202"/>
      <c r="AGZ140" s="203"/>
      <c r="AHA140" s="204"/>
      <c r="AHB140" s="204"/>
      <c r="AHC140" s="204"/>
      <c r="AHD140" s="205"/>
      <c r="AHE140" s="206"/>
      <c r="AHF140" s="207"/>
      <c r="AHG140" s="207"/>
      <c r="AHH140" s="208"/>
      <c r="AHI140" s="209"/>
      <c r="AHJ140" s="207"/>
      <c r="AHK140" s="210"/>
      <c r="AHL140" s="209"/>
      <c r="AHM140" s="204"/>
      <c r="AHN140" s="204"/>
      <c r="AHO140" s="204"/>
      <c r="AHP140" s="199"/>
      <c r="AHQ140" s="167"/>
      <c r="AHR140" s="199"/>
      <c r="AHS140" s="200"/>
      <c r="AHT140" s="201"/>
      <c r="AHU140" s="202"/>
      <c r="AHV140" s="202"/>
      <c r="AHW140" s="202"/>
      <c r="AHX140" s="202"/>
      <c r="AHY140" s="203"/>
      <c r="AHZ140" s="204"/>
      <c r="AIA140" s="204"/>
      <c r="AIB140" s="204"/>
      <c r="AIC140" s="205"/>
      <c r="AID140" s="206"/>
      <c r="AIE140" s="207"/>
      <c r="AIF140" s="207"/>
      <c r="AIG140" s="208"/>
      <c r="AIH140" s="209"/>
      <c r="AII140" s="207"/>
      <c r="AIJ140" s="210"/>
      <c r="AIK140" s="209"/>
      <c r="AIL140" s="204"/>
      <c r="AIM140" s="204"/>
      <c r="AIN140" s="204"/>
      <c r="AIO140" s="199"/>
      <c r="AIP140" s="167"/>
      <c r="AIQ140" s="199"/>
      <c r="AIR140" s="200"/>
      <c r="AIS140" s="201"/>
      <c r="AIT140" s="202"/>
      <c r="AIU140" s="202"/>
      <c r="AIV140" s="202"/>
      <c r="AIW140" s="202"/>
      <c r="AIX140" s="203"/>
      <c r="AIY140" s="204"/>
      <c r="AIZ140" s="204"/>
      <c r="AJA140" s="204"/>
      <c r="AJB140" s="205"/>
      <c r="AJC140" s="206"/>
      <c r="AJD140" s="207"/>
      <c r="AJE140" s="207"/>
      <c r="AJF140" s="208"/>
      <c r="AJG140" s="209"/>
      <c r="AJH140" s="207"/>
      <c r="AJI140" s="210"/>
      <c r="AJJ140" s="209"/>
      <c r="AJK140" s="204"/>
      <c r="AJL140" s="204"/>
      <c r="AJM140" s="204"/>
      <c r="AJN140" s="199"/>
      <c r="AJO140" s="167"/>
      <c r="AJP140" s="199"/>
      <c r="AJQ140" s="200"/>
      <c r="AJR140" s="201"/>
      <c r="AJS140" s="202"/>
      <c r="AJT140" s="202"/>
      <c r="AJU140" s="202"/>
      <c r="AJV140" s="202"/>
      <c r="AJW140" s="203"/>
      <c r="AJX140" s="204"/>
      <c r="AJY140" s="204"/>
      <c r="AJZ140" s="204"/>
      <c r="AKA140" s="205"/>
      <c r="AKB140" s="206"/>
      <c r="AKC140" s="207"/>
      <c r="AKD140" s="207"/>
      <c r="AKE140" s="208"/>
      <c r="AKF140" s="209"/>
      <c r="AKG140" s="207"/>
      <c r="AKH140" s="210"/>
      <c r="AKI140" s="209"/>
      <c r="AKJ140" s="204"/>
      <c r="AKK140" s="204"/>
      <c r="AKL140" s="204"/>
      <c r="AKM140" s="199"/>
      <c r="AKN140" s="167"/>
      <c r="AKO140" s="199"/>
      <c r="AKP140" s="200"/>
      <c r="AKQ140" s="201"/>
      <c r="AKR140" s="202"/>
      <c r="AKS140" s="202"/>
      <c r="AKT140" s="202"/>
      <c r="AKU140" s="202"/>
      <c r="AKV140" s="203"/>
      <c r="AKW140" s="204"/>
      <c r="AKX140" s="204"/>
      <c r="AKY140" s="204"/>
      <c r="AKZ140" s="205"/>
      <c r="ALA140" s="206"/>
      <c r="ALB140" s="207"/>
      <c r="ALC140" s="207"/>
      <c r="ALD140" s="208"/>
      <c r="ALE140" s="209"/>
      <c r="ALF140" s="207"/>
      <c r="ALG140" s="210"/>
      <c r="ALH140" s="209"/>
      <c r="ALI140" s="204"/>
      <c r="ALJ140" s="204"/>
      <c r="ALK140" s="204"/>
      <c r="ALL140" s="199"/>
      <c r="ALM140" s="167"/>
      <c r="ALN140" s="199"/>
      <c r="ALO140" s="200"/>
      <c r="ALP140" s="201"/>
      <c r="ALQ140" s="202"/>
      <c r="ALR140" s="202"/>
      <c r="ALS140" s="202"/>
      <c r="ALT140" s="202"/>
      <c r="ALU140" s="203"/>
      <c r="ALV140" s="204"/>
      <c r="ALW140" s="204"/>
      <c r="ALX140" s="204"/>
      <c r="ALY140" s="205"/>
      <c r="ALZ140" s="206"/>
      <c r="AMA140" s="207"/>
      <c r="AMB140" s="207"/>
      <c r="AMC140" s="208"/>
      <c r="AMD140" s="209"/>
      <c r="AME140" s="207"/>
      <c r="AMF140" s="210"/>
      <c r="AMG140" s="209"/>
      <c r="AMH140" s="204"/>
      <c r="AMI140" s="204"/>
      <c r="AMJ140" s="204"/>
      <c r="AMK140" s="199"/>
      <c r="AML140" s="167"/>
      <c r="AMM140" s="199"/>
      <c r="AMN140" s="200"/>
      <c r="AMO140" s="201"/>
      <c r="AMP140" s="202"/>
      <c r="AMQ140" s="202"/>
      <c r="AMR140" s="202"/>
      <c r="AMS140" s="202"/>
      <c r="AMT140" s="203"/>
      <c r="AMU140" s="204"/>
      <c r="AMV140" s="204"/>
      <c r="AMW140" s="204"/>
      <c r="AMX140" s="205"/>
      <c r="AMY140" s="206"/>
      <c r="AMZ140" s="207"/>
      <c r="ANA140" s="207"/>
      <c r="ANB140" s="208"/>
      <c r="ANC140" s="209"/>
      <c r="AND140" s="207"/>
      <c r="ANE140" s="210"/>
      <c r="ANF140" s="209"/>
      <c r="ANG140" s="204"/>
      <c r="ANH140" s="204"/>
      <c r="ANI140" s="204"/>
      <c r="ANJ140" s="199"/>
      <c r="ANK140" s="167"/>
      <c r="ANL140" s="199"/>
      <c r="ANM140" s="200"/>
      <c r="ANN140" s="201"/>
      <c r="ANO140" s="202"/>
      <c r="ANP140" s="202"/>
      <c r="ANQ140" s="202"/>
      <c r="ANR140" s="202"/>
      <c r="ANS140" s="203"/>
      <c r="ANT140" s="204"/>
      <c r="ANU140" s="204"/>
      <c r="ANV140" s="204"/>
      <c r="ANW140" s="205"/>
      <c r="ANX140" s="206"/>
      <c r="ANY140" s="207"/>
      <c r="ANZ140" s="207"/>
      <c r="AOA140" s="208"/>
      <c r="AOB140" s="209"/>
      <c r="AOC140" s="207"/>
      <c r="AOD140" s="210"/>
      <c r="AOE140" s="209"/>
      <c r="AOF140" s="204"/>
      <c r="AOG140" s="204"/>
      <c r="AOH140" s="204"/>
      <c r="AOI140" s="199"/>
      <c r="AOJ140" s="167"/>
      <c r="AOK140" s="199"/>
      <c r="AOL140" s="200"/>
      <c r="AOM140" s="201"/>
      <c r="AON140" s="202"/>
      <c r="AOO140" s="202"/>
      <c r="AOP140" s="202"/>
      <c r="AOQ140" s="202"/>
      <c r="AOR140" s="203"/>
      <c r="AOS140" s="204"/>
      <c r="AOT140" s="204"/>
      <c r="AOU140" s="204"/>
      <c r="AOV140" s="205"/>
      <c r="AOW140" s="206"/>
      <c r="AOX140" s="207"/>
      <c r="AOY140" s="207"/>
      <c r="AOZ140" s="208"/>
      <c r="APA140" s="209"/>
      <c r="APB140" s="207"/>
      <c r="APC140" s="210"/>
      <c r="APD140" s="209"/>
      <c r="APE140" s="204"/>
      <c r="APF140" s="204"/>
      <c r="APG140" s="204"/>
      <c r="APH140" s="199"/>
      <c r="API140" s="167"/>
      <c r="APJ140" s="199"/>
      <c r="APK140" s="200"/>
      <c r="APL140" s="201"/>
      <c r="APM140" s="202"/>
      <c r="APN140" s="202"/>
      <c r="APO140" s="202"/>
      <c r="APP140" s="202"/>
      <c r="APQ140" s="203"/>
      <c r="APR140" s="204"/>
      <c r="APS140" s="204"/>
      <c r="APT140" s="204"/>
      <c r="APU140" s="205"/>
      <c r="APV140" s="206"/>
      <c r="APW140" s="207"/>
      <c r="APX140" s="207"/>
      <c r="APY140" s="208"/>
      <c r="APZ140" s="209"/>
      <c r="AQA140" s="207"/>
      <c r="AQB140" s="210"/>
      <c r="AQC140" s="209"/>
      <c r="AQD140" s="204"/>
      <c r="AQE140" s="204"/>
      <c r="AQF140" s="204"/>
      <c r="AQG140" s="199"/>
      <c r="AQH140" s="167"/>
      <c r="AQI140" s="199"/>
      <c r="AQJ140" s="200"/>
      <c r="AQK140" s="201"/>
      <c r="AQL140" s="202"/>
      <c r="AQM140" s="202"/>
      <c r="AQN140" s="202"/>
      <c r="AQO140" s="202"/>
      <c r="AQP140" s="203"/>
      <c r="AQQ140" s="204"/>
      <c r="AQR140" s="204"/>
      <c r="AQS140" s="204"/>
      <c r="AQT140" s="205"/>
      <c r="AQU140" s="206"/>
      <c r="AQV140" s="207"/>
      <c r="AQW140" s="207"/>
      <c r="AQX140" s="208"/>
      <c r="AQY140" s="209"/>
      <c r="AQZ140" s="207"/>
      <c r="ARA140" s="210"/>
      <c r="ARB140" s="209"/>
      <c r="ARC140" s="204"/>
      <c r="ARD140" s="204"/>
      <c r="ARE140" s="204"/>
      <c r="ARF140" s="199"/>
      <c r="ARG140" s="167"/>
      <c r="ARH140" s="199"/>
      <c r="ARI140" s="200"/>
      <c r="ARJ140" s="201"/>
      <c r="ARK140" s="202"/>
      <c r="ARL140" s="202"/>
      <c r="ARM140" s="202"/>
      <c r="ARN140" s="202"/>
      <c r="ARO140" s="203"/>
      <c r="ARP140" s="204"/>
      <c r="ARQ140" s="204"/>
      <c r="ARR140" s="204"/>
      <c r="ARS140" s="205"/>
      <c r="ART140" s="206"/>
      <c r="ARU140" s="207"/>
      <c r="ARV140" s="207"/>
      <c r="ARW140" s="208"/>
      <c r="ARX140" s="209"/>
      <c r="ARY140" s="207"/>
      <c r="ARZ140" s="210"/>
      <c r="ASA140" s="209"/>
      <c r="ASB140" s="204"/>
      <c r="ASC140" s="204"/>
      <c r="ASD140" s="204"/>
      <c r="ASE140" s="199"/>
      <c r="ASF140" s="167"/>
      <c r="ASG140" s="199"/>
      <c r="ASH140" s="200"/>
      <c r="ASI140" s="201"/>
      <c r="ASJ140" s="202"/>
      <c r="ASK140" s="202"/>
      <c r="ASL140" s="202"/>
      <c r="ASM140" s="202"/>
      <c r="ASN140" s="203"/>
      <c r="ASO140" s="204"/>
      <c r="ASP140" s="204"/>
      <c r="ASQ140" s="204"/>
      <c r="ASR140" s="205"/>
      <c r="ASS140" s="206"/>
      <c r="AST140" s="207"/>
      <c r="ASU140" s="207"/>
      <c r="ASV140" s="208"/>
      <c r="ASW140" s="209"/>
      <c r="ASX140" s="207"/>
      <c r="ASY140" s="210"/>
      <c r="ASZ140" s="209"/>
      <c r="ATA140" s="204"/>
      <c r="ATB140" s="204"/>
      <c r="ATC140" s="204"/>
      <c r="ATD140" s="199"/>
      <c r="ATE140" s="167"/>
      <c r="ATF140" s="199"/>
      <c r="ATG140" s="200"/>
      <c r="ATH140" s="201"/>
      <c r="ATI140" s="202"/>
      <c r="ATJ140" s="202"/>
      <c r="ATK140" s="202"/>
      <c r="ATL140" s="202"/>
      <c r="ATM140" s="203"/>
      <c r="ATN140" s="204"/>
      <c r="ATO140" s="204"/>
      <c r="ATP140" s="204"/>
      <c r="ATQ140" s="205"/>
      <c r="ATR140" s="206"/>
      <c r="ATS140" s="207"/>
      <c r="ATT140" s="207"/>
      <c r="ATU140" s="208"/>
      <c r="ATV140" s="209"/>
      <c r="ATW140" s="207"/>
      <c r="ATX140" s="210"/>
      <c r="ATY140" s="209"/>
      <c r="ATZ140" s="204"/>
      <c r="AUA140" s="204"/>
      <c r="AUB140" s="204"/>
      <c r="AUC140" s="199"/>
      <c r="AUD140" s="167"/>
      <c r="AUE140" s="199"/>
      <c r="AUF140" s="200"/>
      <c r="AUG140" s="201"/>
      <c r="AUH140" s="202"/>
      <c r="AUI140" s="202"/>
      <c r="AUJ140" s="202"/>
      <c r="AUK140" s="202"/>
      <c r="AUL140" s="203"/>
      <c r="AUM140" s="204"/>
      <c r="AUN140" s="204"/>
      <c r="AUO140" s="204"/>
      <c r="AUP140" s="205"/>
      <c r="AUQ140" s="206"/>
      <c r="AUR140" s="207"/>
      <c r="AUS140" s="207"/>
      <c r="AUT140" s="208"/>
      <c r="AUU140" s="209"/>
      <c r="AUV140" s="207"/>
      <c r="AUW140" s="210"/>
      <c r="AUX140" s="209"/>
      <c r="AUY140" s="204"/>
      <c r="AUZ140" s="204"/>
      <c r="AVA140" s="204"/>
      <c r="AVB140" s="199"/>
      <c r="AVC140" s="167"/>
      <c r="AVD140" s="199"/>
      <c r="AVE140" s="200"/>
      <c r="AVF140" s="201"/>
      <c r="AVG140" s="202"/>
      <c r="AVH140" s="202"/>
      <c r="AVI140" s="202"/>
      <c r="AVJ140" s="202"/>
      <c r="AVK140" s="203"/>
      <c r="AVL140" s="204"/>
      <c r="AVM140" s="204"/>
      <c r="AVN140" s="204"/>
      <c r="AVO140" s="205"/>
      <c r="AVP140" s="206"/>
      <c r="AVQ140" s="207"/>
      <c r="AVR140" s="207"/>
      <c r="AVS140" s="208"/>
      <c r="AVT140" s="209"/>
      <c r="AVU140" s="207"/>
      <c r="AVV140" s="210"/>
      <c r="AVW140" s="209"/>
      <c r="AVX140" s="204"/>
      <c r="AVY140" s="204"/>
      <c r="AVZ140" s="204"/>
      <c r="AWA140" s="199"/>
      <c r="AWB140" s="167"/>
      <c r="AWC140" s="199"/>
      <c r="AWD140" s="200"/>
      <c r="AWE140" s="201"/>
      <c r="AWF140" s="202"/>
      <c r="AWG140" s="202"/>
      <c r="AWH140" s="202"/>
      <c r="AWI140" s="202"/>
      <c r="AWJ140" s="203"/>
      <c r="AWK140" s="204"/>
      <c r="AWL140" s="204"/>
      <c r="AWM140" s="204"/>
      <c r="AWN140" s="205"/>
      <c r="AWO140" s="206"/>
      <c r="AWP140" s="207"/>
      <c r="AWQ140" s="207"/>
      <c r="AWR140" s="208"/>
      <c r="AWS140" s="209"/>
      <c r="AWT140" s="207"/>
      <c r="AWU140" s="210"/>
      <c r="AWV140" s="209"/>
      <c r="AWW140" s="204"/>
      <c r="AWX140" s="204"/>
      <c r="AWY140" s="204"/>
      <c r="AWZ140" s="199"/>
      <c r="AXA140" s="167"/>
      <c r="AXB140" s="199"/>
      <c r="AXC140" s="200"/>
      <c r="AXD140" s="201"/>
      <c r="AXE140" s="202"/>
      <c r="AXF140" s="202"/>
      <c r="AXG140" s="202"/>
      <c r="AXH140" s="202"/>
      <c r="AXI140" s="203"/>
      <c r="AXJ140" s="204"/>
      <c r="AXK140" s="204"/>
      <c r="AXL140" s="204"/>
      <c r="AXM140" s="205"/>
      <c r="AXN140" s="206"/>
      <c r="AXO140" s="207"/>
      <c r="AXP140" s="207"/>
      <c r="AXQ140" s="208"/>
      <c r="AXR140" s="209"/>
      <c r="AXS140" s="207"/>
      <c r="AXT140" s="210"/>
      <c r="AXU140" s="209"/>
      <c r="AXV140" s="204"/>
      <c r="AXW140" s="204"/>
      <c r="AXX140" s="204"/>
      <c r="AXY140" s="199"/>
      <c r="AXZ140" s="167"/>
      <c r="AYA140" s="199"/>
      <c r="AYB140" s="200"/>
      <c r="AYC140" s="201"/>
      <c r="AYD140" s="202"/>
      <c r="AYE140" s="202"/>
      <c r="AYF140" s="202"/>
      <c r="AYG140" s="202"/>
      <c r="AYH140" s="203"/>
      <c r="AYI140" s="204"/>
      <c r="AYJ140" s="204"/>
      <c r="AYK140" s="204"/>
      <c r="AYL140" s="205"/>
      <c r="AYM140" s="206"/>
      <c r="AYN140" s="207"/>
      <c r="AYO140" s="207"/>
      <c r="AYP140" s="208"/>
      <c r="AYQ140" s="209"/>
      <c r="AYR140" s="207"/>
      <c r="AYS140" s="210"/>
      <c r="AYT140" s="209"/>
      <c r="AYU140" s="204"/>
      <c r="AYV140" s="204"/>
      <c r="AYW140" s="204"/>
      <c r="AYX140" s="199"/>
      <c r="AYY140" s="167"/>
      <c r="AYZ140" s="199"/>
      <c r="AZA140" s="200"/>
      <c r="AZB140" s="201"/>
      <c r="AZC140" s="202"/>
      <c r="AZD140" s="202"/>
      <c r="AZE140" s="202"/>
      <c r="AZF140" s="202"/>
      <c r="AZG140" s="203"/>
      <c r="AZH140" s="204"/>
      <c r="AZI140" s="204"/>
      <c r="AZJ140" s="204"/>
      <c r="AZK140" s="205"/>
      <c r="AZL140" s="206"/>
      <c r="AZM140" s="207"/>
      <c r="AZN140" s="207"/>
      <c r="AZO140" s="208"/>
      <c r="AZP140" s="209"/>
      <c r="AZQ140" s="207"/>
      <c r="AZR140" s="210"/>
      <c r="AZS140" s="209"/>
      <c r="AZT140" s="204"/>
      <c r="AZU140" s="204"/>
      <c r="AZV140" s="204"/>
      <c r="AZW140" s="199"/>
      <c r="AZX140" s="167"/>
      <c r="AZY140" s="199"/>
      <c r="AZZ140" s="200"/>
      <c r="BAA140" s="201"/>
      <c r="BAB140" s="202"/>
      <c r="BAC140" s="202"/>
      <c r="BAD140" s="202"/>
      <c r="BAE140" s="202"/>
      <c r="BAF140" s="203"/>
      <c r="BAG140" s="204"/>
      <c r="BAH140" s="204"/>
      <c r="BAI140" s="204"/>
      <c r="BAJ140" s="205"/>
      <c r="BAK140" s="206"/>
      <c r="BAL140" s="207"/>
      <c r="BAM140" s="207"/>
      <c r="BAN140" s="208"/>
      <c r="BAO140" s="209"/>
      <c r="BAP140" s="207"/>
      <c r="BAQ140" s="210"/>
      <c r="BAR140" s="209"/>
      <c r="BAS140" s="204"/>
      <c r="BAT140" s="204"/>
      <c r="BAU140" s="204"/>
      <c r="BAV140" s="199"/>
      <c r="BAW140" s="167"/>
      <c r="BAX140" s="199"/>
      <c r="BAY140" s="200"/>
      <c r="BAZ140" s="201"/>
      <c r="BBA140" s="202"/>
      <c r="BBB140" s="202"/>
      <c r="BBC140" s="202"/>
      <c r="BBD140" s="202"/>
      <c r="BBE140" s="203"/>
      <c r="BBF140" s="204"/>
      <c r="BBG140" s="204"/>
      <c r="BBH140" s="204"/>
      <c r="BBI140" s="205"/>
      <c r="BBJ140" s="206"/>
      <c r="BBK140" s="207"/>
      <c r="BBL140" s="207"/>
      <c r="BBM140" s="208"/>
      <c r="BBN140" s="209"/>
      <c r="BBO140" s="207"/>
      <c r="BBP140" s="210"/>
      <c r="BBQ140" s="209"/>
      <c r="BBR140" s="204"/>
      <c r="BBS140" s="204"/>
      <c r="BBT140" s="204"/>
      <c r="BBU140" s="199"/>
      <c r="BBV140" s="167"/>
      <c r="BBW140" s="199"/>
      <c r="BBX140" s="200"/>
      <c r="BBY140" s="201"/>
      <c r="BBZ140" s="202"/>
      <c r="BCA140" s="202"/>
      <c r="BCB140" s="202"/>
      <c r="BCC140" s="202"/>
      <c r="BCD140" s="203"/>
      <c r="BCE140" s="204"/>
      <c r="BCF140" s="204"/>
      <c r="BCG140" s="204"/>
      <c r="BCH140" s="205"/>
      <c r="BCI140" s="206"/>
      <c r="BCJ140" s="207"/>
      <c r="BCK140" s="207"/>
      <c r="BCL140" s="208"/>
      <c r="BCM140" s="209"/>
      <c r="BCN140" s="207"/>
      <c r="BCO140" s="210"/>
      <c r="BCP140" s="209"/>
      <c r="BCQ140" s="204"/>
      <c r="BCR140" s="204"/>
      <c r="BCS140" s="204"/>
      <c r="BCT140" s="199"/>
      <c r="BCU140" s="167"/>
      <c r="BCV140" s="199"/>
      <c r="BCW140" s="200"/>
      <c r="BCX140" s="201"/>
      <c r="BCY140" s="202"/>
      <c r="BCZ140" s="202"/>
      <c r="BDA140" s="202"/>
      <c r="BDB140" s="202"/>
      <c r="BDC140" s="203"/>
      <c r="BDD140" s="204"/>
      <c r="BDE140" s="204"/>
      <c r="BDF140" s="204"/>
      <c r="BDG140" s="205"/>
      <c r="BDH140" s="206"/>
      <c r="BDI140" s="207"/>
      <c r="BDJ140" s="207"/>
      <c r="BDK140" s="208"/>
      <c r="BDL140" s="209"/>
      <c r="BDM140" s="207"/>
      <c r="BDN140" s="210"/>
      <c r="BDO140" s="209"/>
      <c r="BDP140" s="204"/>
      <c r="BDQ140" s="204"/>
      <c r="BDR140" s="204"/>
      <c r="BDS140" s="199"/>
      <c r="BDT140" s="167"/>
      <c r="BDU140" s="199"/>
      <c r="BDV140" s="200"/>
      <c r="BDW140" s="201"/>
      <c r="BDX140" s="202"/>
      <c r="BDY140" s="202"/>
      <c r="BDZ140" s="202"/>
      <c r="BEA140" s="202"/>
      <c r="BEB140" s="203"/>
      <c r="BEC140" s="204"/>
      <c r="BED140" s="204"/>
      <c r="BEE140" s="204"/>
      <c r="BEF140" s="205"/>
      <c r="BEG140" s="206"/>
      <c r="BEH140" s="207"/>
      <c r="BEI140" s="207"/>
      <c r="BEJ140" s="208"/>
      <c r="BEK140" s="209"/>
      <c r="BEL140" s="207"/>
      <c r="BEM140" s="210"/>
      <c r="BEN140" s="209"/>
      <c r="BEO140" s="204"/>
      <c r="BEP140" s="204"/>
      <c r="BEQ140" s="204"/>
      <c r="BER140" s="199"/>
      <c r="BES140" s="167"/>
      <c r="BET140" s="199"/>
      <c r="BEU140" s="200"/>
      <c r="BEV140" s="201"/>
      <c r="BEW140" s="202"/>
      <c r="BEX140" s="202"/>
      <c r="BEY140" s="202"/>
      <c r="BEZ140" s="202"/>
      <c r="BFA140" s="203"/>
      <c r="BFB140" s="204"/>
      <c r="BFC140" s="204"/>
      <c r="BFD140" s="204"/>
      <c r="BFE140" s="205"/>
      <c r="BFF140" s="206"/>
      <c r="BFG140" s="207"/>
      <c r="BFH140" s="207"/>
      <c r="BFI140" s="208"/>
      <c r="BFJ140" s="209"/>
      <c r="BFK140" s="207"/>
      <c r="BFL140" s="210"/>
      <c r="BFM140" s="209"/>
      <c r="BFN140" s="204"/>
      <c r="BFO140" s="204"/>
      <c r="BFP140" s="204"/>
      <c r="BFQ140" s="199"/>
      <c r="BFR140" s="167"/>
      <c r="BFS140" s="199"/>
      <c r="BFT140" s="200"/>
      <c r="BFU140" s="201"/>
      <c r="BFV140" s="202"/>
      <c r="BFW140" s="202"/>
      <c r="BFX140" s="202"/>
      <c r="BFY140" s="202"/>
      <c r="BFZ140" s="203"/>
      <c r="BGA140" s="204"/>
      <c r="BGB140" s="204"/>
      <c r="BGC140" s="204"/>
      <c r="BGD140" s="205"/>
      <c r="BGE140" s="206"/>
      <c r="BGF140" s="207"/>
      <c r="BGG140" s="207"/>
      <c r="BGH140" s="208"/>
      <c r="BGI140" s="209"/>
      <c r="BGJ140" s="207"/>
      <c r="BGK140" s="210"/>
      <c r="BGL140" s="209"/>
      <c r="BGM140" s="204"/>
      <c r="BGN140" s="204"/>
      <c r="BGO140" s="204"/>
      <c r="BGP140" s="199"/>
      <c r="BGQ140" s="167"/>
      <c r="BGR140" s="199"/>
      <c r="BGS140" s="200"/>
      <c r="BGT140" s="201"/>
      <c r="BGU140" s="202"/>
      <c r="BGV140" s="202"/>
      <c r="BGW140" s="202"/>
      <c r="BGX140" s="202"/>
      <c r="BGY140" s="203"/>
      <c r="BGZ140" s="204"/>
      <c r="BHA140" s="204"/>
      <c r="BHB140" s="204"/>
      <c r="BHC140" s="205"/>
      <c r="BHD140" s="206"/>
      <c r="BHE140" s="207"/>
      <c r="BHF140" s="207"/>
      <c r="BHG140" s="208"/>
      <c r="BHH140" s="209"/>
      <c r="BHI140" s="207"/>
      <c r="BHJ140" s="210"/>
      <c r="BHK140" s="209"/>
      <c r="BHL140" s="204"/>
      <c r="BHM140" s="204"/>
      <c r="BHN140" s="204"/>
      <c r="BHO140" s="199"/>
      <c r="BHP140" s="167"/>
      <c r="BHQ140" s="199"/>
      <c r="BHR140" s="200"/>
      <c r="BHS140" s="201"/>
      <c r="BHT140" s="202"/>
      <c r="BHU140" s="202"/>
      <c r="BHV140" s="202"/>
      <c r="BHW140" s="202"/>
      <c r="BHX140" s="203"/>
      <c r="BHY140" s="204"/>
      <c r="BHZ140" s="204"/>
      <c r="BIA140" s="204"/>
      <c r="BIB140" s="205"/>
      <c r="BIC140" s="206"/>
      <c r="BID140" s="207"/>
      <c r="BIE140" s="207"/>
      <c r="BIF140" s="208"/>
      <c r="BIG140" s="209"/>
      <c r="BIH140" s="207"/>
      <c r="BII140" s="210"/>
      <c r="BIJ140" s="209"/>
      <c r="BIK140" s="204"/>
      <c r="BIL140" s="204"/>
      <c r="BIM140" s="204"/>
      <c r="BIN140" s="199"/>
      <c r="BIO140" s="167"/>
      <c r="BIP140" s="199"/>
      <c r="BIQ140" s="200"/>
      <c r="BIR140" s="201"/>
      <c r="BIS140" s="202"/>
      <c r="BIT140" s="202"/>
      <c r="BIU140" s="202"/>
      <c r="BIV140" s="202"/>
      <c r="BIW140" s="203"/>
      <c r="BIX140" s="204"/>
      <c r="BIY140" s="204"/>
      <c r="BIZ140" s="204"/>
      <c r="BJA140" s="205"/>
      <c r="BJB140" s="206"/>
      <c r="BJC140" s="207"/>
      <c r="BJD140" s="207"/>
      <c r="BJE140" s="208"/>
      <c r="BJF140" s="209"/>
      <c r="BJG140" s="207"/>
      <c r="BJH140" s="210"/>
      <c r="BJI140" s="209"/>
      <c r="BJJ140" s="204"/>
      <c r="BJK140" s="204"/>
      <c r="BJL140" s="204"/>
      <c r="BJM140" s="199"/>
      <c r="BJN140" s="167"/>
      <c r="BJO140" s="199"/>
      <c r="BJP140" s="200"/>
      <c r="BJQ140" s="201"/>
      <c r="BJR140" s="202"/>
      <c r="BJS140" s="202"/>
      <c r="BJT140" s="202"/>
      <c r="BJU140" s="202"/>
      <c r="BJV140" s="203"/>
      <c r="BJW140" s="204"/>
      <c r="BJX140" s="204"/>
      <c r="BJY140" s="204"/>
      <c r="BJZ140" s="205"/>
      <c r="BKA140" s="206"/>
      <c r="BKB140" s="207"/>
      <c r="BKC140" s="207"/>
      <c r="BKD140" s="208"/>
      <c r="BKE140" s="209"/>
      <c r="BKF140" s="207"/>
      <c r="BKG140" s="210"/>
      <c r="BKH140" s="209"/>
      <c r="BKI140" s="204"/>
      <c r="BKJ140" s="204"/>
      <c r="BKK140" s="204"/>
      <c r="BKL140" s="199"/>
      <c r="BKM140" s="167"/>
      <c r="BKN140" s="199"/>
      <c r="BKO140" s="200"/>
      <c r="BKP140" s="201"/>
      <c r="BKQ140" s="202"/>
      <c r="BKR140" s="202"/>
      <c r="BKS140" s="202"/>
      <c r="BKT140" s="202"/>
      <c r="BKU140" s="203"/>
      <c r="BKV140" s="204"/>
      <c r="BKW140" s="204"/>
      <c r="BKX140" s="204"/>
      <c r="BKY140" s="205"/>
      <c r="BKZ140" s="206"/>
      <c r="BLA140" s="207"/>
      <c r="BLB140" s="207"/>
      <c r="BLC140" s="208"/>
      <c r="BLD140" s="209"/>
      <c r="BLE140" s="207"/>
      <c r="BLF140" s="210"/>
      <c r="BLG140" s="209"/>
      <c r="BLH140" s="204"/>
      <c r="BLI140" s="204"/>
      <c r="BLJ140" s="204"/>
      <c r="BLK140" s="199"/>
      <c r="BLL140" s="167"/>
      <c r="BLM140" s="199"/>
      <c r="BLN140" s="200"/>
      <c r="BLO140" s="201"/>
      <c r="BLP140" s="202"/>
      <c r="BLQ140" s="202"/>
      <c r="BLR140" s="202"/>
      <c r="BLS140" s="202"/>
      <c r="BLT140" s="203"/>
      <c r="BLU140" s="204"/>
      <c r="BLV140" s="204"/>
      <c r="BLW140" s="204"/>
      <c r="BLX140" s="205"/>
      <c r="BLY140" s="206"/>
      <c r="BLZ140" s="207"/>
      <c r="BMA140" s="207"/>
      <c r="BMB140" s="208"/>
      <c r="BMC140" s="209"/>
      <c r="BMD140" s="207"/>
      <c r="BME140" s="210"/>
      <c r="BMF140" s="209"/>
      <c r="BMG140" s="204"/>
      <c r="BMH140" s="204"/>
      <c r="BMI140" s="204"/>
      <c r="BMJ140" s="199"/>
      <c r="BMK140" s="167"/>
      <c r="BML140" s="199"/>
      <c r="BMM140" s="200"/>
      <c r="BMN140" s="201"/>
      <c r="BMO140" s="202"/>
      <c r="BMP140" s="202"/>
      <c r="BMQ140" s="202"/>
      <c r="BMR140" s="202"/>
      <c r="BMS140" s="203"/>
      <c r="BMT140" s="204"/>
      <c r="BMU140" s="204"/>
      <c r="BMV140" s="204"/>
      <c r="BMW140" s="205"/>
      <c r="BMX140" s="206"/>
      <c r="BMY140" s="207"/>
      <c r="BMZ140" s="207"/>
      <c r="BNA140" s="208"/>
      <c r="BNB140" s="209"/>
      <c r="BNC140" s="207"/>
      <c r="BND140" s="210"/>
      <c r="BNE140" s="209"/>
      <c r="BNF140" s="204"/>
      <c r="BNG140" s="204"/>
      <c r="BNH140" s="204"/>
      <c r="BNI140" s="199"/>
      <c r="BNJ140" s="167"/>
      <c r="BNK140" s="199"/>
      <c r="BNL140" s="200"/>
      <c r="BNM140" s="201"/>
      <c r="BNN140" s="202"/>
      <c r="BNO140" s="202"/>
      <c r="BNP140" s="202"/>
      <c r="BNQ140" s="202"/>
      <c r="BNR140" s="203"/>
      <c r="BNS140" s="204"/>
      <c r="BNT140" s="204"/>
      <c r="BNU140" s="204"/>
      <c r="BNV140" s="205"/>
      <c r="BNW140" s="206"/>
      <c r="BNX140" s="207"/>
      <c r="BNY140" s="207"/>
      <c r="BNZ140" s="208"/>
      <c r="BOA140" s="209"/>
      <c r="BOB140" s="207"/>
      <c r="BOC140" s="210"/>
      <c r="BOD140" s="209"/>
      <c r="BOE140" s="204"/>
      <c r="BOF140" s="204"/>
      <c r="BOG140" s="204"/>
      <c r="BOH140" s="199"/>
      <c r="BOI140" s="167"/>
      <c r="BOJ140" s="199"/>
      <c r="BOK140" s="200"/>
      <c r="BOL140" s="201"/>
      <c r="BOM140" s="202"/>
      <c r="BON140" s="202"/>
      <c r="BOO140" s="202"/>
      <c r="BOP140" s="202"/>
      <c r="BOQ140" s="203"/>
      <c r="BOR140" s="204"/>
      <c r="BOS140" s="204"/>
      <c r="BOT140" s="204"/>
      <c r="BOU140" s="205"/>
      <c r="BOV140" s="206"/>
      <c r="BOW140" s="207"/>
      <c r="BOX140" s="207"/>
      <c r="BOY140" s="208"/>
      <c r="BOZ140" s="209"/>
      <c r="BPA140" s="207"/>
      <c r="BPB140" s="210"/>
      <c r="BPC140" s="209"/>
      <c r="BPD140" s="204"/>
      <c r="BPE140" s="204"/>
      <c r="BPF140" s="204"/>
      <c r="BPG140" s="199"/>
      <c r="BPH140" s="167"/>
      <c r="BPI140" s="199"/>
      <c r="BPJ140" s="200"/>
      <c r="BPK140" s="201"/>
      <c r="BPL140" s="202"/>
      <c r="BPM140" s="202"/>
      <c r="BPN140" s="202"/>
      <c r="BPO140" s="202"/>
      <c r="BPP140" s="203"/>
      <c r="BPQ140" s="204"/>
      <c r="BPR140" s="204"/>
      <c r="BPS140" s="204"/>
      <c r="BPT140" s="205"/>
      <c r="BPU140" s="206"/>
      <c r="BPV140" s="207"/>
      <c r="BPW140" s="207"/>
      <c r="BPX140" s="208"/>
      <c r="BPY140" s="209"/>
      <c r="BPZ140" s="207"/>
      <c r="BQA140" s="210"/>
      <c r="BQB140" s="209"/>
      <c r="BQC140" s="204"/>
      <c r="BQD140" s="204"/>
      <c r="BQE140" s="204"/>
      <c r="BQF140" s="199"/>
      <c r="BQG140" s="167"/>
      <c r="BQH140" s="199"/>
      <c r="BQI140" s="200"/>
      <c r="BQJ140" s="201"/>
      <c r="BQK140" s="202"/>
      <c r="BQL140" s="202"/>
      <c r="BQM140" s="202"/>
      <c r="BQN140" s="202"/>
      <c r="BQO140" s="203"/>
      <c r="BQP140" s="204"/>
      <c r="BQQ140" s="204"/>
      <c r="BQR140" s="204"/>
      <c r="BQS140" s="205"/>
      <c r="BQT140" s="206"/>
      <c r="BQU140" s="207"/>
      <c r="BQV140" s="207"/>
      <c r="BQW140" s="208"/>
      <c r="BQX140" s="209"/>
      <c r="BQY140" s="207"/>
      <c r="BQZ140" s="210"/>
      <c r="BRA140" s="209"/>
      <c r="BRB140" s="204"/>
      <c r="BRC140" s="204"/>
      <c r="BRD140" s="204"/>
      <c r="BRE140" s="199"/>
      <c r="BRF140" s="167"/>
      <c r="BRG140" s="199"/>
      <c r="BRH140" s="200"/>
      <c r="BRI140" s="201"/>
      <c r="BRJ140" s="202"/>
      <c r="BRK140" s="202"/>
      <c r="BRL140" s="202"/>
      <c r="BRM140" s="202"/>
      <c r="BRN140" s="203"/>
      <c r="BRO140" s="204"/>
      <c r="BRP140" s="204"/>
      <c r="BRQ140" s="204"/>
      <c r="BRR140" s="205"/>
      <c r="BRS140" s="206"/>
      <c r="BRT140" s="207"/>
      <c r="BRU140" s="207"/>
      <c r="BRV140" s="208"/>
      <c r="BRW140" s="209"/>
      <c r="BRX140" s="207"/>
      <c r="BRY140" s="210"/>
      <c r="BRZ140" s="209"/>
      <c r="BSA140" s="204"/>
      <c r="BSB140" s="204"/>
      <c r="BSC140" s="204"/>
      <c r="BSD140" s="199"/>
      <c r="BSE140" s="167"/>
      <c r="BSF140" s="199"/>
      <c r="BSG140" s="200"/>
      <c r="BSH140" s="201"/>
      <c r="BSI140" s="202"/>
      <c r="BSJ140" s="202"/>
      <c r="BSK140" s="202"/>
      <c r="BSL140" s="202"/>
      <c r="BSM140" s="203"/>
      <c r="BSN140" s="204"/>
      <c r="BSO140" s="204"/>
      <c r="BSP140" s="204"/>
      <c r="BSQ140" s="205"/>
      <c r="BSR140" s="206"/>
      <c r="BSS140" s="207"/>
      <c r="BST140" s="207"/>
      <c r="BSU140" s="208"/>
      <c r="BSV140" s="209"/>
      <c r="BSW140" s="207"/>
      <c r="BSX140" s="210"/>
      <c r="BSY140" s="209"/>
      <c r="BSZ140" s="204"/>
      <c r="BTA140" s="204"/>
      <c r="BTB140" s="204"/>
      <c r="BTC140" s="199"/>
      <c r="BTD140" s="167"/>
      <c r="BTE140" s="199"/>
      <c r="BTF140" s="200"/>
      <c r="BTG140" s="201"/>
      <c r="BTH140" s="202"/>
      <c r="BTI140" s="202"/>
      <c r="BTJ140" s="202"/>
      <c r="BTK140" s="202"/>
      <c r="BTL140" s="203"/>
      <c r="BTM140" s="204"/>
      <c r="BTN140" s="204"/>
      <c r="BTO140" s="204"/>
      <c r="BTP140" s="205"/>
      <c r="BTQ140" s="206"/>
      <c r="BTR140" s="207"/>
      <c r="BTS140" s="207"/>
      <c r="BTT140" s="208"/>
      <c r="BTU140" s="209"/>
      <c r="BTV140" s="207"/>
      <c r="BTW140" s="210"/>
      <c r="BTX140" s="209"/>
      <c r="BTY140" s="204"/>
      <c r="BTZ140" s="204"/>
      <c r="BUA140" s="204"/>
      <c r="BUB140" s="199"/>
      <c r="BUC140" s="167"/>
      <c r="BUD140" s="199"/>
      <c r="BUE140" s="200"/>
      <c r="BUF140" s="201"/>
      <c r="BUG140" s="202"/>
      <c r="BUH140" s="202"/>
      <c r="BUI140" s="202"/>
      <c r="BUJ140" s="202"/>
      <c r="BUK140" s="203"/>
      <c r="BUL140" s="204"/>
      <c r="BUM140" s="204"/>
      <c r="BUN140" s="204"/>
      <c r="BUO140" s="205"/>
      <c r="BUP140" s="206"/>
      <c r="BUQ140" s="207"/>
      <c r="BUR140" s="207"/>
      <c r="BUS140" s="208"/>
      <c r="BUT140" s="209"/>
      <c r="BUU140" s="207"/>
      <c r="BUV140" s="210"/>
      <c r="BUW140" s="209"/>
      <c r="BUX140" s="204"/>
      <c r="BUY140" s="204"/>
      <c r="BUZ140" s="204"/>
      <c r="BVA140" s="199"/>
      <c r="BVB140" s="167"/>
      <c r="BVC140" s="199"/>
      <c r="BVD140" s="200"/>
      <c r="BVE140" s="201"/>
      <c r="BVF140" s="202"/>
      <c r="BVG140" s="202"/>
      <c r="BVH140" s="202"/>
      <c r="BVI140" s="202"/>
      <c r="BVJ140" s="203"/>
      <c r="BVK140" s="204"/>
      <c r="BVL140" s="204"/>
      <c r="BVM140" s="204"/>
      <c r="BVN140" s="205"/>
      <c r="BVO140" s="206"/>
      <c r="BVP140" s="207"/>
      <c r="BVQ140" s="207"/>
      <c r="BVR140" s="208"/>
      <c r="BVS140" s="209"/>
      <c r="BVT140" s="207"/>
      <c r="BVU140" s="210"/>
      <c r="BVV140" s="209"/>
      <c r="BVW140" s="204"/>
      <c r="BVX140" s="204"/>
      <c r="BVY140" s="204"/>
      <c r="BVZ140" s="199"/>
      <c r="BWA140" s="167"/>
      <c r="BWB140" s="199"/>
      <c r="BWC140" s="200"/>
      <c r="BWD140" s="201"/>
      <c r="BWE140" s="202"/>
      <c r="BWF140" s="202"/>
      <c r="BWG140" s="202"/>
      <c r="BWH140" s="202"/>
      <c r="BWI140" s="203"/>
      <c r="BWJ140" s="204"/>
      <c r="BWK140" s="204"/>
      <c r="BWL140" s="204"/>
      <c r="BWM140" s="205"/>
      <c r="BWN140" s="206"/>
      <c r="BWO140" s="207"/>
      <c r="BWP140" s="207"/>
      <c r="BWQ140" s="208"/>
      <c r="BWR140" s="209"/>
      <c r="BWS140" s="207"/>
      <c r="BWT140" s="210"/>
      <c r="BWU140" s="209"/>
      <c r="BWV140" s="204"/>
      <c r="BWW140" s="204"/>
      <c r="BWX140" s="204"/>
      <c r="BWY140" s="199"/>
      <c r="BWZ140" s="167"/>
      <c r="BXA140" s="199"/>
      <c r="BXB140" s="200"/>
      <c r="BXC140" s="201"/>
      <c r="BXD140" s="202"/>
      <c r="BXE140" s="202"/>
      <c r="BXF140" s="202"/>
      <c r="BXG140" s="202"/>
      <c r="BXH140" s="203"/>
      <c r="BXI140" s="204"/>
      <c r="BXJ140" s="204"/>
      <c r="BXK140" s="204"/>
      <c r="BXL140" s="205"/>
      <c r="BXM140" s="206"/>
      <c r="BXN140" s="207"/>
      <c r="BXO140" s="207"/>
      <c r="BXP140" s="208"/>
      <c r="BXQ140" s="209"/>
      <c r="BXR140" s="207"/>
      <c r="BXS140" s="210"/>
      <c r="BXT140" s="209"/>
      <c r="BXU140" s="204"/>
      <c r="BXV140" s="204"/>
      <c r="BXW140" s="204"/>
      <c r="BXX140" s="199"/>
      <c r="BXY140" s="167"/>
      <c r="BXZ140" s="199"/>
      <c r="BYA140" s="200"/>
      <c r="BYB140" s="201"/>
      <c r="BYC140" s="202"/>
      <c r="BYD140" s="202"/>
      <c r="BYE140" s="202"/>
      <c r="BYF140" s="202"/>
      <c r="BYG140" s="203"/>
      <c r="BYH140" s="204"/>
      <c r="BYI140" s="204"/>
      <c r="BYJ140" s="204"/>
      <c r="BYK140" s="205"/>
      <c r="BYL140" s="206"/>
      <c r="BYM140" s="207"/>
      <c r="BYN140" s="207"/>
      <c r="BYO140" s="208"/>
      <c r="BYP140" s="209"/>
      <c r="BYQ140" s="207"/>
      <c r="BYR140" s="210"/>
      <c r="BYS140" s="209"/>
      <c r="BYT140" s="204"/>
      <c r="BYU140" s="204"/>
      <c r="BYV140" s="204"/>
      <c r="BYW140" s="199"/>
      <c r="BYX140" s="167"/>
      <c r="BYY140" s="199"/>
      <c r="BYZ140" s="200"/>
      <c r="BZA140" s="201"/>
      <c r="BZB140" s="202"/>
      <c r="BZC140" s="202"/>
      <c r="BZD140" s="202"/>
      <c r="BZE140" s="202"/>
      <c r="BZF140" s="203"/>
      <c r="BZG140" s="204"/>
      <c r="BZH140" s="204"/>
      <c r="BZI140" s="204"/>
      <c r="BZJ140" s="205"/>
      <c r="BZK140" s="206"/>
      <c r="BZL140" s="207"/>
      <c r="BZM140" s="207"/>
      <c r="BZN140" s="208"/>
      <c r="BZO140" s="209"/>
      <c r="BZP140" s="207"/>
      <c r="BZQ140" s="210"/>
      <c r="BZR140" s="209"/>
      <c r="BZS140" s="204"/>
      <c r="BZT140" s="204"/>
      <c r="BZU140" s="204"/>
      <c r="BZV140" s="199"/>
      <c r="BZW140" s="167"/>
      <c r="BZX140" s="199"/>
      <c r="BZY140" s="200"/>
      <c r="BZZ140" s="201"/>
      <c r="CAA140" s="202"/>
      <c r="CAB140" s="202"/>
      <c r="CAC140" s="202"/>
      <c r="CAD140" s="202"/>
      <c r="CAE140" s="203"/>
      <c r="CAF140" s="204"/>
      <c r="CAG140" s="204"/>
      <c r="CAH140" s="204"/>
      <c r="CAI140" s="205"/>
      <c r="CAJ140" s="206"/>
      <c r="CAK140" s="207"/>
      <c r="CAL140" s="207"/>
      <c r="CAM140" s="208"/>
      <c r="CAN140" s="209"/>
      <c r="CAO140" s="207"/>
      <c r="CAP140" s="210"/>
      <c r="CAQ140" s="209"/>
      <c r="CAR140" s="204"/>
      <c r="CAS140" s="204"/>
      <c r="CAT140" s="204"/>
      <c r="CAU140" s="199"/>
      <c r="CAV140" s="167"/>
      <c r="CAW140" s="199"/>
      <c r="CAX140" s="200"/>
      <c r="CAY140" s="201"/>
      <c r="CAZ140" s="202"/>
      <c r="CBA140" s="202"/>
      <c r="CBB140" s="202"/>
      <c r="CBC140" s="202"/>
      <c r="CBD140" s="203"/>
      <c r="CBE140" s="204"/>
      <c r="CBF140" s="204"/>
      <c r="CBG140" s="204"/>
      <c r="CBH140" s="205"/>
      <c r="CBI140" s="206"/>
      <c r="CBJ140" s="207"/>
      <c r="CBK140" s="207"/>
      <c r="CBL140" s="208"/>
      <c r="CBM140" s="209"/>
      <c r="CBN140" s="207"/>
      <c r="CBO140" s="210"/>
      <c r="CBP140" s="209"/>
      <c r="CBQ140" s="204"/>
      <c r="CBR140" s="204"/>
      <c r="CBS140" s="204"/>
      <c r="CBT140" s="199"/>
      <c r="CBU140" s="167"/>
      <c r="CBV140" s="199"/>
      <c r="CBW140" s="200"/>
      <c r="CBX140" s="201"/>
      <c r="CBY140" s="202"/>
      <c r="CBZ140" s="202"/>
      <c r="CCA140" s="202"/>
      <c r="CCB140" s="202"/>
      <c r="CCC140" s="203"/>
      <c r="CCD140" s="204"/>
      <c r="CCE140" s="204"/>
      <c r="CCF140" s="204"/>
      <c r="CCG140" s="205"/>
      <c r="CCH140" s="206"/>
      <c r="CCI140" s="207"/>
      <c r="CCJ140" s="207"/>
      <c r="CCK140" s="208"/>
      <c r="CCL140" s="209"/>
      <c r="CCM140" s="207"/>
      <c r="CCN140" s="210"/>
      <c r="CCO140" s="209"/>
      <c r="CCP140" s="204"/>
      <c r="CCQ140" s="204"/>
      <c r="CCR140" s="204"/>
      <c r="CCS140" s="199"/>
      <c r="CCT140" s="167"/>
      <c r="CCU140" s="199"/>
      <c r="CCV140" s="200"/>
      <c r="CCW140" s="201"/>
      <c r="CCX140" s="202"/>
      <c r="CCY140" s="202"/>
      <c r="CCZ140" s="202"/>
      <c r="CDA140" s="202"/>
      <c r="CDB140" s="203"/>
      <c r="CDC140" s="204"/>
      <c r="CDD140" s="204"/>
      <c r="CDE140" s="204"/>
      <c r="CDF140" s="205"/>
      <c r="CDG140" s="206"/>
      <c r="CDH140" s="207"/>
      <c r="CDI140" s="207"/>
      <c r="CDJ140" s="208"/>
      <c r="CDK140" s="209"/>
      <c r="CDL140" s="207"/>
      <c r="CDM140" s="210"/>
      <c r="CDN140" s="209"/>
      <c r="CDO140" s="204"/>
      <c r="CDP140" s="204"/>
      <c r="CDQ140" s="204"/>
      <c r="CDR140" s="199"/>
      <c r="CDS140" s="167"/>
      <c r="CDT140" s="199"/>
      <c r="CDU140" s="200"/>
      <c r="CDV140" s="201"/>
      <c r="CDW140" s="202"/>
      <c r="CDX140" s="202"/>
      <c r="CDY140" s="202"/>
      <c r="CDZ140" s="202"/>
      <c r="CEA140" s="203"/>
      <c r="CEB140" s="204"/>
      <c r="CEC140" s="204"/>
      <c r="CED140" s="204"/>
      <c r="CEE140" s="205"/>
      <c r="CEF140" s="206"/>
      <c r="CEG140" s="207"/>
      <c r="CEH140" s="207"/>
      <c r="CEI140" s="208"/>
      <c r="CEJ140" s="209"/>
      <c r="CEK140" s="207"/>
      <c r="CEL140" s="210"/>
      <c r="CEM140" s="209"/>
      <c r="CEN140" s="204"/>
      <c r="CEO140" s="204"/>
      <c r="CEP140" s="204"/>
      <c r="CEQ140" s="199"/>
      <c r="CER140" s="167"/>
      <c r="CES140" s="199"/>
      <c r="CET140" s="200"/>
      <c r="CEU140" s="201"/>
      <c r="CEV140" s="202"/>
      <c r="CEW140" s="202"/>
      <c r="CEX140" s="202"/>
      <c r="CEY140" s="202"/>
      <c r="CEZ140" s="203"/>
      <c r="CFA140" s="204"/>
      <c r="CFB140" s="204"/>
      <c r="CFC140" s="204"/>
      <c r="CFD140" s="205"/>
      <c r="CFE140" s="206"/>
      <c r="CFF140" s="207"/>
      <c r="CFG140" s="207"/>
      <c r="CFH140" s="208"/>
      <c r="CFI140" s="209"/>
      <c r="CFJ140" s="207"/>
      <c r="CFK140" s="210"/>
      <c r="CFL140" s="209"/>
      <c r="CFM140" s="204"/>
      <c r="CFN140" s="204"/>
      <c r="CFO140" s="204"/>
      <c r="CFP140" s="199"/>
      <c r="CFQ140" s="167"/>
      <c r="CFR140" s="199"/>
      <c r="CFS140" s="200"/>
      <c r="CFT140" s="201"/>
      <c r="CFU140" s="202"/>
      <c r="CFV140" s="202"/>
      <c r="CFW140" s="202"/>
      <c r="CFX140" s="202"/>
      <c r="CFY140" s="203"/>
      <c r="CFZ140" s="204"/>
      <c r="CGA140" s="204"/>
      <c r="CGB140" s="204"/>
      <c r="CGC140" s="205"/>
      <c r="CGD140" s="206"/>
      <c r="CGE140" s="207"/>
      <c r="CGF140" s="207"/>
      <c r="CGG140" s="208"/>
      <c r="CGH140" s="209"/>
      <c r="CGI140" s="207"/>
      <c r="CGJ140" s="210"/>
      <c r="CGK140" s="209"/>
      <c r="CGL140" s="204"/>
      <c r="CGM140" s="204"/>
      <c r="CGN140" s="204"/>
      <c r="CGO140" s="199"/>
      <c r="CGP140" s="167"/>
      <c r="CGQ140" s="199"/>
      <c r="CGR140" s="200"/>
      <c r="CGS140" s="201"/>
      <c r="CGT140" s="202"/>
      <c r="CGU140" s="202"/>
      <c r="CGV140" s="202"/>
      <c r="CGW140" s="202"/>
      <c r="CGX140" s="203"/>
      <c r="CGY140" s="204"/>
      <c r="CGZ140" s="204"/>
      <c r="CHA140" s="204"/>
      <c r="CHB140" s="205"/>
      <c r="CHC140" s="206"/>
      <c r="CHD140" s="207"/>
      <c r="CHE140" s="207"/>
      <c r="CHF140" s="208"/>
      <c r="CHG140" s="209"/>
      <c r="CHH140" s="207"/>
      <c r="CHI140" s="210"/>
      <c r="CHJ140" s="209"/>
      <c r="CHK140" s="204"/>
      <c r="CHL140" s="204"/>
      <c r="CHM140" s="204"/>
      <c r="CHN140" s="199"/>
      <c r="CHO140" s="167"/>
      <c r="CHP140" s="199"/>
      <c r="CHQ140" s="200"/>
      <c r="CHR140" s="201"/>
      <c r="CHS140" s="202"/>
      <c r="CHT140" s="202"/>
      <c r="CHU140" s="202"/>
      <c r="CHV140" s="202"/>
      <c r="CHW140" s="203"/>
      <c r="CHX140" s="204"/>
      <c r="CHY140" s="204"/>
      <c r="CHZ140" s="204"/>
      <c r="CIA140" s="205"/>
      <c r="CIB140" s="206"/>
      <c r="CIC140" s="207"/>
      <c r="CID140" s="207"/>
      <c r="CIE140" s="208"/>
      <c r="CIF140" s="209"/>
      <c r="CIG140" s="207"/>
      <c r="CIH140" s="210"/>
      <c r="CII140" s="209"/>
      <c r="CIJ140" s="204"/>
      <c r="CIK140" s="204"/>
      <c r="CIL140" s="204"/>
      <c r="CIM140" s="199"/>
      <c r="CIN140" s="167"/>
      <c r="CIO140" s="199"/>
      <c r="CIP140" s="200"/>
      <c r="CIQ140" s="201"/>
      <c r="CIR140" s="202"/>
      <c r="CIS140" s="202"/>
      <c r="CIT140" s="202"/>
      <c r="CIU140" s="202"/>
      <c r="CIV140" s="203"/>
      <c r="CIW140" s="204"/>
      <c r="CIX140" s="204"/>
      <c r="CIY140" s="204"/>
      <c r="CIZ140" s="205"/>
      <c r="CJA140" s="206"/>
      <c r="CJB140" s="207"/>
      <c r="CJC140" s="207"/>
      <c r="CJD140" s="208"/>
      <c r="CJE140" s="209"/>
      <c r="CJF140" s="207"/>
      <c r="CJG140" s="210"/>
      <c r="CJH140" s="209"/>
      <c r="CJI140" s="204"/>
      <c r="CJJ140" s="204"/>
      <c r="CJK140" s="204"/>
      <c r="CJL140" s="199"/>
      <c r="CJM140" s="167"/>
      <c r="CJN140" s="199"/>
      <c r="CJO140" s="200"/>
      <c r="CJP140" s="201"/>
      <c r="CJQ140" s="202"/>
      <c r="CJR140" s="202"/>
      <c r="CJS140" s="202"/>
      <c r="CJT140" s="202"/>
      <c r="CJU140" s="203"/>
      <c r="CJV140" s="204"/>
      <c r="CJW140" s="204"/>
      <c r="CJX140" s="204"/>
      <c r="CJY140" s="205"/>
      <c r="CJZ140" s="206"/>
      <c r="CKA140" s="207"/>
      <c r="CKB140" s="207"/>
      <c r="CKC140" s="208"/>
      <c r="CKD140" s="209"/>
      <c r="CKE140" s="207"/>
      <c r="CKF140" s="210"/>
      <c r="CKG140" s="209"/>
      <c r="CKH140" s="204"/>
      <c r="CKI140" s="204"/>
      <c r="CKJ140" s="204"/>
      <c r="CKK140" s="199"/>
      <c r="CKL140" s="167"/>
      <c r="CKM140" s="199"/>
      <c r="CKN140" s="200"/>
      <c r="CKO140" s="201"/>
      <c r="CKP140" s="202"/>
      <c r="CKQ140" s="202"/>
      <c r="CKR140" s="202"/>
      <c r="CKS140" s="202"/>
      <c r="CKT140" s="203"/>
      <c r="CKU140" s="204"/>
      <c r="CKV140" s="204"/>
      <c r="CKW140" s="204"/>
      <c r="CKX140" s="205"/>
      <c r="CKY140" s="206"/>
      <c r="CKZ140" s="207"/>
      <c r="CLA140" s="207"/>
      <c r="CLB140" s="208"/>
      <c r="CLC140" s="209"/>
      <c r="CLD140" s="207"/>
      <c r="CLE140" s="210"/>
      <c r="CLF140" s="209"/>
      <c r="CLG140" s="204"/>
      <c r="CLH140" s="204"/>
      <c r="CLI140" s="204"/>
      <c r="CLJ140" s="199"/>
      <c r="CLK140" s="167"/>
      <c r="CLL140" s="199"/>
      <c r="CLM140" s="200"/>
      <c r="CLN140" s="201"/>
      <c r="CLO140" s="202"/>
      <c r="CLP140" s="202"/>
      <c r="CLQ140" s="202"/>
      <c r="CLR140" s="202"/>
      <c r="CLS140" s="203"/>
      <c r="CLT140" s="204"/>
      <c r="CLU140" s="204"/>
      <c r="CLV140" s="204"/>
      <c r="CLW140" s="205"/>
      <c r="CLX140" s="206"/>
      <c r="CLY140" s="207"/>
      <c r="CLZ140" s="207"/>
      <c r="CMA140" s="208"/>
      <c r="CMB140" s="209"/>
      <c r="CMC140" s="207"/>
      <c r="CMD140" s="210"/>
      <c r="CME140" s="209"/>
      <c r="CMF140" s="204"/>
      <c r="CMG140" s="204"/>
      <c r="CMH140" s="204"/>
      <c r="CMI140" s="199"/>
      <c r="CMJ140" s="167"/>
      <c r="CMK140" s="199"/>
      <c r="CML140" s="200"/>
      <c r="CMM140" s="201"/>
      <c r="CMN140" s="202"/>
      <c r="CMO140" s="202"/>
      <c r="CMP140" s="202"/>
      <c r="CMQ140" s="202"/>
      <c r="CMR140" s="203"/>
      <c r="CMS140" s="204"/>
      <c r="CMT140" s="204"/>
      <c r="CMU140" s="204"/>
      <c r="CMV140" s="205"/>
      <c r="CMW140" s="206"/>
      <c r="CMX140" s="207"/>
      <c r="CMY140" s="207"/>
      <c r="CMZ140" s="208"/>
      <c r="CNA140" s="209"/>
      <c r="CNB140" s="207"/>
      <c r="CNC140" s="210"/>
      <c r="CND140" s="209"/>
      <c r="CNE140" s="204"/>
      <c r="CNF140" s="204"/>
      <c r="CNG140" s="204"/>
      <c r="CNH140" s="199"/>
      <c r="CNI140" s="167"/>
      <c r="CNJ140" s="199"/>
      <c r="CNK140" s="200"/>
      <c r="CNL140" s="201"/>
      <c r="CNM140" s="202"/>
      <c r="CNN140" s="202"/>
      <c r="CNO140" s="202"/>
      <c r="CNP140" s="202"/>
      <c r="CNQ140" s="203"/>
      <c r="CNR140" s="204"/>
      <c r="CNS140" s="204"/>
      <c r="CNT140" s="204"/>
      <c r="CNU140" s="205"/>
      <c r="CNV140" s="206"/>
      <c r="CNW140" s="207"/>
      <c r="CNX140" s="207"/>
      <c r="CNY140" s="208"/>
      <c r="CNZ140" s="209"/>
      <c r="COA140" s="207"/>
      <c r="COB140" s="210"/>
      <c r="COC140" s="209"/>
      <c r="COD140" s="204"/>
      <c r="COE140" s="204"/>
      <c r="COF140" s="204"/>
      <c r="COG140" s="199"/>
      <c r="COH140" s="167"/>
      <c r="COI140" s="199"/>
      <c r="COJ140" s="200"/>
      <c r="COK140" s="201"/>
      <c r="COL140" s="202"/>
      <c r="COM140" s="202"/>
      <c r="CON140" s="202"/>
      <c r="COO140" s="202"/>
      <c r="COP140" s="203"/>
      <c r="COQ140" s="204"/>
      <c r="COR140" s="204"/>
      <c r="COS140" s="204"/>
      <c r="COT140" s="205"/>
      <c r="COU140" s="206"/>
      <c r="COV140" s="207"/>
      <c r="COW140" s="207"/>
      <c r="COX140" s="208"/>
      <c r="COY140" s="209"/>
      <c r="COZ140" s="207"/>
      <c r="CPA140" s="210"/>
      <c r="CPB140" s="209"/>
      <c r="CPC140" s="204"/>
      <c r="CPD140" s="204"/>
      <c r="CPE140" s="204"/>
      <c r="CPF140" s="199"/>
      <c r="CPG140" s="167"/>
      <c r="CPH140" s="199"/>
      <c r="CPI140" s="200"/>
      <c r="CPJ140" s="201"/>
      <c r="CPK140" s="202"/>
      <c r="CPL140" s="202"/>
      <c r="CPM140" s="202"/>
      <c r="CPN140" s="202"/>
      <c r="CPO140" s="203"/>
      <c r="CPP140" s="204"/>
      <c r="CPQ140" s="204"/>
      <c r="CPR140" s="204"/>
      <c r="CPS140" s="205"/>
      <c r="CPT140" s="206"/>
      <c r="CPU140" s="207"/>
      <c r="CPV140" s="207"/>
      <c r="CPW140" s="208"/>
      <c r="CPX140" s="209"/>
      <c r="CPY140" s="207"/>
      <c r="CPZ140" s="210"/>
      <c r="CQA140" s="209"/>
      <c r="CQB140" s="204"/>
      <c r="CQC140" s="204"/>
      <c r="CQD140" s="204"/>
      <c r="CQE140" s="199"/>
      <c r="CQF140" s="167"/>
      <c r="CQG140" s="199"/>
      <c r="CQH140" s="200"/>
      <c r="CQI140" s="201"/>
      <c r="CQJ140" s="202"/>
      <c r="CQK140" s="202"/>
      <c r="CQL140" s="202"/>
      <c r="CQM140" s="202"/>
      <c r="CQN140" s="203"/>
      <c r="CQO140" s="204"/>
      <c r="CQP140" s="204"/>
      <c r="CQQ140" s="204"/>
      <c r="CQR140" s="205"/>
      <c r="CQS140" s="206"/>
      <c r="CQT140" s="207"/>
      <c r="CQU140" s="207"/>
      <c r="CQV140" s="208"/>
      <c r="CQW140" s="209"/>
      <c r="CQX140" s="207"/>
      <c r="CQY140" s="210"/>
      <c r="CQZ140" s="209"/>
      <c r="CRA140" s="204"/>
      <c r="CRB140" s="204"/>
      <c r="CRC140" s="204"/>
      <c r="CRD140" s="199"/>
      <c r="CRE140" s="167"/>
      <c r="CRF140" s="199"/>
      <c r="CRG140" s="200"/>
      <c r="CRH140" s="201"/>
      <c r="CRI140" s="202"/>
      <c r="CRJ140" s="202"/>
      <c r="CRK140" s="202"/>
      <c r="CRL140" s="202"/>
      <c r="CRM140" s="203"/>
      <c r="CRN140" s="204"/>
      <c r="CRO140" s="204"/>
      <c r="CRP140" s="204"/>
      <c r="CRQ140" s="205"/>
      <c r="CRR140" s="206"/>
      <c r="CRS140" s="207"/>
      <c r="CRT140" s="207"/>
      <c r="CRU140" s="208"/>
      <c r="CRV140" s="209"/>
      <c r="CRW140" s="207"/>
      <c r="CRX140" s="210"/>
      <c r="CRY140" s="209"/>
      <c r="CRZ140" s="204"/>
      <c r="CSA140" s="204"/>
      <c r="CSB140" s="204"/>
      <c r="CSC140" s="199"/>
      <c r="CSD140" s="167"/>
      <c r="CSE140" s="199"/>
      <c r="CSF140" s="200"/>
      <c r="CSG140" s="201"/>
      <c r="CSH140" s="202"/>
      <c r="CSI140" s="202"/>
      <c r="CSJ140" s="202"/>
      <c r="CSK140" s="202"/>
      <c r="CSL140" s="203"/>
      <c r="CSM140" s="204"/>
      <c r="CSN140" s="204"/>
      <c r="CSO140" s="204"/>
      <c r="CSP140" s="205"/>
      <c r="CSQ140" s="206"/>
      <c r="CSR140" s="207"/>
      <c r="CSS140" s="207"/>
      <c r="CST140" s="208"/>
      <c r="CSU140" s="209"/>
      <c r="CSV140" s="207"/>
      <c r="CSW140" s="210"/>
      <c r="CSX140" s="209"/>
      <c r="CSY140" s="204"/>
      <c r="CSZ140" s="204"/>
      <c r="CTA140" s="204"/>
      <c r="CTB140" s="199"/>
      <c r="CTC140" s="167"/>
      <c r="CTD140" s="199"/>
      <c r="CTE140" s="200"/>
      <c r="CTF140" s="201"/>
      <c r="CTG140" s="202"/>
      <c r="CTH140" s="202"/>
      <c r="CTI140" s="202"/>
      <c r="CTJ140" s="202"/>
      <c r="CTK140" s="203"/>
      <c r="CTL140" s="204"/>
      <c r="CTM140" s="204"/>
      <c r="CTN140" s="204"/>
      <c r="CTO140" s="205"/>
      <c r="CTP140" s="206"/>
      <c r="CTQ140" s="207"/>
      <c r="CTR140" s="207"/>
      <c r="CTS140" s="208"/>
      <c r="CTT140" s="209"/>
      <c r="CTU140" s="207"/>
      <c r="CTV140" s="210"/>
      <c r="CTW140" s="209"/>
      <c r="CTX140" s="204"/>
      <c r="CTY140" s="204"/>
      <c r="CTZ140" s="204"/>
      <c r="CUA140" s="199"/>
      <c r="CUB140" s="167"/>
      <c r="CUC140" s="199"/>
      <c r="CUD140" s="200"/>
      <c r="CUE140" s="201"/>
      <c r="CUF140" s="202"/>
      <c r="CUG140" s="202"/>
      <c r="CUH140" s="202"/>
      <c r="CUI140" s="202"/>
      <c r="CUJ140" s="203"/>
      <c r="CUK140" s="204"/>
      <c r="CUL140" s="204"/>
      <c r="CUM140" s="204"/>
      <c r="CUN140" s="205"/>
      <c r="CUO140" s="206"/>
      <c r="CUP140" s="207"/>
      <c r="CUQ140" s="207"/>
      <c r="CUR140" s="208"/>
      <c r="CUS140" s="209"/>
      <c r="CUT140" s="207"/>
      <c r="CUU140" s="210"/>
      <c r="CUV140" s="209"/>
      <c r="CUW140" s="204"/>
      <c r="CUX140" s="204"/>
      <c r="CUY140" s="204"/>
      <c r="CUZ140" s="199"/>
      <c r="CVA140" s="167"/>
      <c r="CVB140" s="199"/>
      <c r="CVC140" s="200"/>
      <c r="CVD140" s="201"/>
      <c r="CVE140" s="202"/>
      <c r="CVF140" s="202"/>
      <c r="CVG140" s="202"/>
      <c r="CVH140" s="202"/>
      <c r="CVI140" s="203"/>
      <c r="CVJ140" s="204"/>
      <c r="CVK140" s="204"/>
      <c r="CVL140" s="204"/>
      <c r="CVM140" s="205"/>
      <c r="CVN140" s="206"/>
      <c r="CVO140" s="207"/>
      <c r="CVP140" s="207"/>
      <c r="CVQ140" s="208"/>
      <c r="CVR140" s="209"/>
      <c r="CVS140" s="207"/>
      <c r="CVT140" s="210"/>
      <c r="CVU140" s="209"/>
      <c r="CVV140" s="204"/>
      <c r="CVW140" s="204"/>
      <c r="CVX140" s="204"/>
      <c r="CVY140" s="199"/>
      <c r="CVZ140" s="167"/>
      <c r="CWA140" s="199"/>
      <c r="CWB140" s="200"/>
      <c r="CWC140" s="201"/>
      <c r="CWD140" s="202"/>
      <c r="CWE140" s="202"/>
      <c r="CWF140" s="202"/>
      <c r="CWG140" s="202"/>
      <c r="CWH140" s="203"/>
      <c r="CWI140" s="204"/>
      <c r="CWJ140" s="204"/>
      <c r="CWK140" s="204"/>
      <c r="CWL140" s="205"/>
      <c r="CWM140" s="206"/>
      <c r="CWN140" s="207"/>
      <c r="CWO140" s="207"/>
      <c r="CWP140" s="208"/>
      <c r="CWQ140" s="209"/>
      <c r="CWR140" s="207"/>
      <c r="CWS140" s="210"/>
      <c r="CWT140" s="209"/>
      <c r="CWU140" s="204"/>
      <c r="CWV140" s="204"/>
      <c r="CWW140" s="204"/>
      <c r="CWX140" s="199"/>
      <c r="CWY140" s="167"/>
      <c r="CWZ140" s="199"/>
      <c r="CXA140" s="200"/>
      <c r="CXB140" s="201"/>
      <c r="CXC140" s="202"/>
      <c r="CXD140" s="202"/>
      <c r="CXE140" s="202"/>
      <c r="CXF140" s="202"/>
      <c r="CXG140" s="203"/>
      <c r="CXH140" s="204"/>
      <c r="CXI140" s="204"/>
      <c r="CXJ140" s="204"/>
      <c r="CXK140" s="205"/>
      <c r="CXL140" s="206"/>
      <c r="CXM140" s="207"/>
      <c r="CXN140" s="207"/>
      <c r="CXO140" s="208"/>
      <c r="CXP140" s="209"/>
      <c r="CXQ140" s="207"/>
      <c r="CXR140" s="210"/>
      <c r="CXS140" s="209"/>
      <c r="CXT140" s="204"/>
      <c r="CXU140" s="204"/>
      <c r="CXV140" s="204"/>
      <c r="CXW140" s="199"/>
      <c r="CXX140" s="167"/>
      <c r="CXY140" s="199"/>
      <c r="CXZ140" s="200"/>
      <c r="CYA140" s="201"/>
      <c r="CYB140" s="202"/>
      <c r="CYC140" s="202"/>
      <c r="CYD140" s="202"/>
      <c r="CYE140" s="202"/>
      <c r="CYF140" s="203"/>
      <c r="CYG140" s="204"/>
      <c r="CYH140" s="204"/>
      <c r="CYI140" s="204"/>
      <c r="CYJ140" s="205"/>
      <c r="CYK140" s="206"/>
      <c r="CYL140" s="207"/>
      <c r="CYM140" s="207"/>
      <c r="CYN140" s="208"/>
      <c r="CYO140" s="209"/>
      <c r="CYP140" s="207"/>
      <c r="CYQ140" s="210"/>
      <c r="CYR140" s="209"/>
      <c r="CYS140" s="204"/>
      <c r="CYT140" s="204"/>
      <c r="CYU140" s="204"/>
      <c r="CYV140" s="199"/>
      <c r="CYW140" s="167"/>
      <c r="CYX140" s="199"/>
      <c r="CYY140" s="200"/>
      <c r="CYZ140" s="201"/>
      <c r="CZA140" s="202"/>
      <c r="CZB140" s="202"/>
      <c r="CZC140" s="202"/>
      <c r="CZD140" s="202"/>
      <c r="CZE140" s="203"/>
      <c r="CZF140" s="204"/>
      <c r="CZG140" s="204"/>
      <c r="CZH140" s="204"/>
      <c r="CZI140" s="205"/>
      <c r="CZJ140" s="206"/>
      <c r="CZK140" s="207"/>
      <c r="CZL140" s="207"/>
      <c r="CZM140" s="208"/>
      <c r="CZN140" s="209"/>
      <c r="CZO140" s="207"/>
      <c r="CZP140" s="210"/>
      <c r="CZQ140" s="209"/>
      <c r="CZR140" s="204"/>
      <c r="CZS140" s="204"/>
      <c r="CZT140" s="204"/>
      <c r="CZU140" s="199"/>
      <c r="CZV140" s="167"/>
      <c r="CZW140" s="199"/>
      <c r="CZX140" s="200"/>
      <c r="CZY140" s="201"/>
      <c r="CZZ140" s="202"/>
      <c r="DAA140" s="202"/>
      <c r="DAB140" s="202"/>
      <c r="DAC140" s="202"/>
      <c r="DAD140" s="203"/>
      <c r="DAE140" s="204"/>
      <c r="DAF140" s="204"/>
      <c r="DAG140" s="204"/>
      <c r="DAH140" s="205"/>
      <c r="DAI140" s="206"/>
      <c r="DAJ140" s="207"/>
      <c r="DAK140" s="207"/>
      <c r="DAL140" s="208"/>
      <c r="DAM140" s="209"/>
      <c r="DAN140" s="207"/>
      <c r="DAO140" s="210"/>
      <c r="DAP140" s="209"/>
      <c r="DAQ140" s="204"/>
      <c r="DAR140" s="204"/>
      <c r="DAS140" s="204"/>
      <c r="DAT140" s="199"/>
      <c r="DAU140" s="167"/>
      <c r="DAV140" s="199"/>
      <c r="DAW140" s="200"/>
      <c r="DAX140" s="201"/>
      <c r="DAY140" s="202"/>
      <c r="DAZ140" s="202"/>
      <c r="DBA140" s="202"/>
      <c r="DBB140" s="202"/>
      <c r="DBC140" s="203"/>
      <c r="DBD140" s="204"/>
      <c r="DBE140" s="204"/>
      <c r="DBF140" s="204"/>
      <c r="DBG140" s="205"/>
      <c r="DBH140" s="206"/>
      <c r="DBI140" s="207"/>
      <c r="DBJ140" s="207"/>
      <c r="DBK140" s="208"/>
      <c r="DBL140" s="209"/>
      <c r="DBM140" s="207"/>
      <c r="DBN140" s="210"/>
      <c r="DBO140" s="209"/>
      <c r="DBP140" s="204"/>
      <c r="DBQ140" s="204"/>
      <c r="DBR140" s="204"/>
      <c r="DBS140" s="199"/>
      <c r="DBT140" s="167"/>
      <c r="DBU140" s="199"/>
      <c r="DBV140" s="200"/>
      <c r="DBW140" s="201"/>
      <c r="DBX140" s="202"/>
      <c r="DBY140" s="202"/>
      <c r="DBZ140" s="202"/>
      <c r="DCA140" s="202"/>
      <c r="DCB140" s="203"/>
      <c r="DCC140" s="204"/>
      <c r="DCD140" s="204"/>
      <c r="DCE140" s="204"/>
      <c r="DCF140" s="205"/>
      <c r="DCG140" s="206"/>
      <c r="DCH140" s="207"/>
      <c r="DCI140" s="207"/>
      <c r="DCJ140" s="208"/>
      <c r="DCK140" s="209"/>
      <c r="DCL140" s="207"/>
      <c r="DCM140" s="210"/>
      <c r="DCN140" s="209"/>
      <c r="DCO140" s="204"/>
      <c r="DCP140" s="204"/>
      <c r="DCQ140" s="204"/>
      <c r="DCR140" s="199"/>
      <c r="DCS140" s="167"/>
      <c r="DCT140" s="199"/>
      <c r="DCU140" s="200"/>
      <c r="DCV140" s="201"/>
      <c r="DCW140" s="202"/>
      <c r="DCX140" s="202"/>
      <c r="DCY140" s="202"/>
      <c r="DCZ140" s="202"/>
      <c r="DDA140" s="203"/>
      <c r="DDB140" s="204"/>
      <c r="DDC140" s="204"/>
      <c r="DDD140" s="204"/>
      <c r="DDE140" s="205"/>
      <c r="DDF140" s="206"/>
      <c r="DDG140" s="207"/>
      <c r="DDH140" s="207"/>
      <c r="DDI140" s="208"/>
      <c r="DDJ140" s="209"/>
      <c r="DDK140" s="207"/>
      <c r="DDL140" s="210"/>
      <c r="DDM140" s="209"/>
      <c r="DDN140" s="204"/>
      <c r="DDO140" s="204"/>
      <c r="DDP140" s="204"/>
      <c r="DDQ140" s="199"/>
      <c r="DDR140" s="167"/>
      <c r="DDS140" s="199"/>
      <c r="DDT140" s="200"/>
      <c r="DDU140" s="201"/>
      <c r="DDV140" s="202"/>
      <c r="DDW140" s="202"/>
      <c r="DDX140" s="202"/>
      <c r="DDY140" s="202"/>
      <c r="DDZ140" s="203"/>
      <c r="DEA140" s="204"/>
      <c r="DEB140" s="204"/>
      <c r="DEC140" s="204"/>
      <c r="DED140" s="205"/>
      <c r="DEE140" s="206"/>
      <c r="DEF140" s="207"/>
      <c r="DEG140" s="207"/>
      <c r="DEH140" s="208"/>
      <c r="DEI140" s="209"/>
      <c r="DEJ140" s="207"/>
      <c r="DEK140" s="210"/>
      <c r="DEL140" s="209"/>
      <c r="DEM140" s="204"/>
      <c r="DEN140" s="204"/>
      <c r="DEO140" s="204"/>
      <c r="DEP140" s="199"/>
      <c r="DEQ140" s="167"/>
      <c r="DER140" s="199"/>
      <c r="DES140" s="200"/>
      <c r="DET140" s="201"/>
      <c r="DEU140" s="202"/>
      <c r="DEV140" s="202"/>
      <c r="DEW140" s="202"/>
      <c r="DEX140" s="202"/>
      <c r="DEY140" s="203"/>
      <c r="DEZ140" s="204"/>
      <c r="DFA140" s="204"/>
      <c r="DFB140" s="204"/>
      <c r="DFC140" s="205"/>
      <c r="DFD140" s="206"/>
      <c r="DFE140" s="207"/>
      <c r="DFF140" s="207"/>
      <c r="DFG140" s="208"/>
      <c r="DFH140" s="209"/>
      <c r="DFI140" s="207"/>
      <c r="DFJ140" s="210"/>
      <c r="DFK140" s="209"/>
      <c r="DFL140" s="204"/>
      <c r="DFM140" s="204"/>
      <c r="DFN140" s="204"/>
      <c r="DFO140" s="199"/>
      <c r="DFP140" s="167"/>
      <c r="DFQ140" s="199"/>
      <c r="DFR140" s="200"/>
      <c r="DFS140" s="201"/>
      <c r="DFT140" s="202"/>
      <c r="DFU140" s="202"/>
      <c r="DFV140" s="202"/>
      <c r="DFW140" s="202"/>
      <c r="DFX140" s="203"/>
      <c r="DFY140" s="204"/>
      <c r="DFZ140" s="204"/>
      <c r="DGA140" s="204"/>
      <c r="DGB140" s="205"/>
      <c r="DGC140" s="206"/>
      <c r="DGD140" s="207"/>
      <c r="DGE140" s="207"/>
      <c r="DGF140" s="208"/>
      <c r="DGG140" s="209"/>
      <c r="DGH140" s="207"/>
      <c r="DGI140" s="210"/>
      <c r="DGJ140" s="209"/>
      <c r="DGK140" s="204"/>
      <c r="DGL140" s="204"/>
      <c r="DGM140" s="204"/>
      <c r="DGN140" s="199"/>
      <c r="DGO140" s="167"/>
      <c r="DGP140" s="199"/>
      <c r="DGQ140" s="200"/>
      <c r="DGR140" s="201"/>
      <c r="DGS140" s="202"/>
      <c r="DGT140" s="202"/>
      <c r="DGU140" s="202"/>
      <c r="DGV140" s="202"/>
      <c r="DGW140" s="203"/>
      <c r="DGX140" s="204"/>
      <c r="DGY140" s="204"/>
      <c r="DGZ140" s="204"/>
      <c r="DHA140" s="205"/>
      <c r="DHB140" s="206"/>
      <c r="DHC140" s="207"/>
      <c r="DHD140" s="207"/>
      <c r="DHE140" s="208"/>
      <c r="DHF140" s="209"/>
      <c r="DHG140" s="207"/>
      <c r="DHH140" s="210"/>
      <c r="DHI140" s="209"/>
      <c r="DHJ140" s="204"/>
      <c r="DHK140" s="204"/>
      <c r="DHL140" s="204"/>
      <c r="DHM140" s="199"/>
      <c r="DHN140" s="167"/>
      <c r="DHO140" s="199"/>
      <c r="DHP140" s="200"/>
      <c r="DHQ140" s="201"/>
      <c r="DHR140" s="202"/>
      <c r="DHS140" s="202"/>
      <c r="DHT140" s="202"/>
      <c r="DHU140" s="202"/>
      <c r="DHV140" s="203"/>
      <c r="DHW140" s="204"/>
      <c r="DHX140" s="204"/>
      <c r="DHY140" s="204"/>
      <c r="DHZ140" s="205"/>
      <c r="DIA140" s="206"/>
      <c r="DIB140" s="207"/>
      <c r="DIC140" s="207"/>
      <c r="DID140" s="208"/>
      <c r="DIE140" s="209"/>
      <c r="DIF140" s="207"/>
      <c r="DIG140" s="210"/>
      <c r="DIH140" s="209"/>
      <c r="DII140" s="204"/>
      <c r="DIJ140" s="204"/>
      <c r="DIK140" s="204"/>
      <c r="DIL140" s="199"/>
      <c r="DIM140" s="167"/>
      <c r="DIN140" s="199"/>
      <c r="DIO140" s="200"/>
      <c r="DIP140" s="201"/>
      <c r="DIQ140" s="202"/>
      <c r="DIR140" s="202"/>
      <c r="DIS140" s="202"/>
      <c r="DIT140" s="202"/>
      <c r="DIU140" s="203"/>
      <c r="DIV140" s="204"/>
      <c r="DIW140" s="204"/>
      <c r="DIX140" s="204"/>
      <c r="DIY140" s="205"/>
      <c r="DIZ140" s="206"/>
      <c r="DJA140" s="207"/>
      <c r="DJB140" s="207"/>
      <c r="DJC140" s="208"/>
      <c r="DJD140" s="209"/>
      <c r="DJE140" s="207"/>
      <c r="DJF140" s="210"/>
      <c r="DJG140" s="209"/>
      <c r="DJH140" s="204"/>
      <c r="DJI140" s="204"/>
      <c r="DJJ140" s="204"/>
      <c r="DJK140" s="199"/>
      <c r="DJL140" s="167"/>
      <c r="DJM140" s="199"/>
      <c r="DJN140" s="200"/>
      <c r="DJO140" s="201"/>
      <c r="DJP140" s="202"/>
      <c r="DJQ140" s="202"/>
      <c r="DJR140" s="202"/>
      <c r="DJS140" s="202"/>
      <c r="DJT140" s="203"/>
      <c r="DJU140" s="204"/>
      <c r="DJV140" s="204"/>
      <c r="DJW140" s="204"/>
      <c r="DJX140" s="205"/>
      <c r="DJY140" s="206"/>
      <c r="DJZ140" s="207"/>
      <c r="DKA140" s="207"/>
      <c r="DKB140" s="208"/>
      <c r="DKC140" s="209"/>
      <c r="DKD140" s="207"/>
      <c r="DKE140" s="210"/>
      <c r="DKF140" s="209"/>
      <c r="DKG140" s="204"/>
      <c r="DKH140" s="204"/>
      <c r="DKI140" s="204"/>
      <c r="DKJ140" s="199"/>
      <c r="DKK140" s="167"/>
      <c r="DKL140" s="199"/>
      <c r="DKM140" s="200"/>
      <c r="DKN140" s="201"/>
      <c r="DKO140" s="202"/>
      <c r="DKP140" s="202"/>
      <c r="DKQ140" s="202"/>
      <c r="DKR140" s="202"/>
      <c r="DKS140" s="203"/>
      <c r="DKT140" s="204"/>
      <c r="DKU140" s="204"/>
      <c r="DKV140" s="204"/>
      <c r="DKW140" s="205"/>
      <c r="DKX140" s="206"/>
      <c r="DKY140" s="207"/>
      <c r="DKZ140" s="207"/>
      <c r="DLA140" s="208"/>
      <c r="DLB140" s="209"/>
      <c r="DLC140" s="207"/>
      <c r="DLD140" s="210"/>
      <c r="DLE140" s="209"/>
      <c r="DLF140" s="204"/>
      <c r="DLG140" s="204"/>
      <c r="DLH140" s="204"/>
      <c r="DLI140" s="199"/>
      <c r="DLJ140" s="167"/>
      <c r="DLK140" s="199"/>
      <c r="DLL140" s="200"/>
      <c r="DLM140" s="201"/>
      <c r="DLN140" s="202"/>
      <c r="DLO140" s="202"/>
      <c r="DLP140" s="202"/>
      <c r="DLQ140" s="202"/>
      <c r="DLR140" s="203"/>
      <c r="DLS140" s="204"/>
      <c r="DLT140" s="204"/>
      <c r="DLU140" s="204"/>
      <c r="DLV140" s="205"/>
      <c r="DLW140" s="206"/>
      <c r="DLX140" s="207"/>
      <c r="DLY140" s="207"/>
      <c r="DLZ140" s="208"/>
      <c r="DMA140" s="209"/>
      <c r="DMB140" s="207"/>
      <c r="DMC140" s="210"/>
      <c r="DMD140" s="209"/>
      <c r="DME140" s="204"/>
      <c r="DMF140" s="204"/>
      <c r="DMG140" s="204"/>
      <c r="DMH140" s="199"/>
      <c r="DMI140" s="167"/>
      <c r="DMJ140" s="199"/>
      <c r="DMK140" s="200"/>
      <c r="DML140" s="201"/>
      <c r="DMM140" s="202"/>
      <c r="DMN140" s="202"/>
      <c r="DMO140" s="202"/>
      <c r="DMP140" s="202"/>
      <c r="DMQ140" s="203"/>
      <c r="DMR140" s="204"/>
      <c r="DMS140" s="204"/>
      <c r="DMT140" s="204"/>
      <c r="DMU140" s="205"/>
      <c r="DMV140" s="206"/>
      <c r="DMW140" s="207"/>
      <c r="DMX140" s="207"/>
      <c r="DMY140" s="208"/>
      <c r="DMZ140" s="209"/>
      <c r="DNA140" s="207"/>
      <c r="DNB140" s="210"/>
      <c r="DNC140" s="209"/>
      <c r="DND140" s="204"/>
      <c r="DNE140" s="204"/>
      <c r="DNF140" s="204"/>
      <c r="DNG140" s="199"/>
      <c r="DNH140" s="167"/>
      <c r="DNI140" s="199"/>
      <c r="DNJ140" s="200"/>
      <c r="DNK140" s="201"/>
      <c r="DNL140" s="202"/>
      <c r="DNM140" s="202"/>
      <c r="DNN140" s="202"/>
      <c r="DNO140" s="202"/>
      <c r="DNP140" s="203"/>
      <c r="DNQ140" s="204"/>
      <c r="DNR140" s="204"/>
      <c r="DNS140" s="204"/>
      <c r="DNT140" s="205"/>
      <c r="DNU140" s="206"/>
      <c r="DNV140" s="207"/>
      <c r="DNW140" s="207"/>
      <c r="DNX140" s="208"/>
      <c r="DNY140" s="209"/>
      <c r="DNZ140" s="207"/>
      <c r="DOA140" s="210"/>
      <c r="DOB140" s="209"/>
      <c r="DOC140" s="204"/>
      <c r="DOD140" s="204"/>
      <c r="DOE140" s="204"/>
      <c r="DOF140" s="199"/>
      <c r="DOG140" s="167"/>
      <c r="DOH140" s="199"/>
      <c r="DOI140" s="200"/>
      <c r="DOJ140" s="201"/>
      <c r="DOK140" s="202"/>
      <c r="DOL140" s="202"/>
      <c r="DOM140" s="202"/>
      <c r="DON140" s="202"/>
      <c r="DOO140" s="203"/>
      <c r="DOP140" s="204"/>
      <c r="DOQ140" s="204"/>
      <c r="DOR140" s="204"/>
      <c r="DOS140" s="205"/>
      <c r="DOT140" s="206"/>
      <c r="DOU140" s="207"/>
      <c r="DOV140" s="207"/>
      <c r="DOW140" s="208"/>
      <c r="DOX140" s="209"/>
      <c r="DOY140" s="207"/>
      <c r="DOZ140" s="210"/>
      <c r="DPA140" s="209"/>
      <c r="DPB140" s="204"/>
      <c r="DPC140" s="204"/>
      <c r="DPD140" s="204"/>
      <c r="DPE140" s="199"/>
      <c r="DPF140" s="167"/>
      <c r="DPG140" s="199"/>
      <c r="DPH140" s="200"/>
      <c r="DPI140" s="201"/>
      <c r="DPJ140" s="202"/>
      <c r="DPK140" s="202"/>
      <c r="DPL140" s="202"/>
      <c r="DPM140" s="202"/>
      <c r="DPN140" s="203"/>
      <c r="DPO140" s="204"/>
      <c r="DPP140" s="204"/>
      <c r="DPQ140" s="204"/>
      <c r="DPR140" s="205"/>
      <c r="DPS140" s="206"/>
      <c r="DPT140" s="207"/>
      <c r="DPU140" s="207"/>
      <c r="DPV140" s="208"/>
      <c r="DPW140" s="209"/>
      <c r="DPX140" s="207"/>
      <c r="DPY140" s="210"/>
      <c r="DPZ140" s="209"/>
      <c r="DQA140" s="204"/>
      <c r="DQB140" s="204"/>
      <c r="DQC140" s="204"/>
      <c r="DQD140" s="199"/>
      <c r="DQE140" s="167"/>
      <c r="DQF140" s="199"/>
      <c r="DQG140" s="200"/>
      <c r="DQH140" s="201"/>
      <c r="DQI140" s="202"/>
      <c r="DQJ140" s="202"/>
      <c r="DQK140" s="202"/>
      <c r="DQL140" s="202"/>
      <c r="DQM140" s="203"/>
      <c r="DQN140" s="204"/>
      <c r="DQO140" s="204"/>
      <c r="DQP140" s="204"/>
      <c r="DQQ140" s="205"/>
      <c r="DQR140" s="206"/>
      <c r="DQS140" s="207"/>
      <c r="DQT140" s="207"/>
      <c r="DQU140" s="208"/>
      <c r="DQV140" s="209"/>
      <c r="DQW140" s="207"/>
      <c r="DQX140" s="210"/>
      <c r="DQY140" s="209"/>
      <c r="DQZ140" s="204"/>
      <c r="DRA140" s="204"/>
      <c r="DRB140" s="204"/>
      <c r="DRC140" s="199"/>
      <c r="DRD140" s="167"/>
      <c r="DRE140" s="199"/>
      <c r="DRF140" s="200"/>
      <c r="DRG140" s="201"/>
      <c r="DRH140" s="202"/>
      <c r="DRI140" s="202"/>
      <c r="DRJ140" s="202"/>
      <c r="DRK140" s="202"/>
      <c r="DRL140" s="203"/>
      <c r="DRM140" s="204"/>
      <c r="DRN140" s="204"/>
      <c r="DRO140" s="204"/>
      <c r="DRP140" s="205"/>
      <c r="DRQ140" s="206"/>
      <c r="DRR140" s="207"/>
      <c r="DRS140" s="207"/>
      <c r="DRT140" s="208"/>
      <c r="DRU140" s="209"/>
      <c r="DRV140" s="207"/>
      <c r="DRW140" s="210"/>
      <c r="DRX140" s="209"/>
      <c r="DRY140" s="204"/>
      <c r="DRZ140" s="204"/>
      <c r="DSA140" s="204"/>
      <c r="DSB140" s="199"/>
      <c r="DSC140" s="167"/>
      <c r="DSD140" s="199"/>
      <c r="DSE140" s="200"/>
      <c r="DSF140" s="201"/>
      <c r="DSG140" s="202"/>
      <c r="DSH140" s="202"/>
      <c r="DSI140" s="202"/>
      <c r="DSJ140" s="202"/>
      <c r="DSK140" s="203"/>
      <c r="DSL140" s="204"/>
      <c r="DSM140" s="204"/>
      <c r="DSN140" s="204"/>
      <c r="DSO140" s="205"/>
      <c r="DSP140" s="206"/>
      <c r="DSQ140" s="207"/>
      <c r="DSR140" s="207"/>
      <c r="DSS140" s="208"/>
      <c r="DST140" s="209"/>
      <c r="DSU140" s="207"/>
      <c r="DSV140" s="210"/>
      <c r="DSW140" s="209"/>
      <c r="DSX140" s="204"/>
      <c r="DSY140" s="204"/>
      <c r="DSZ140" s="204"/>
      <c r="DTA140" s="199"/>
      <c r="DTB140" s="167"/>
      <c r="DTC140" s="199"/>
      <c r="DTD140" s="200"/>
      <c r="DTE140" s="201"/>
      <c r="DTF140" s="202"/>
      <c r="DTG140" s="202"/>
      <c r="DTH140" s="202"/>
      <c r="DTI140" s="202"/>
      <c r="DTJ140" s="203"/>
      <c r="DTK140" s="204"/>
      <c r="DTL140" s="204"/>
      <c r="DTM140" s="204"/>
      <c r="DTN140" s="205"/>
      <c r="DTO140" s="206"/>
      <c r="DTP140" s="207"/>
      <c r="DTQ140" s="207"/>
      <c r="DTR140" s="208"/>
      <c r="DTS140" s="209"/>
      <c r="DTT140" s="207"/>
      <c r="DTU140" s="210"/>
      <c r="DTV140" s="209"/>
      <c r="DTW140" s="204"/>
      <c r="DTX140" s="204"/>
      <c r="DTY140" s="204"/>
      <c r="DTZ140" s="199"/>
      <c r="DUA140" s="167"/>
      <c r="DUB140" s="199"/>
      <c r="DUC140" s="200"/>
      <c r="DUD140" s="201"/>
      <c r="DUE140" s="202"/>
      <c r="DUF140" s="202"/>
      <c r="DUG140" s="202"/>
      <c r="DUH140" s="202"/>
      <c r="DUI140" s="203"/>
      <c r="DUJ140" s="204"/>
      <c r="DUK140" s="204"/>
      <c r="DUL140" s="204"/>
      <c r="DUM140" s="205"/>
      <c r="DUN140" s="206"/>
      <c r="DUO140" s="207"/>
      <c r="DUP140" s="207"/>
      <c r="DUQ140" s="208"/>
      <c r="DUR140" s="209"/>
      <c r="DUS140" s="207"/>
      <c r="DUT140" s="210"/>
      <c r="DUU140" s="209"/>
      <c r="DUV140" s="204"/>
      <c r="DUW140" s="204"/>
      <c r="DUX140" s="204"/>
      <c r="DUY140" s="199"/>
      <c r="DUZ140" s="167"/>
      <c r="DVA140" s="199"/>
      <c r="DVB140" s="200"/>
      <c r="DVC140" s="201"/>
      <c r="DVD140" s="202"/>
      <c r="DVE140" s="202"/>
      <c r="DVF140" s="202"/>
      <c r="DVG140" s="202"/>
      <c r="DVH140" s="203"/>
      <c r="DVI140" s="204"/>
      <c r="DVJ140" s="204"/>
      <c r="DVK140" s="204"/>
      <c r="DVL140" s="205"/>
      <c r="DVM140" s="206"/>
      <c r="DVN140" s="207"/>
      <c r="DVO140" s="207"/>
      <c r="DVP140" s="208"/>
      <c r="DVQ140" s="209"/>
      <c r="DVR140" s="207"/>
      <c r="DVS140" s="210"/>
      <c r="DVT140" s="209"/>
      <c r="DVU140" s="204"/>
      <c r="DVV140" s="204"/>
      <c r="DVW140" s="204"/>
      <c r="DVX140" s="199"/>
      <c r="DVY140" s="167"/>
      <c r="DVZ140" s="199"/>
      <c r="DWA140" s="200"/>
      <c r="DWB140" s="201"/>
      <c r="DWC140" s="202"/>
      <c r="DWD140" s="202"/>
      <c r="DWE140" s="202"/>
      <c r="DWF140" s="202"/>
      <c r="DWG140" s="203"/>
      <c r="DWH140" s="204"/>
      <c r="DWI140" s="204"/>
      <c r="DWJ140" s="204"/>
      <c r="DWK140" s="205"/>
      <c r="DWL140" s="206"/>
      <c r="DWM140" s="207"/>
      <c r="DWN140" s="207"/>
      <c r="DWO140" s="208"/>
      <c r="DWP140" s="209"/>
      <c r="DWQ140" s="207"/>
      <c r="DWR140" s="210"/>
      <c r="DWS140" s="209"/>
      <c r="DWT140" s="204"/>
      <c r="DWU140" s="204"/>
      <c r="DWV140" s="204"/>
      <c r="DWW140" s="199"/>
      <c r="DWX140" s="167"/>
      <c r="DWY140" s="199"/>
      <c r="DWZ140" s="200"/>
      <c r="DXA140" s="201"/>
      <c r="DXB140" s="202"/>
      <c r="DXC140" s="202"/>
      <c r="DXD140" s="202"/>
      <c r="DXE140" s="202"/>
      <c r="DXF140" s="203"/>
      <c r="DXG140" s="204"/>
      <c r="DXH140" s="204"/>
      <c r="DXI140" s="204"/>
      <c r="DXJ140" s="205"/>
      <c r="DXK140" s="206"/>
      <c r="DXL140" s="207"/>
      <c r="DXM140" s="207"/>
      <c r="DXN140" s="208"/>
      <c r="DXO140" s="209"/>
      <c r="DXP140" s="207"/>
      <c r="DXQ140" s="210"/>
      <c r="DXR140" s="209"/>
      <c r="DXS140" s="204"/>
      <c r="DXT140" s="204"/>
      <c r="DXU140" s="204"/>
      <c r="DXV140" s="199"/>
      <c r="DXW140" s="167"/>
      <c r="DXX140" s="199"/>
      <c r="DXY140" s="200"/>
      <c r="DXZ140" s="201"/>
      <c r="DYA140" s="202"/>
      <c r="DYB140" s="202"/>
      <c r="DYC140" s="202"/>
      <c r="DYD140" s="202"/>
      <c r="DYE140" s="203"/>
      <c r="DYF140" s="204"/>
      <c r="DYG140" s="204"/>
      <c r="DYH140" s="204"/>
      <c r="DYI140" s="205"/>
      <c r="DYJ140" s="206"/>
      <c r="DYK140" s="207"/>
      <c r="DYL140" s="207"/>
      <c r="DYM140" s="208"/>
      <c r="DYN140" s="209"/>
      <c r="DYO140" s="207"/>
      <c r="DYP140" s="210"/>
      <c r="DYQ140" s="209"/>
      <c r="DYR140" s="204"/>
      <c r="DYS140" s="204"/>
      <c r="DYT140" s="204"/>
      <c r="DYU140" s="199"/>
      <c r="DYV140" s="167"/>
      <c r="DYW140" s="199"/>
      <c r="DYX140" s="200"/>
      <c r="DYY140" s="201"/>
      <c r="DYZ140" s="202"/>
      <c r="DZA140" s="202"/>
      <c r="DZB140" s="202"/>
      <c r="DZC140" s="202"/>
      <c r="DZD140" s="203"/>
      <c r="DZE140" s="204"/>
      <c r="DZF140" s="204"/>
      <c r="DZG140" s="204"/>
      <c r="DZH140" s="205"/>
      <c r="DZI140" s="206"/>
      <c r="DZJ140" s="207"/>
      <c r="DZK140" s="207"/>
      <c r="DZL140" s="208"/>
      <c r="DZM140" s="209"/>
      <c r="DZN140" s="207"/>
      <c r="DZO140" s="210"/>
      <c r="DZP140" s="209"/>
      <c r="DZQ140" s="204"/>
      <c r="DZR140" s="204"/>
      <c r="DZS140" s="204"/>
      <c r="DZT140" s="199"/>
      <c r="DZU140" s="167"/>
      <c r="DZV140" s="199"/>
      <c r="DZW140" s="200"/>
      <c r="DZX140" s="201"/>
      <c r="DZY140" s="202"/>
      <c r="DZZ140" s="202"/>
      <c r="EAA140" s="202"/>
      <c r="EAB140" s="202"/>
      <c r="EAC140" s="203"/>
      <c r="EAD140" s="204"/>
      <c r="EAE140" s="204"/>
      <c r="EAF140" s="204"/>
      <c r="EAG140" s="205"/>
      <c r="EAH140" s="206"/>
      <c r="EAI140" s="207"/>
      <c r="EAJ140" s="207"/>
      <c r="EAK140" s="208"/>
      <c r="EAL140" s="209"/>
      <c r="EAM140" s="207"/>
      <c r="EAN140" s="210"/>
      <c r="EAO140" s="209"/>
      <c r="EAP140" s="204"/>
      <c r="EAQ140" s="204"/>
      <c r="EAR140" s="204"/>
      <c r="EAS140" s="199"/>
      <c r="EAT140" s="167"/>
      <c r="EAU140" s="199"/>
      <c r="EAV140" s="200"/>
      <c r="EAW140" s="201"/>
      <c r="EAX140" s="202"/>
      <c r="EAY140" s="202"/>
      <c r="EAZ140" s="202"/>
      <c r="EBA140" s="202"/>
      <c r="EBB140" s="203"/>
      <c r="EBC140" s="204"/>
      <c r="EBD140" s="204"/>
      <c r="EBE140" s="204"/>
      <c r="EBF140" s="205"/>
      <c r="EBG140" s="206"/>
      <c r="EBH140" s="207"/>
      <c r="EBI140" s="207"/>
      <c r="EBJ140" s="208"/>
      <c r="EBK140" s="209"/>
      <c r="EBL140" s="207"/>
      <c r="EBM140" s="210"/>
      <c r="EBN140" s="209"/>
      <c r="EBO140" s="204"/>
      <c r="EBP140" s="204"/>
      <c r="EBQ140" s="204"/>
      <c r="EBR140" s="199"/>
      <c r="EBS140" s="167"/>
      <c r="EBT140" s="199"/>
      <c r="EBU140" s="200"/>
      <c r="EBV140" s="201"/>
      <c r="EBW140" s="202"/>
      <c r="EBX140" s="202"/>
      <c r="EBY140" s="202"/>
      <c r="EBZ140" s="202"/>
      <c r="ECA140" s="203"/>
      <c r="ECB140" s="204"/>
      <c r="ECC140" s="204"/>
      <c r="ECD140" s="204"/>
      <c r="ECE140" s="205"/>
      <c r="ECF140" s="206"/>
      <c r="ECG140" s="207"/>
      <c r="ECH140" s="207"/>
      <c r="ECI140" s="208"/>
      <c r="ECJ140" s="209"/>
      <c r="ECK140" s="207"/>
      <c r="ECL140" s="210"/>
      <c r="ECM140" s="209"/>
      <c r="ECN140" s="204"/>
      <c r="ECO140" s="204"/>
      <c r="ECP140" s="204"/>
      <c r="ECQ140" s="199"/>
      <c r="ECR140" s="167"/>
      <c r="ECS140" s="199"/>
      <c r="ECT140" s="200"/>
      <c r="ECU140" s="201"/>
      <c r="ECV140" s="202"/>
      <c r="ECW140" s="202"/>
      <c r="ECX140" s="202"/>
      <c r="ECY140" s="202"/>
      <c r="ECZ140" s="203"/>
      <c r="EDA140" s="204"/>
      <c r="EDB140" s="204"/>
      <c r="EDC140" s="204"/>
      <c r="EDD140" s="205"/>
      <c r="EDE140" s="206"/>
      <c r="EDF140" s="207"/>
      <c r="EDG140" s="207"/>
      <c r="EDH140" s="208"/>
      <c r="EDI140" s="209"/>
      <c r="EDJ140" s="207"/>
      <c r="EDK140" s="210"/>
      <c r="EDL140" s="209"/>
      <c r="EDM140" s="204"/>
      <c r="EDN140" s="204"/>
      <c r="EDO140" s="204"/>
      <c r="EDP140" s="199"/>
      <c r="EDQ140" s="167"/>
      <c r="EDR140" s="199"/>
      <c r="EDS140" s="200"/>
      <c r="EDT140" s="201"/>
      <c r="EDU140" s="202"/>
      <c r="EDV140" s="202"/>
      <c r="EDW140" s="202"/>
      <c r="EDX140" s="202"/>
      <c r="EDY140" s="203"/>
      <c r="EDZ140" s="204"/>
      <c r="EEA140" s="204"/>
      <c r="EEB140" s="204"/>
      <c r="EEC140" s="205"/>
      <c r="EED140" s="206"/>
      <c r="EEE140" s="207"/>
      <c r="EEF140" s="207"/>
      <c r="EEG140" s="208"/>
      <c r="EEH140" s="209"/>
      <c r="EEI140" s="207"/>
      <c r="EEJ140" s="210"/>
      <c r="EEK140" s="209"/>
      <c r="EEL140" s="204"/>
      <c r="EEM140" s="204"/>
      <c r="EEN140" s="204"/>
      <c r="EEO140" s="199"/>
      <c r="EEP140" s="167"/>
      <c r="EEQ140" s="199"/>
      <c r="EER140" s="200"/>
      <c r="EES140" s="201"/>
      <c r="EET140" s="202"/>
      <c r="EEU140" s="202"/>
      <c r="EEV140" s="202"/>
      <c r="EEW140" s="202"/>
      <c r="EEX140" s="203"/>
      <c r="EEY140" s="204"/>
      <c r="EEZ140" s="204"/>
      <c r="EFA140" s="204"/>
      <c r="EFB140" s="205"/>
      <c r="EFC140" s="206"/>
      <c r="EFD140" s="207"/>
      <c r="EFE140" s="207"/>
      <c r="EFF140" s="208"/>
      <c r="EFG140" s="209"/>
      <c r="EFH140" s="207"/>
      <c r="EFI140" s="210"/>
      <c r="EFJ140" s="209"/>
      <c r="EFK140" s="204"/>
      <c r="EFL140" s="204"/>
      <c r="EFM140" s="204"/>
      <c r="EFN140" s="199"/>
      <c r="EFO140" s="167"/>
      <c r="EFP140" s="199"/>
      <c r="EFQ140" s="200"/>
      <c r="EFR140" s="201"/>
      <c r="EFS140" s="202"/>
      <c r="EFT140" s="202"/>
      <c r="EFU140" s="202"/>
      <c r="EFV140" s="202"/>
      <c r="EFW140" s="203"/>
      <c r="EFX140" s="204"/>
      <c r="EFY140" s="204"/>
      <c r="EFZ140" s="204"/>
      <c r="EGA140" s="205"/>
      <c r="EGB140" s="206"/>
      <c r="EGC140" s="207"/>
      <c r="EGD140" s="207"/>
      <c r="EGE140" s="208"/>
      <c r="EGF140" s="209"/>
      <c r="EGG140" s="207"/>
      <c r="EGH140" s="210"/>
      <c r="EGI140" s="209"/>
      <c r="EGJ140" s="204"/>
      <c r="EGK140" s="204"/>
      <c r="EGL140" s="204"/>
      <c r="EGM140" s="199"/>
      <c r="EGN140" s="167"/>
      <c r="EGO140" s="199"/>
      <c r="EGP140" s="200"/>
      <c r="EGQ140" s="201"/>
      <c r="EGR140" s="202"/>
      <c r="EGS140" s="202"/>
      <c r="EGT140" s="202"/>
      <c r="EGU140" s="202"/>
      <c r="EGV140" s="203"/>
      <c r="EGW140" s="204"/>
      <c r="EGX140" s="204"/>
      <c r="EGY140" s="204"/>
      <c r="EGZ140" s="205"/>
      <c r="EHA140" s="206"/>
      <c r="EHB140" s="207"/>
      <c r="EHC140" s="207"/>
      <c r="EHD140" s="208"/>
      <c r="EHE140" s="209"/>
      <c r="EHF140" s="207"/>
      <c r="EHG140" s="210"/>
      <c r="EHH140" s="209"/>
      <c r="EHI140" s="204"/>
      <c r="EHJ140" s="204"/>
      <c r="EHK140" s="204"/>
      <c r="EHL140" s="199"/>
      <c r="EHM140" s="167"/>
      <c r="EHN140" s="199"/>
      <c r="EHO140" s="200"/>
      <c r="EHP140" s="201"/>
      <c r="EHQ140" s="202"/>
      <c r="EHR140" s="202"/>
      <c r="EHS140" s="202"/>
      <c r="EHT140" s="202"/>
      <c r="EHU140" s="203"/>
      <c r="EHV140" s="204"/>
      <c r="EHW140" s="204"/>
      <c r="EHX140" s="204"/>
      <c r="EHY140" s="205"/>
      <c r="EHZ140" s="206"/>
      <c r="EIA140" s="207"/>
      <c r="EIB140" s="207"/>
      <c r="EIC140" s="208"/>
      <c r="EID140" s="209"/>
      <c r="EIE140" s="207"/>
      <c r="EIF140" s="210"/>
      <c r="EIG140" s="209"/>
      <c r="EIH140" s="204"/>
      <c r="EII140" s="204"/>
      <c r="EIJ140" s="204"/>
      <c r="EIK140" s="199"/>
      <c r="EIL140" s="167"/>
      <c r="EIM140" s="199"/>
      <c r="EIN140" s="200"/>
      <c r="EIO140" s="201"/>
      <c r="EIP140" s="202"/>
      <c r="EIQ140" s="202"/>
      <c r="EIR140" s="202"/>
      <c r="EIS140" s="202"/>
      <c r="EIT140" s="203"/>
      <c r="EIU140" s="204"/>
      <c r="EIV140" s="204"/>
      <c r="EIW140" s="204"/>
      <c r="EIX140" s="205"/>
      <c r="EIY140" s="206"/>
      <c r="EIZ140" s="207"/>
      <c r="EJA140" s="207"/>
      <c r="EJB140" s="208"/>
      <c r="EJC140" s="209"/>
      <c r="EJD140" s="207"/>
      <c r="EJE140" s="210"/>
      <c r="EJF140" s="209"/>
      <c r="EJG140" s="204"/>
      <c r="EJH140" s="204"/>
      <c r="EJI140" s="204"/>
      <c r="EJJ140" s="199"/>
      <c r="EJK140" s="167"/>
      <c r="EJL140" s="199"/>
      <c r="EJM140" s="200"/>
      <c r="EJN140" s="201"/>
      <c r="EJO140" s="202"/>
      <c r="EJP140" s="202"/>
      <c r="EJQ140" s="202"/>
      <c r="EJR140" s="202"/>
      <c r="EJS140" s="203"/>
      <c r="EJT140" s="204"/>
      <c r="EJU140" s="204"/>
      <c r="EJV140" s="204"/>
      <c r="EJW140" s="205"/>
      <c r="EJX140" s="206"/>
      <c r="EJY140" s="207"/>
      <c r="EJZ140" s="207"/>
      <c r="EKA140" s="208"/>
      <c r="EKB140" s="209"/>
      <c r="EKC140" s="207"/>
      <c r="EKD140" s="210"/>
      <c r="EKE140" s="209"/>
      <c r="EKF140" s="204"/>
      <c r="EKG140" s="204"/>
      <c r="EKH140" s="204"/>
      <c r="EKI140" s="199"/>
      <c r="EKJ140" s="167"/>
      <c r="EKK140" s="199"/>
      <c r="EKL140" s="200"/>
      <c r="EKM140" s="201"/>
      <c r="EKN140" s="202"/>
      <c r="EKO140" s="202"/>
      <c r="EKP140" s="202"/>
      <c r="EKQ140" s="202"/>
      <c r="EKR140" s="203"/>
      <c r="EKS140" s="204"/>
      <c r="EKT140" s="204"/>
      <c r="EKU140" s="204"/>
      <c r="EKV140" s="205"/>
      <c r="EKW140" s="206"/>
      <c r="EKX140" s="207"/>
      <c r="EKY140" s="207"/>
      <c r="EKZ140" s="208"/>
      <c r="ELA140" s="209"/>
      <c r="ELB140" s="207"/>
      <c r="ELC140" s="210"/>
      <c r="ELD140" s="209"/>
      <c r="ELE140" s="204"/>
      <c r="ELF140" s="204"/>
      <c r="ELG140" s="204"/>
      <c r="ELH140" s="199"/>
      <c r="ELI140" s="167"/>
      <c r="ELJ140" s="199"/>
      <c r="ELK140" s="200"/>
      <c r="ELL140" s="201"/>
      <c r="ELM140" s="202"/>
      <c r="ELN140" s="202"/>
      <c r="ELO140" s="202"/>
      <c r="ELP140" s="202"/>
      <c r="ELQ140" s="203"/>
      <c r="ELR140" s="204"/>
      <c r="ELS140" s="204"/>
      <c r="ELT140" s="204"/>
      <c r="ELU140" s="205"/>
      <c r="ELV140" s="206"/>
      <c r="ELW140" s="207"/>
      <c r="ELX140" s="207"/>
      <c r="ELY140" s="208"/>
      <c r="ELZ140" s="209"/>
      <c r="EMA140" s="207"/>
      <c r="EMB140" s="210"/>
      <c r="EMC140" s="209"/>
      <c r="EMD140" s="204"/>
      <c r="EME140" s="204"/>
      <c r="EMF140" s="204"/>
      <c r="EMG140" s="199"/>
      <c r="EMH140" s="167"/>
      <c r="EMI140" s="199"/>
      <c r="EMJ140" s="200"/>
      <c r="EMK140" s="201"/>
      <c r="EML140" s="202"/>
      <c r="EMM140" s="202"/>
      <c r="EMN140" s="202"/>
      <c r="EMO140" s="202"/>
      <c r="EMP140" s="203"/>
      <c r="EMQ140" s="204"/>
      <c r="EMR140" s="204"/>
      <c r="EMS140" s="204"/>
      <c r="EMT140" s="205"/>
      <c r="EMU140" s="206"/>
      <c r="EMV140" s="207"/>
      <c r="EMW140" s="207"/>
      <c r="EMX140" s="208"/>
      <c r="EMY140" s="209"/>
      <c r="EMZ140" s="207"/>
      <c r="ENA140" s="210"/>
      <c r="ENB140" s="209"/>
      <c r="ENC140" s="204"/>
      <c r="END140" s="204"/>
      <c r="ENE140" s="204"/>
      <c r="ENF140" s="199"/>
      <c r="ENG140" s="167"/>
      <c r="ENH140" s="199"/>
      <c r="ENI140" s="200"/>
      <c r="ENJ140" s="201"/>
      <c r="ENK140" s="202"/>
      <c r="ENL140" s="202"/>
      <c r="ENM140" s="202"/>
      <c r="ENN140" s="202"/>
      <c r="ENO140" s="203"/>
      <c r="ENP140" s="204"/>
      <c r="ENQ140" s="204"/>
      <c r="ENR140" s="204"/>
      <c r="ENS140" s="205"/>
      <c r="ENT140" s="206"/>
      <c r="ENU140" s="207"/>
      <c r="ENV140" s="207"/>
      <c r="ENW140" s="208"/>
      <c r="ENX140" s="209"/>
      <c r="ENY140" s="207"/>
      <c r="ENZ140" s="210"/>
      <c r="EOA140" s="209"/>
      <c r="EOB140" s="204"/>
      <c r="EOC140" s="204"/>
      <c r="EOD140" s="204"/>
      <c r="EOE140" s="199"/>
      <c r="EOF140" s="167"/>
      <c r="EOG140" s="199"/>
      <c r="EOH140" s="200"/>
      <c r="EOI140" s="201"/>
      <c r="EOJ140" s="202"/>
      <c r="EOK140" s="202"/>
      <c r="EOL140" s="202"/>
      <c r="EOM140" s="202"/>
      <c r="EON140" s="203"/>
      <c r="EOO140" s="204"/>
      <c r="EOP140" s="204"/>
      <c r="EOQ140" s="204"/>
      <c r="EOR140" s="205"/>
      <c r="EOS140" s="206"/>
      <c r="EOT140" s="207"/>
      <c r="EOU140" s="207"/>
      <c r="EOV140" s="208"/>
      <c r="EOW140" s="209"/>
      <c r="EOX140" s="207"/>
      <c r="EOY140" s="210"/>
      <c r="EOZ140" s="209"/>
      <c r="EPA140" s="204"/>
      <c r="EPB140" s="204"/>
      <c r="EPC140" s="204"/>
      <c r="EPD140" s="199"/>
      <c r="EPE140" s="167"/>
      <c r="EPF140" s="199"/>
      <c r="EPG140" s="200"/>
      <c r="EPH140" s="201"/>
      <c r="EPI140" s="202"/>
      <c r="EPJ140" s="202"/>
      <c r="EPK140" s="202"/>
      <c r="EPL140" s="202"/>
      <c r="EPM140" s="203"/>
      <c r="EPN140" s="204"/>
      <c r="EPO140" s="204"/>
      <c r="EPP140" s="204"/>
      <c r="EPQ140" s="205"/>
      <c r="EPR140" s="206"/>
      <c r="EPS140" s="207"/>
      <c r="EPT140" s="207"/>
      <c r="EPU140" s="208"/>
      <c r="EPV140" s="209"/>
      <c r="EPW140" s="207"/>
      <c r="EPX140" s="210"/>
      <c r="EPY140" s="209"/>
      <c r="EPZ140" s="204"/>
      <c r="EQA140" s="204"/>
      <c r="EQB140" s="204"/>
      <c r="EQC140" s="199"/>
      <c r="EQD140" s="167"/>
      <c r="EQE140" s="199"/>
      <c r="EQF140" s="200"/>
      <c r="EQG140" s="201"/>
      <c r="EQH140" s="202"/>
      <c r="EQI140" s="202"/>
      <c r="EQJ140" s="202"/>
      <c r="EQK140" s="202"/>
      <c r="EQL140" s="203"/>
      <c r="EQM140" s="204"/>
      <c r="EQN140" s="204"/>
      <c r="EQO140" s="204"/>
      <c r="EQP140" s="205"/>
      <c r="EQQ140" s="206"/>
      <c r="EQR140" s="207"/>
      <c r="EQS140" s="207"/>
      <c r="EQT140" s="208"/>
      <c r="EQU140" s="209"/>
      <c r="EQV140" s="207"/>
      <c r="EQW140" s="210"/>
      <c r="EQX140" s="209"/>
      <c r="EQY140" s="204"/>
      <c r="EQZ140" s="204"/>
      <c r="ERA140" s="204"/>
      <c r="ERB140" s="199"/>
      <c r="ERC140" s="167"/>
      <c r="ERD140" s="199"/>
      <c r="ERE140" s="200"/>
      <c r="ERF140" s="201"/>
      <c r="ERG140" s="202"/>
      <c r="ERH140" s="202"/>
      <c r="ERI140" s="202"/>
      <c r="ERJ140" s="202"/>
      <c r="ERK140" s="203"/>
      <c r="ERL140" s="204"/>
      <c r="ERM140" s="204"/>
      <c r="ERN140" s="204"/>
      <c r="ERO140" s="205"/>
      <c r="ERP140" s="206"/>
      <c r="ERQ140" s="207"/>
      <c r="ERR140" s="207"/>
      <c r="ERS140" s="208"/>
      <c r="ERT140" s="209"/>
      <c r="ERU140" s="207"/>
      <c r="ERV140" s="210"/>
      <c r="ERW140" s="209"/>
      <c r="ERX140" s="204"/>
      <c r="ERY140" s="204"/>
      <c r="ERZ140" s="204"/>
      <c r="ESA140" s="199"/>
      <c r="ESB140" s="167"/>
      <c r="ESC140" s="199"/>
      <c r="ESD140" s="200"/>
      <c r="ESE140" s="201"/>
      <c r="ESF140" s="202"/>
      <c r="ESG140" s="202"/>
      <c r="ESH140" s="202"/>
      <c r="ESI140" s="202"/>
      <c r="ESJ140" s="203"/>
      <c r="ESK140" s="204"/>
      <c r="ESL140" s="204"/>
      <c r="ESM140" s="204"/>
      <c r="ESN140" s="205"/>
      <c r="ESO140" s="206"/>
      <c r="ESP140" s="207"/>
      <c r="ESQ140" s="207"/>
      <c r="ESR140" s="208"/>
      <c r="ESS140" s="209"/>
      <c r="EST140" s="207"/>
      <c r="ESU140" s="210"/>
      <c r="ESV140" s="209"/>
      <c r="ESW140" s="204"/>
      <c r="ESX140" s="204"/>
      <c r="ESY140" s="204"/>
      <c r="ESZ140" s="199"/>
      <c r="ETA140" s="167"/>
      <c r="ETB140" s="199"/>
      <c r="ETC140" s="200"/>
      <c r="ETD140" s="201"/>
      <c r="ETE140" s="202"/>
      <c r="ETF140" s="202"/>
      <c r="ETG140" s="202"/>
      <c r="ETH140" s="202"/>
      <c r="ETI140" s="203"/>
      <c r="ETJ140" s="204"/>
      <c r="ETK140" s="204"/>
      <c r="ETL140" s="204"/>
      <c r="ETM140" s="205"/>
      <c r="ETN140" s="206"/>
      <c r="ETO140" s="207"/>
      <c r="ETP140" s="207"/>
      <c r="ETQ140" s="208"/>
      <c r="ETR140" s="209"/>
      <c r="ETS140" s="207"/>
      <c r="ETT140" s="210"/>
      <c r="ETU140" s="209"/>
      <c r="ETV140" s="204"/>
      <c r="ETW140" s="204"/>
      <c r="ETX140" s="204"/>
      <c r="ETY140" s="199"/>
      <c r="ETZ140" s="167"/>
      <c r="EUA140" s="199"/>
      <c r="EUB140" s="200"/>
      <c r="EUC140" s="201"/>
      <c r="EUD140" s="202"/>
      <c r="EUE140" s="202"/>
      <c r="EUF140" s="202"/>
      <c r="EUG140" s="202"/>
      <c r="EUH140" s="203"/>
      <c r="EUI140" s="204"/>
      <c r="EUJ140" s="204"/>
      <c r="EUK140" s="204"/>
      <c r="EUL140" s="205"/>
      <c r="EUM140" s="206"/>
      <c r="EUN140" s="207"/>
      <c r="EUO140" s="207"/>
      <c r="EUP140" s="208"/>
      <c r="EUQ140" s="209"/>
      <c r="EUR140" s="207"/>
      <c r="EUS140" s="210"/>
      <c r="EUT140" s="209"/>
      <c r="EUU140" s="204"/>
      <c r="EUV140" s="204"/>
      <c r="EUW140" s="204"/>
      <c r="EUX140" s="199"/>
      <c r="EUY140" s="167"/>
      <c r="EUZ140" s="199"/>
      <c r="EVA140" s="200"/>
      <c r="EVB140" s="201"/>
      <c r="EVC140" s="202"/>
      <c r="EVD140" s="202"/>
      <c r="EVE140" s="202"/>
      <c r="EVF140" s="202"/>
      <c r="EVG140" s="203"/>
      <c r="EVH140" s="204"/>
      <c r="EVI140" s="204"/>
      <c r="EVJ140" s="204"/>
      <c r="EVK140" s="205"/>
      <c r="EVL140" s="206"/>
      <c r="EVM140" s="207"/>
      <c r="EVN140" s="207"/>
      <c r="EVO140" s="208"/>
      <c r="EVP140" s="209"/>
      <c r="EVQ140" s="207"/>
      <c r="EVR140" s="210"/>
      <c r="EVS140" s="209"/>
      <c r="EVT140" s="204"/>
      <c r="EVU140" s="204"/>
      <c r="EVV140" s="204"/>
      <c r="EVW140" s="199"/>
      <c r="EVX140" s="167"/>
      <c r="EVY140" s="199"/>
      <c r="EVZ140" s="200"/>
      <c r="EWA140" s="201"/>
      <c r="EWB140" s="202"/>
      <c r="EWC140" s="202"/>
      <c r="EWD140" s="202"/>
      <c r="EWE140" s="202"/>
      <c r="EWF140" s="203"/>
      <c r="EWG140" s="204"/>
      <c r="EWH140" s="204"/>
      <c r="EWI140" s="204"/>
      <c r="EWJ140" s="205"/>
      <c r="EWK140" s="206"/>
      <c r="EWL140" s="207"/>
      <c r="EWM140" s="207"/>
      <c r="EWN140" s="208"/>
      <c r="EWO140" s="209"/>
      <c r="EWP140" s="207"/>
      <c r="EWQ140" s="210"/>
      <c r="EWR140" s="209"/>
      <c r="EWS140" s="204"/>
      <c r="EWT140" s="204"/>
      <c r="EWU140" s="204"/>
      <c r="EWV140" s="199"/>
      <c r="EWW140" s="167"/>
      <c r="EWX140" s="199"/>
      <c r="EWY140" s="200"/>
      <c r="EWZ140" s="201"/>
      <c r="EXA140" s="202"/>
      <c r="EXB140" s="202"/>
      <c r="EXC140" s="202"/>
      <c r="EXD140" s="202"/>
      <c r="EXE140" s="203"/>
      <c r="EXF140" s="204"/>
      <c r="EXG140" s="204"/>
      <c r="EXH140" s="204"/>
      <c r="EXI140" s="205"/>
      <c r="EXJ140" s="206"/>
      <c r="EXK140" s="207"/>
      <c r="EXL140" s="207"/>
      <c r="EXM140" s="208"/>
      <c r="EXN140" s="209"/>
      <c r="EXO140" s="207"/>
      <c r="EXP140" s="210"/>
      <c r="EXQ140" s="209"/>
      <c r="EXR140" s="204"/>
      <c r="EXS140" s="204"/>
      <c r="EXT140" s="204"/>
      <c r="EXU140" s="199"/>
      <c r="EXV140" s="167"/>
      <c r="EXW140" s="199"/>
      <c r="EXX140" s="200"/>
      <c r="EXY140" s="201"/>
      <c r="EXZ140" s="202"/>
      <c r="EYA140" s="202"/>
      <c r="EYB140" s="202"/>
      <c r="EYC140" s="202"/>
      <c r="EYD140" s="203"/>
      <c r="EYE140" s="204"/>
      <c r="EYF140" s="204"/>
      <c r="EYG140" s="204"/>
      <c r="EYH140" s="205"/>
      <c r="EYI140" s="206"/>
      <c r="EYJ140" s="207"/>
      <c r="EYK140" s="207"/>
      <c r="EYL140" s="208"/>
      <c r="EYM140" s="209"/>
      <c r="EYN140" s="207"/>
      <c r="EYO140" s="210"/>
      <c r="EYP140" s="209"/>
      <c r="EYQ140" s="204"/>
      <c r="EYR140" s="204"/>
      <c r="EYS140" s="204"/>
      <c r="EYT140" s="199"/>
      <c r="EYU140" s="167"/>
      <c r="EYV140" s="199"/>
      <c r="EYW140" s="200"/>
      <c r="EYX140" s="201"/>
      <c r="EYY140" s="202"/>
      <c r="EYZ140" s="202"/>
      <c r="EZA140" s="202"/>
      <c r="EZB140" s="202"/>
      <c r="EZC140" s="203"/>
      <c r="EZD140" s="204"/>
      <c r="EZE140" s="204"/>
      <c r="EZF140" s="204"/>
      <c r="EZG140" s="205"/>
      <c r="EZH140" s="206"/>
      <c r="EZI140" s="207"/>
      <c r="EZJ140" s="207"/>
      <c r="EZK140" s="208"/>
      <c r="EZL140" s="209"/>
      <c r="EZM140" s="207"/>
      <c r="EZN140" s="210"/>
      <c r="EZO140" s="209"/>
      <c r="EZP140" s="204"/>
      <c r="EZQ140" s="204"/>
      <c r="EZR140" s="204"/>
      <c r="EZS140" s="199"/>
      <c r="EZT140" s="167"/>
      <c r="EZU140" s="199"/>
      <c r="EZV140" s="200"/>
      <c r="EZW140" s="201"/>
      <c r="EZX140" s="202"/>
      <c r="EZY140" s="202"/>
      <c r="EZZ140" s="202"/>
      <c r="FAA140" s="202"/>
      <c r="FAB140" s="203"/>
      <c r="FAC140" s="204"/>
      <c r="FAD140" s="204"/>
      <c r="FAE140" s="204"/>
      <c r="FAF140" s="205"/>
      <c r="FAG140" s="206"/>
      <c r="FAH140" s="207"/>
      <c r="FAI140" s="207"/>
      <c r="FAJ140" s="208"/>
      <c r="FAK140" s="209"/>
      <c r="FAL140" s="207"/>
      <c r="FAM140" s="210"/>
      <c r="FAN140" s="209"/>
      <c r="FAO140" s="204"/>
      <c r="FAP140" s="204"/>
      <c r="FAQ140" s="204"/>
      <c r="FAR140" s="199"/>
      <c r="FAS140" s="167"/>
      <c r="FAT140" s="199"/>
      <c r="FAU140" s="200"/>
      <c r="FAV140" s="201"/>
      <c r="FAW140" s="202"/>
      <c r="FAX140" s="202"/>
      <c r="FAY140" s="202"/>
      <c r="FAZ140" s="202"/>
      <c r="FBA140" s="203"/>
      <c r="FBB140" s="204"/>
      <c r="FBC140" s="204"/>
      <c r="FBD140" s="204"/>
      <c r="FBE140" s="205"/>
      <c r="FBF140" s="206"/>
      <c r="FBG140" s="207"/>
      <c r="FBH140" s="207"/>
      <c r="FBI140" s="208"/>
      <c r="FBJ140" s="209"/>
      <c r="FBK140" s="207"/>
      <c r="FBL140" s="210"/>
      <c r="FBM140" s="209"/>
      <c r="FBN140" s="204"/>
      <c r="FBO140" s="204"/>
      <c r="FBP140" s="204"/>
      <c r="FBQ140" s="199"/>
      <c r="FBR140" s="167"/>
      <c r="FBS140" s="199"/>
      <c r="FBT140" s="200"/>
      <c r="FBU140" s="201"/>
      <c r="FBV140" s="202"/>
      <c r="FBW140" s="202"/>
      <c r="FBX140" s="202"/>
      <c r="FBY140" s="202"/>
      <c r="FBZ140" s="203"/>
      <c r="FCA140" s="204"/>
      <c r="FCB140" s="204"/>
      <c r="FCC140" s="204"/>
      <c r="FCD140" s="205"/>
      <c r="FCE140" s="206"/>
      <c r="FCF140" s="207"/>
      <c r="FCG140" s="207"/>
      <c r="FCH140" s="208"/>
      <c r="FCI140" s="209"/>
      <c r="FCJ140" s="207"/>
      <c r="FCK140" s="210"/>
      <c r="FCL140" s="209"/>
      <c r="FCM140" s="204"/>
      <c r="FCN140" s="204"/>
      <c r="FCO140" s="204"/>
      <c r="FCP140" s="199"/>
      <c r="FCQ140" s="167"/>
      <c r="FCR140" s="199"/>
      <c r="FCS140" s="200"/>
      <c r="FCT140" s="201"/>
      <c r="FCU140" s="202"/>
      <c r="FCV140" s="202"/>
      <c r="FCW140" s="202"/>
      <c r="FCX140" s="202"/>
      <c r="FCY140" s="203"/>
      <c r="FCZ140" s="204"/>
      <c r="FDA140" s="204"/>
      <c r="FDB140" s="204"/>
      <c r="FDC140" s="205"/>
      <c r="FDD140" s="206"/>
      <c r="FDE140" s="207"/>
      <c r="FDF140" s="207"/>
      <c r="FDG140" s="208"/>
      <c r="FDH140" s="209"/>
      <c r="FDI140" s="207"/>
      <c r="FDJ140" s="210"/>
      <c r="FDK140" s="209"/>
      <c r="FDL140" s="204"/>
      <c r="FDM140" s="204"/>
      <c r="FDN140" s="204"/>
      <c r="FDO140" s="199"/>
      <c r="FDP140" s="167"/>
      <c r="FDQ140" s="199"/>
      <c r="FDR140" s="200"/>
      <c r="FDS140" s="201"/>
      <c r="FDT140" s="202"/>
      <c r="FDU140" s="202"/>
      <c r="FDV140" s="202"/>
      <c r="FDW140" s="202"/>
      <c r="FDX140" s="203"/>
      <c r="FDY140" s="204"/>
      <c r="FDZ140" s="204"/>
      <c r="FEA140" s="204"/>
      <c r="FEB140" s="205"/>
      <c r="FEC140" s="206"/>
      <c r="FED140" s="207"/>
      <c r="FEE140" s="207"/>
      <c r="FEF140" s="208"/>
      <c r="FEG140" s="209"/>
      <c r="FEH140" s="207"/>
      <c r="FEI140" s="210"/>
      <c r="FEJ140" s="209"/>
      <c r="FEK140" s="204"/>
      <c r="FEL140" s="204"/>
      <c r="FEM140" s="204"/>
      <c r="FEN140" s="199"/>
      <c r="FEO140" s="167"/>
      <c r="FEP140" s="199"/>
      <c r="FEQ140" s="200"/>
      <c r="FER140" s="201"/>
      <c r="FES140" s="202"/>
      <c r="FET140" s="202"/>
      <c r="FEU140" s="202"/>
      <c r="FEV140" s="202"/>
      <c r="FEW140" s="203"/>
      <c r="FEX140" s="204"/>
      <c r="FEY140" s="204"/>
      <c r="FEZ140" s="204"/>
      <c r="FFA140" s="205"/>
      <c r="FFB140" s="206"/>
      <c r="FFC140" s="207"/>
      <c r="FFD140" s="207"/>
      <c r="FFE140" s="208"/>
      <c r="FFF140" s="209"/>
      <c r="FFG140" s="207"/>
      <c r="FFH140" s="210"/>
      <c r="FFI140" s="209"/>
      <c r="FFJ140" s="204"/>
      <c r="FFK140" s="204"/>
      <c r="FFL140" s="204"/>
      <c r="FFM140" s="199"/>
      <c r="FFN140" s="167"/>
      <c r="FFO140" s="199"/>
      <c r="FFP140" s="200"/>
      <c r="FFQ140" s="201"/>
      <c r="FFR140" s="202"/>
      <c r="FFS140" s="202"/>
      <c r="FFT140" s="202"/>
      <c r="FFU140" s="202"/>
      <c r="FFV140" s="203"/>
      <c r="FFW140" s="204"/>
      <c r="FFX140" s="204"/>
      <c r="FFY140" s="204"/>
      <c r="FFZ140" s="205"/>
      <c r="FGA140" s="206"/>
      <c r="FGB140" s="207"/>
      <c r="FGC140" s="207"/>
      <c r="FGD140" s="208"/>
      <c r="FGE140" s="209"/>
      <c r="FGF140" s="207"/>
      <c r="FGG140" s="210"/>
      <c r="FGH140" s="209"/>
      <c r="FGI140" s="204"/>
      <c r="FGJ140" s="204"/>
      <c r="FGK140" s="204"/>
      <c r="FGL140" s="199"/>
      <c r="FGM140" s="167"/>
      <c r="FGN140" s="199"/>
      <c r="FGO140" s="200"/>
      <c r="FGP140" s="201"/>
      <c r="FGQ140" s="202"/>
      <c r="FGR140" s="202"/>
      <c r="FGS140" s="202"/>
      <c r="FGT140" s="202"/>
      <c r="FGU140" s="203"/>
      <c r="FGV140" s="204"/>
      <c r="FGW140" s="204"/>
      <c r="FGX140" s="204"/>
      <c r="FGY140" s="205"/>
      <c r="FGZ140" s="206"/>
      <c r="FHA140" s="207"/>
      <c r="FHB140" s="207"/>
      <c r="FHC140" s="208"/>
      <c r="FHD140" s="209"/>
      <c r="FHE140" s="207"/>
      <c r="FHF140" s="210"/>
      <c r="FHG140" s="209"/>
      <c r="FHH140" s="204"/>
      <c r="FHI140" s="204"/>
      <c r="FHJ140" s="204"/>
      <c r="FHK140" s="199"/>
      <c r="FHL140" s="167"/>
      <c r="FHM140" s="199"/>
      <c r="FHN140" s="200"/>
      <c r="FHO140" s="201"/>
      <c r="FHP140" s="202"/>
      <c r="FHQ140" s="202"/>
      <c r="FHR140" s="202"/>
      <c r="FHS140" s="202"/>
      <c r="FHT140" s="203"/>
      <c r="FHU140" s="204"/>
      <c r="FHV140" s="204"/>
      <c r="FHW140" s="204"/>
      <c r="FHX140" s="205"/>
      <c r="FHY140" s="206"/>
      <c r="FHZ140" s="207"/>
      <c r="FIA140" s="207"/>
      <c r="FIB140" s="208"/>
      <c r="FIC140" s="209"/>
      <c r="FID140" s="207"/>
      <c r="FIE140" s="210"/>
      <c r="FIF140" s="209"/>
      <c r="FIG140" s="204"/>
      <c r="FIH140" s="204"/>
      <c r="FII140" s="204"/>
      <c r="FIJ140" s="199"/>
      <c r="FIK140" s="167"/>
      <c r="FIL140" s="199"/>
      <c r="FIM140" s="200"/>
      <c r="FIN140" s="201"/>
      <c r="FIO140" s="202"/>
      <c r="FIP140" s="202"/>
      <c r="FIQ140" s="202"/>
      <c r="FIR140" s="202"/>
      <c r="FIS140" s="203"/>
      <c r="FIT140" s="204"/>
      <c r="FIU140" s="204"/>
      <c r="FIV140" s="204"/>
      <c r="FIW140" s="205"/>
      <c r="FIX140" s="206"/>
      <c r="FIY140" s="207"/>
      <c r="FIZ140" s="207"/>
      <c r="FJA140" s="208"/>
      <c r="FJB140" s="209"/>
      <c r="FJC140" s="207"/>
      <c r="FJD140" s="210"/>
      <c r="FJE140" s="209"/>
      <c r="FJF140" s="204"/>
      <c r="FJG140" s="204"/>
      <c r="FJH140" s="204"/>
      <c r="FJI140" s="199"/>
      <c r="FJJ140" s="167"/>
      <c r="FJK140" s="199"/>
      <c r="FJL140" s="200"/>
      <c r="FJM140" s="201"/>
      <c r="FJN140" s="202"/>
      <c r="FJO140" s="202"/>
      <c r="FJP140" s="202"/>
      <c r="FJQ140" s="202"/>
      <c r="FJR140" s="203"/>
      <c r="FJS140" s="204"/>
      <c r="FJT140" s="204"/>
      <c r="FJU140" s="204"/>
      <c r="FJV140" s="205"/>
      <c r="FJW140" s="206"/>
      <c r="FJX140" s="207"/>
      <c r="FJY140" s="207"/>
      <c r="FJZ140" s="208"/>
      <c r="FKA140" s="209"/>
      <c r="FKB140" s="207"/>
      <c r="FKC140" s="210"/>
      <c r="FKD140" s="209"/>
      <c r="FKE140" s="204"/>
      <c r="FKF140" s="204"/>
      <c r="FKG140" s="204"/>
      <c r="FKH140" s="199"/>
      <c r="FKI140" s="167"/>
      <c r="FKJ140" s="199"/>
      <c r="FKK140" s="200"/>
      <c r="FKL140" s="201"/>
      <c r="FKM140" s="202"/>
      <c r="FKN140" s="202"/>
      <c r="FKO140" s="202"/>
      <c r="FKP140" s="202"/>
      <c r="FKQ140" s="203"/>
      <c r="FKR140" s="204"/>
      <c r="FKS140" s="204"/>
      <c r="FKT140" s="204"/>
      <c r="FKU140" s="205"/>
      <c r="FKV140" s="206"/>
      <c r="FKW140" s="207"/>
      <c r="FKX140" s="207"/>
      <c r="FKY140" s="208"/>
      <c r="FKZ140" s="209"/>
      <c r="FLA140" s="207"/>
      <c r="FLB140" s="210"/>
      <c r="FLC140" s="209"/>
      <c r="FLD140" s="204"/>
      <c r="FLE140" s="204"/>
      <c r="FLF140" s="204"/>
      <c r="FLG140" s="199"/>
      <c r="FLH140" s="167"/>
      <c r="FLI140" s="199"/>
      <c r="FLJ140" s="200"/>
      <c r="FLK140" s="201"/>
      <c r="FLL140" s="202"/>
      <c r="FLM140" s="202"/>
      <c r="FLN140" s="202"/>
      <c r="FLO140" s="202"/>
      <c r="FLP140" s="203"/>
      <c r="FLQ140" s="204"/>
      <c r="FLR140" s="204"/>
      <c r="FLS140" s="204"/>
      <c r="FLT140" s="205"/>
      <c r="FLU140" s="206"/>
      <c r="FLV140" s="207"/>
      <c r="FLW140" s="207"/>
      <c r="FLX140" s="208"/>
      <c r="FLY140" s="209"/>
      <c r="FLZ140" s="207"/>
      <c r="FMA140" s="210"/>
      <c r="FMB140" s="209"/>
      <c r="FMC140" s="204"/>
      <c r="FMD140" s="204"/>
      <c r="FME140" s="204"/>
      <c r="FMF140" s="199"/>
      <c r="FMG140" s="167"/>
      <c r="FMH140" s="199"/>
      <c r="FMI140" s="200"/>
      <c r="FMJ140" s="201"/>
      <c r="FMK140" s="202"/>
      <c r="FML140" s="202"/>
      <c r="FMM140" s="202"/>
      <c r="FMN140" s="202"/>
      <c r="FMO140" s="203"/>
      <c r="FMP140" s="204"/>
      <c r="FMQ140" s="204"/>
      <c r="FMR140" s="204"/>
      <c r="FMS140" s="205"/>
      <c r="FMT140" s="206"/>
      <c r="FMU140" s="207"/>
      <c r="FMV140" s="207"/>
      <c r="FMW140" s="208"/>
      <c r="FMX140" s="209"/>
      <c r="FMY140" s="207"/>
      <c r="FMZ140" s="210"/>
      <c r="FNA140" s="209"/>
      <c r="FNB140" s="204"/>
      <c r="FNC140" s="204"/>
      <c r="FND140" s="204"/>
      <c r="FNE140" s="199"/>
      <c r="FNF140" s="167"/>
      <c r="FNG140" s="199"/>
      <c r="FNH140" s="200"/>
      <c r="FNI140" s="201"/>
      <c r="FNJ140" s="202"/>
      <c r="FNK140" s="202"/>
      <c r="FNL140" s="202"/>
      <c r="FNM140" s="202"/>
      <c r="FNN140" s="203"/>
      <c r="FNO140" s="204"/>
      <c r="FNP140" s="204"/>
      <c r="FNQ140" s="204"/>
      <c r="FNR140" s="205"/>
      <c r="FNS140" s="206"/>
      <c r="FNT140" s="207"/>
      <c r="FNU140" s="207"/>
      <c r="FNV140" s="208"/>
      <c r="FNW140" s="209"/>
      <c r="FNX140" s="207"/>
      <c r="FNY140" s="210"/>
      <c r="FNZ140" s="209"/>
      <c r="FOA140" s="204"/>
      <c r="FOB140" s="204"/>
      <c r="FOC140" s="204"/>
      <c r="FOD140" s="199"/>
      <c r="FOE140" s="167"/>
      <c r="FOF140" s="199"/>
      <c r="FOG140" s="200"/>
      <c r="FOH140" s="201"/>
      <c r="FOI140" s="202"/>
      <c r="FOJ140" s="202"/>
      <c r="FOK140" s="202"/>
      <c r="FOL140" s="202"/>
      <c r="FOM140" s="203"/>
      <c r="FON140" s="204"/>
      <c r="FOO140" s="204"/>
      <c r="FOP140" s="204"/>
      <c r="FOQ140" s="205"/>
      <c r="FOR140" s="206"/>
      <c r="FOS140" s="207"/>
      <c r="FOT140" s="207"/>
      <c r="FOU140" s="208"/>
      <c r="FOV140" s="209"/>
      <c r="FOW140" s="207"/>
      <c r="FOX140" s="210"/>
      <c r="FOY140" s="209"/>
      <c r="FOZ140" s="204"/>
      <c r="FPA140" s="204"/>
      <c r="FPB140" s="204"/>
      <c r="FPC140" s="199"/>
      <c r="FPD140" s="167"/>
      <c r="FPE140" s="199"/>
      <c r="FPF140" s="200"/>
      <c r="FPG140" s="201"/>
      <c r="FPH140" s="202"/>
      <c r="FPI140" s="202"/>
      <c r="FPJ140" s="202"/>
      <c r="FPK140" s="202"/>
      <c r="FPL140" s="203"/>
      <c r="FPM140" s="204"/>
      <c r="FPN140" s="204"/>
      <c r="FPO140" s="204"/>
      <c r="FPP140" s="205"/>
      <c r="FPQ140" s="206"/>
      <c r="FPR140" s="207"/>
      <c r="FPS140" s="207"/>
      <c r="FPT140" s="208"/>
      <c r="FPU140" s="209"/>
      <c r="FPV140" s="207"/>
      <c r="FPW140" s="210"/>
      <c r="FPX140" s="209"/>
      <c r="FPY140" s="204"/>
      <c r="FPZ140" s="204"/>
      <c r="FQA140" s="204"/>
      <c r="FQB140" s="199"/>
      <c r="FQC140" s="167"/>
      <c r="FQD140" s="199"/>
      <c r="FQE140" s="200"/>
      <c r="FQF140" s="201"/>
      <c r="FQG140" s="202"/>
      <c r="FQH140" s="202"/>
      <c r="FQI140" s="202"/>
      <c r="FQJ140" s="202"/>
      <c r="FQK140" s="203"/>
      <c r="FQL140" s="204"/>
      <c r="FQM140" s="204"/>
      <c r="FQN140" s="204"/>
      <c r="FQO140" s="205"/>
      <c r="FQP140" s="206"/>
      <c r="FQQ140" s="207"/>
      <c r="FQR140" s="207"/>
      <c r="FQS140" s="208"/>
      <c r="FQT140" s="209"/>
      <c r="FQU140" s="207"/>
      <c r="FQV140" s="210"/>
      <c r="FQW140" s="209"/>
      <c r="FQX140" s="204"/>
      <c r="FQY140" s="204"/>
      <c r="FQZ140" s="204"/>
      <c r="FRA140" s="199"/>
      <c r="FRB140" s="167"/>
      <c r="FRC140" s="199"/>
      <c r="FRD140" s="200"/>
      <c r="FRE140" s="201"/>
      <c r="FRF140" s="202"/>
      <c r="FRG140" s="202"/>
      <c r="FRH140" s="202"/>
      <c r="FRI140" s="202"/>
      <c r="FRJ140" s="203"/>
      <c r="FRK140" s="204"/>
      <c r="FRL140" s="204"/>
      <c r="FRM140" s="204"/>
      <c r="FRN140" s="205"/>
      <c r="FRO140" s="206"/>
      <c r="FRP140" s="207"/>
      <c r="FRQ140" s="207"/>
      <c r="FRR140" s="208"/>
      <c r="FRS140" s="209"/>
      <c r="FRT140" s="207"/>
      <c r="FRU140" s="210"/>
      <c r="FRV140" s="209"/>
      <c r="FRW140" s="204"/>
      <c r="FRX140" s="204"/>
      <c r="FRY140" s="204"/>
      <c r="FRZ140" s="199"/>
      <c r="FSA140" s="167"/>
      <c r="FSB140" s="199"/>
      <c r="FSC140" s="200"/>
      <c r="FSD140" s="201"/>
      <c r="FSE140" s="202"/>
      <c r="FSF140" s="202"/>
      <c r="FSG140" s="202"/>
      <c r="FSH140" s="202"/>
      <c r="FSI140" s="203"/>
      <c r="FSJ140" s="204"/>
      <c r="FSK140" s="204"/>
      <c r="FSL140" s="204"/>
      <c r="FSM140" s="205"/>
      <c r="FSN140" s="206"/>
      <c r="FSO140" s="207"/>
      <c r="FSP140" s="207"/>
      <c r="FSQ140" s="208"/>
      <c r="FSR140" s="209"/>
      <c r="FSS140" s="207"/>
      <c r="FST140" s="210"/>
      <c r="FSU140" s="209"/>
      <c r="FSV140" s="204"/>
      <c r="FSW140" s="204"/>
      <c r="FSX140" s="204"/>
      <c r="FSY140" s="199"/>
      <c r="FSZ140" s="167"/>
      <c r="FTA140" s="199"/>
      <c r="FTB140" s="200"/>
      <c r="FTC140" s="201"/>
      <c r="FTD140" s="202"/>
      <c r="FTE140" s="202"/>
      <c r="FTF140" s="202"/>
      <c r="FTG140" s="202"/>
      <c r="FTH140" s="203"/>
      <c r="FTI140" s="204"/>
      <c r="FTJ140" s="204"/>
      <c r="FTK140" s="204"/>
      <c r="FTL140" s="205"/>
      <c r="FTM140" s="206"/>
      <c r="FTN140" s="207"/>
      <c r="FTO140" s="207"/>
      <c r="FTP140" s="208"/>
      <c r="FTQ140" s="209"/>
      <c r="FTR140" s="207"/>
      <c r="FTS140" s="210"/>
      <c r="FTT140" s="209"/>
      <c r="FTU140" s="204"/>
      <c r="FTV140" s="204"/>
      <c r="FTW140" s="204"/>
      <c r="FTX140" s="199"/>
      <c r="FTY140" s="167"/>
      <c r="FTZ140" s="199"/>
      <c r="FUA140" s="200"/>
      <c r="FUB140" s="201"/>
      <c r="FUC140" s="202"/>
      <c r="FUD140" s="202"/>
      <c r="FUE140" s="202"/>
      <c r="FUF140" s="202"/>
      <c r="FUG140" s="203"/>
      <c r="FUH140" s="204"/>
      <c r="FUI140" s="204"/>
      <c r="FUJ140" s="204"/>
      <c r="FUK140" s="205"/>
      <c r="FUL140" s="206"/>
      <c r="FUM140" s="207"/>
      <c r="FUN140" s="207"/>
      <c r="FUO140" s="208"/>
      <c r="FUP140" s="209"/>
      <c r="FUQ140" s="207"/>
      <c r="FUR140" s="210"/>
      <c r="FUS140" s="209"/>
      <c r="FUT140" s="204"/>
      <c r="FUU140" s="204"/>
      <c r="FUV140" s="204"/>
      <c r="FUW140" s="199"/>
      <c r="FUX140" s="167"/>
      <c r="FUY140" s="199"/>
      <c r="FUZ140" s="200"/>
      <c r="FVA140" s="201"/>
      <c r="FVB140" s="202"/>
      <c r="FVC140" s="202"/>
      <c r="FVD140" s="202"/>
      <c r="FVE140" s="202"/>
      <c r="FVF140" s="203"/>
      <c r="FVG140" s="204"/>
      <c r="FVH140" s="204"/>
      <c r="FVI140" s="204"/>
      <c r="FVJ140" s="205"/>
      <c r="FVK140" s="206"/>
      <c r="FVL140" s="207"/>
      <c r="FVM140" s="207"/>
      <c r="FVN140" s="208"/>
      <c r="FVO140" s="209"/>
      <c r="FVP140" s="207"/>
      <c r="FVQ140" s="210"/>
      <c r="FVR140" s="209"/>
      <c r="FVS140" s="204"/>
      <c r="FVT140" s="204"/>
      <c r="FVU140" s="204"/>
      <c r="FVV140" s="199"/>
      <c r="FVW140" s="167"/>
      <c r="FVX140" s="199"/>
      <c r="FVY140" s="200"/>
      <c r="FVZ140" s="201"/>
      <c r="FWA140" s="202"/>
      <c r="FWB140" s="202"/>
      <c r="FWC140" s="202"/>
      <c r="FWD140" s="202"/>
      <c r="FWE140" s="203"/>
      <c r="FWF140" s="204"/>
      <c r="FWG140" s="204"/>
      <c r="FWH140" s="204"/>
      <c r="FWI140" s="205"/>
      <c r="FWJ140" s="206"/>
      <c r="FWK140" s="207"/>
      <c r="FWL140" s="207"/>
      <c r="FWM140" s="208"/>
      <c r="FWN140" s="209"/>
      <c r="FWO140" s="207"/>
      <c r="FWP140" s="210"/>
      <c r="FWQ140" s="209"/>
      <c r="FWR140" s="204"/>
      <c r="FWS140" s="204"/>
      <c r="FWT140" s="204"/>
      <c r="FWU140" s="199"/>
      <c r="FWV140" s="167"/>
      <c r="FWW140" s="199"/>
      <c r="FWX140" s="200"/>
      <c r="FWY140" s="201"/>
      <c r="FWZ140" s="202"/>
      <c r="FXA140" s="202"/>
      <c r="FXB140" s="202"/>
      <c r="FXC140" s="202"/>
      <c r="FXD140" s="203"/>
      <c r="FXE140" s="204"/>
      <c r="FXF140" s="204"/>
      <c r="FXG140" s="204"/>
      <c r="FXH140" s="205"/>
      <c r="FXI140" s="206"/>
      <c r="FXJ140" s="207"/>
      <c r="FXK140" s="207"/>
      <c r="FXL140" s="208"/>
      <c r="FXM140" s="209"/>
      <c r="FXN140" s="207"/>
      <c r="FXO140" s="210"/>
      <c r="FXP140" s="209"/>
      <c r="FXQ140" s="204"/>
      <c r="FXR140" s="204"/>
      <c r="FXS140" s="204"/>
      <c r="FXT140" s="199"/>
      <c r="FXU140" s="167"/>
      <c r="FXV140" s="199"/>
      <c r="FXW140" s="200"/>
      <c r="FXX140" s="201"/>
      <c r="FXY140" s="202"/>
      <c r="FXZ140" s="202"/>
      <c r="FYA140" s="202"/>
      <c r="FYB140" s="202"/>
      <c r="FYC140" s="203"/>
      <c r="FYD140" s="204"/>
      <c r="FYE140" s="204"/>
      <c r="FYF140" s="204"/>
      <c r="FYG140" s="205"/>
      <c r="FYH140" s="206"/>
      <c r="FYI140" s="207"/>
      <c r="FYJ140" s="207"/>
      <c r="FYK140" s="208"/>
      <c r="FYL140" s="209"/>
      <c r="FYM140" s="207"/>
      <c r="FYN140" s="210"/>
      <c r="FYO140" s="209"/>
      <c r="FYP140" s="204"/>
      <c r="FYQ140" s="204"/>
      <c r="FYR140" s="204"/>
      <c r="FYS140" s="199"/>
      <c r="FYT140" s="167"/>
      <c r="FYU140" s="199"/>
      <c r="FYV140" s="200"/>
      <c r="FYW140" s="201"/>
      <c r="FYX140" s="202"/>
      <c r="FYY140" s="202"/>
      <c r="FYZ140" s="202"/>
      <c r="FZA140" s="202"/>
      <c r="FZB140" s="203"/>
      <c r="FZC140" s="204"/>
      <c r="FZD140" s="204"/>
      <c r="FZE140" s="204"/>
      <c r="FZF140" s="205"/>
      <c r="FZG140" s="206"/>
      <c r="FZH140" s="207"/>
      <c r="FZI140" s="207"/>
      <c r="FZJ140" s="208"/>
      <c r="FZK140" s="209"/>
      <c r="FZL140" s="207"/>
      <c r="FZM140" s="210"/>
      <c r="FZN140" s="209"/>
      <c r="FZO140" s="204"/>
      <c r="FZP140" s="204"/>
      <c r="FZQ140" s="204"/>
      <c r="FZR140" s="199"/>
      <c r="FZS140" s="167"/>
      <c r="FZT140" s="199"/>
      <c r="FZU140" s="200"/>
      <c r="FZV140" s="201"/>
      <c r="FZW140" s="202"/>
      <c r="FZX140" s="202"/>
      <c r="FZY140" s="202"/>
      <c r="FZZ140" s="202"/>
      <c r="GAA140" s="203"/>
      <c r="GAB140" s="204"/>
      <c r="GAC140" s="204"/>
      <c r="GAD140" s="204"/>
      <c r="GAE140" s="205"/>
      <c r="GAF140" s="206"/>
      <c r="GAG140" s="207"/>
      <c r="GAH140" s="207"/>
      <c r="GAI140" s="208"/>
      <c r="GAJ140" s="209"/>
      <c r="GAK140" s="207"/>
      <c r="GAL140" s="210"/>
      <c r="GAM140" s="209"/>
      <c r="GAN140" s="204"/>
      <c r="GAO140" s="204"/>
      <c r="GAP140" s="204"/>
      <c r="GAQ140" s="199"/>
      <c r="GAR140" s="167"/>
      <c r="GAS140" s="199"/>
      <c r="GAT140" s="200"/>
      <c r="GAU140" s="201"/>
      <c r="GAV140" s="202"/>
      <c r="GAW140" s="202"/>
      <c r="GAX140" s="202"/>
      <c r="GAY140" s="202"/>
      <c r="GAZ140" s="203"/>
      <c r="GBA140" s="204"/>
      <c r="GBB140" s="204"/>
      <c r="GBC140" s="204"/>
      <c r="GBD140" s="205"/>
      <c r="GBE140" s="206"/>
      <c r="GBF140" s="207"/>
      <c r="GBG140" s="207"/>
      <c r="GBH140" s="208"/>
      <c r="GBI140" s="209"/>
      <c r="GBJ140" s="207"/>
      <c r="GBK140" s="210"/>
      <c r="GBL140" s="209"/>
      <c r="GBM140" s="204"/>
      <c r="GBN140" s="204"/>
      <c r="GBO140" s="204"/>
      <c r="GBP140" s="199"/>
      <c r="GBQ140" s="167"/>
      <c r="GBR140" s="199"/>
      <c r="GBS140" s="200"/>
      <c r="GBT140" s="201"/>
      <c r="GBU140" s="202"/>
      <c r="GBV140" s="202"/>
      <c r="GBW140" s="202"/>
      <c r="GBX140" s="202"/>
      <c r="GBY140" s="203"/>
      <c r="GBZ140" s="204"/>
      <c r="GCA140" s="204"/>
      <c r="GCB140" s="204"/>
      <c r="GCC140" s="205"/>
      <c r="GCD140" s="206"/>
      <c r="GCE140" s="207"/>
      <c r="GCF140" s="207"/>
      <c r="GCG140" s="208"/>
      <c r="GCH140" s="209"/>
      <c r="GCI140" s="207"/>
      <c r="GCJ140" s="210"/>
      <c r="GCK140" s="209"/>
      <c r="GCL140" s="204"/>
      <c r="GCM140" s="204"/>
      <c r="GCN140" s="204"/>
      <c r="GCO140" s="199"/>
      <c r="GCP140" s="167"/>
      <c r="GCQ140" s="199"/>
      <c r="GCR140" s="200"/>
      <c r="GCS140" s="201"/>
      <c r="GCT140" s="202"/>
      <c r="GCU140" s="202"/>
      <c r="GCV140" s="202"/>
      <c r="GCW140" s="202"/>
      <c r="GCX140" s="203"/>
      <c r="GCY140" s="204"/>
      <c r="GCZ140" s="204"/>
      <c r="GDA140" s="204"/>
      <c r="GDB140" s="205"/>
      <c r="GDC140" s="206"/>
      <c r="GDD140" s="207"/>
      <c r="GDE140" s="207"/>
      <c r="GDF140" s="208"/>
      <c r="GDG140" s="209"/>
      <c r="GDH140" s="207"/>
      <c r="GDI140" s="210"/>
      <c r="GDJ140" s="209"/>
      <c r="GDK140" s="204"/>
      <c r="GDL140" s="204"/>
      <c r="GDM140" s="204"/>
      <c r="GDN140" s="199"/>
      <c r="GDO140" s="167"/>
      <c r="GDP140" s="199"/>
      <c r="GDQ140" s="200"/>
      <c r="GDR140" s="201"/>
      <c r="GDS140" s="202"/>
      <c r="GDT140" s="202"/>
      <c r="GDU140" s="202"/>
      <c r="GDV140" s="202"/>
      <c r="GDW140" s="203"/>
      <c r="GDX140" s="204"/>
      <c r="GDY140" s="204"/>
      <c r="GDZ140" s="204"/>
      <c r="GEA140" s="205"/>
      <c r="GEB140" s="206"/>
      <c r="GEC140" s="207"/>
      <c r="GED140" s="207"/>
      <c r="GEE140" s="208"/>
      <c r="GEF140" s="209"/>
      <c r="GEG140" s="207"/>
      <c r="GEH140" s="210"/>
      <c r="GEI140" s="209"/>
      <c r="GEJ140" s="204"/>
      <c r="GEK140" s="204"/>
      <c r="GEL140" s="204"/>
      <c r="GEM140" s="199"/>
      <c r="GEN140" s="167"/>
      <c r="GEO140" s="199"/>
      <c r="GEP140" s="200"/>
      <c r="GEQ140" s="201"/>
      <c r="GER140" s="202"/>
      <c r="GES140" s="202"/>
      <c r="GET140" s="202"/>
      <c r="GEU140" s="202"/>
      <c r="GEV140" s="203"/>
      <c r="GEW140" s="204"/>
      <c r="GEX140" s="204"/>
      <c r="GEY140" s="204"/>
      <c r="GEZ140" s="205"/>
      <c r="GFA140" s="206"/>
      <c r="GFB140" s="207"/>
      <c r="GFC140" s="207"/>
      <c r="GFD140" s="208"/>
      <c r="GFE140" s="209"/>
      <c r="GFF140" s="207"/>
      <c r="GFG140" s="210"/>
      <c r="GFH140" s="209"/>
      <c r="GFI140" s="204"/>
      <c r="GFJ140" s="204"/>
      <c r="GFK140" s="204"/>
      <c r="GFL140" s="199"/>
      <c r="GFM140" s="167"/>
      <c r="GFN140" s="199"/>
      <c r="GFO140" s="200"/>
      <c r="GFP140" s="201"/>
      <c r="GFQ140" s="202"/>
      <c r="GFR140" s="202"/>
      <c r="GFS140" s="202"/>
      <c r="GFT140" s="202"/>
      <c r="GFU140" s="203"/>
      <c r="GFV140" s="204"/>
      <c r="GFW140" s="204"/>
      <c r="GFX140" s="204"/>
      <c r="GFY140" s="205"/>
      <c r="GFZ140" s="206"/>
      <c r="GGA140" s="207"/>
      <c r="GGB140" s="207"/>
      <c r="GGC140" s="208"/>
      <c r="GGD140" s="209"/>
      <c r="GGE140" s="207"/>
      <c r="GGF140" s="210"/>
      <c r="GGG140" s="209"/>
      <c r="GGH140" s="204"/>
      <c r="GGI140" s="204"/>
      <c r="GGJ140" s="204"/>
      <c r="GGK140" s="199"/>
      <c r="GGL140" s="167"/>
      <c r="GGM140" s="199"/>
      <c r="GGN140" s="200"/>
      <c r="GGO140" s="201"/>
      <c r="GGP140" s="202"/>
      <c r="GGQ140" s="202"/>
      <c r="GGR140" s="202"/>
      <c r="GGS140" s="202"/>
      <c r="GGT140" s="203"/>
      <c r="GGU140" s="204"/>
      <c r="GGV140" s="204"/>
      <c r="GGW140" s="204"/>
      <c r="GGX140" s="205"/>
      <c r="GGY140" s="206"/>
      <c r="GGZ140" s="207"/>
      <c r="GHA140" s="207"/>
      <c r="GHB140" s="208"/>
      <c r="GHC140" s="209"/>
      <c r="GHD140" s="207"/>
      <c r="GHE140" s="210"/>
      <c r="GHF140" s="209"/>
      <c r="GHG140" s="204"/>
      <c r="GHH140" s="204"/>
      <c r="GHI140" s="204"/>
      <c r="GHJ140" s="199"/>
      <c r="GHK140" s="167"/>
      <c r="GHL140" s="199"/>
      <c r="GHM140" s="200"/>
      <c r="GHN140" s="201"/>
      <c r="GHO140" s="202"/>
      <c r="GHP140" s="202"/>
      <c r="GHQ140" s="202"/>
      <c r="GHR140" s="202"/>
      <c r="GHS140" s="203"/>
      <c r="GHT140" s="204"/>
      <c r="GHU140" s="204"/>
      <c r="GHV140" s="204"/>
      <c r="GHW140" s="205"/>
      <c r="GHX140" s="206"/>
      <c r="GHY140" s="207"/>
      <c r="GHZ140" s="207"/>
      <c r="GIA140" s="208"/>
      <c r="GIB140" s="209"/>
      <c r="GIC140" s="207"/>
      <c r="GID140" s="210"/>
      <c r="GIE140" s="209"/>
      <c r="GIF140" s="204"/>
      <c r="GIG140" s="204"/>
      <c r="GIH140" s="204"/>
      <c r="GII140" s="199"/>
      <c r="GIJ140" s="167"/>
      <c r="GIK140" s="199"/>
      <c r="GIL140" s="200"/>
      <c r="GIM140" s="201"/>
      <c r="GIN140" s="202"/>
      <c r="GIO140" s="202"/>
      <c r="GIP140" s="202"/>
      <c r="GIQ140" s="202"/>
      <c r="GIR140" s="203"/>
      <c r="GIS140" s="204"/>
      <c r="GIT140" s="204"/>
      <c r="GIU140" s="204"/>
      <c r="GIV140" s="205"/>
      <c r="GIW140" s="206"/>
      <c r="GIX140" s="207"/>
      <c r="GIY140" s="207"/>
      <c r="GIZ140" s="208"/>
      <c r="GJA140" s="209"/>
      <c r="GJB140" s="207"/>
      <c r="GJC140" s="210"/>
      <c r="GJD140" s="209"/>
      <c r="GJE140" s="204"/>
      <c r="GJF140" s="204"/>
      <c r="GJG140" s="204"/>
      <c r="GJH140" s="199"/>
      <c r="GJI140" s="167"/>
      <c r="GJJ140" s="199"/>
      <c r="GJK140" s="200"/>
      <c r="GJL140" s="201"/>
      <c r="GJM140" s="202"/>
      <c r="GJN140" s="202"/>
      <c r="GJO140" s="202"/>
      <c r="GJP140" s="202"/>
      <c r="GJQ140" s="203"/>
      <c r="GJR140" s="204"/>
      <c r="GJS140" s="204"/>
      <c r="GJT140" s="204"/>
      <c r="GJU140" s="205"/>
      <c r="GJV140" s="206"/>
      <c r="GJW140" s="207"/>
      <c r="GJX140" s="207"/>
      <c r="GJY140" s="208"/>
      <c r="GJZ140" s="209"/>
      <c r="GKA140" s="207"/>
      <c r="GKB140" s="210"/>
      <c r="GKC140" s="209"/>
      <c r="GKD140" s="204"/>
      <c r="GKE140" s="204"/>
      <c r="GKF140" s="204"/>
      <c r="GKG140" s="199"/>
      <c r="GKH140" s="167"/>
      <c r="GKI140" s="199"/>
      <c r="GKJ140" s="200"/>
      <c r="GKK140" s="201"/>
      <c r="GKL140" s="202"/>
      <c r="GKM140" s="202"/>
      <c r="GKN140" s="202"/>
      <c r="GKO140" s="202"/>
      <c r="GKP140" s="203"/>
      <c r="GKQ140" s="204"/>
      <c r="GKR140" s="204"/>
      <c r="GKS140" s="204"/>
      <c r="GKT140" s="205"/>
      <c r="GKU140" s="206"/>
      <c r="GKV140" s="207"/>
      <c r="GKW140" s="207"/>
      <c r="GKX140" s="208"/>
      <c r="GKY140" s="209"/>
      <c r="GKZ140" s="207"/>
      <c r="GLA140" s="210"/>
      <c r="GLB140" s="209"/>
      <c r="GLC140" s="204"/>
      <c r="GLD140" s="204"/>
      <c r="GLE140" s="204"/>
      <c r="GLF140" s="199"/>
      <c r="GLG140" s="167"/>
      <c r="GLH140" s="199"/>
      <c r="GLI140" s="200"/>
      <c r="GLJ140" s="201"/>
      <c r="GLK140" s="202"/>
      <c r="GLL140" s="202"/>
      <c r="GLM140" s="202"/>
      <c r="GLN140" s="202"/>
      <c r="GLO140" s="203"/>
      <c r="GLP140" s="204"/>
      <c r="GLQ140" s="204"/>
      <c r="GLR140" s="204"/>
      <c r="GLS140" s="205"/>
      <c r="GLT140" s="206"/>
      <c r="GLU140" s="207"/>
      <c r="GLV140" s="207"/>
      <c r="GLW140" s="208"/>
      <c r="GLX140" s="209"/>
      <c r="GLY140" s="207"/>
      <c r="GLZ140" s="210"/>
      <c r="GMA140" s="209"/>
      <c r="GMB140" s="204"/>
      <c r="GMC140" s="204"/>
      <c r="GMD140" s="204"/>
      <c r="GME140" s="199"/>
      <c r="GMF140" s="167"/>
      <c r="GMG140" s="199"/>
      <c r="GMH140" s="200"/>
      <c r="GMI140" s="201"/>
      <c r="GMJ140" s="202"/>
      <c r="GMK140" s="202"/>
      <c r="GML140" s="202"/>
      <c r="GMM140" s="202"/>
      <c r="GMN140" s="203"/>
      <c r="GMO140" s="204"/>
      <c r="GMP140" s="204"/>
      <c r="GMQ140" s="204"/>
      <c r="GMR140" s="205"/>
      <c r="GMS140" s="206"/>
      <c r="GMT140" s="207"/>
      <c r="GMU140" s="207"/>
      <c r="GMV140" s="208"/>
      <c r="GMW140" s="209"/>
      <c r="GMX140" s="207"/>
      <c r="GMY140" s="210"/>
      <c r="GMZ140" s="209"/>
      <c r="GNA140" s="204"/>
      <c r="GNB140" s="204"/>
      <c r="GNC140" s="204"/>
      <c r="GND140" s="199"/>
      <c r="GNE140" s="167"/>
      <c r="GNF140" s="199"/>
      <c r="GNG140" s="200"/>
      <c r="GNH140" s="201"/>
      <c r="GNI140" s="202"/>
      <c r="GNJ140" s="202"/>
      <c r="GNK140" s="202"/>
      <c r="GNL140" s="202"/>
      <c r="GNM140" s="203"/>
      <c r="GNN140" s="204"/>
      <c r="GNO140" s="204"/>
      <c r="GNP140" s="204"/>
      <c r="GNQ140" s="205"/>
      <c r="GNR140" s="206"/>
      <c r="GNS140" s="207"/>
      <c r="GNT140" s="207"/>
      <c r="GNU140" s="208"/>
      <c r="GNV140" s="209"/>
      <c r="GNW140" s="207"/>
      <c r="GNX140" s="210"/>
      <c r="GNY140" s="209"/>
      <c r="GNZ140" s="204"/>
      <c r="GOA140" s="204"/>
      <c r="GOB140" s="204"/>
      <c r="GOC140" s="199"/>
      <c r="GOD140" s="167"/>
      <c r="GOE140" s="199"/>
      <c r="GOF140" s="200"/>
      <c r="GOG140" s="201"/>
      <c r="GOH140" s="202"/>
      <c r="GOI140" s="202"/>
      <c r="GOJ140" s="202"/>
      <c r="GOK140" s="202"/>
      <c r="GOL140" s="203"/>
      <c r="GOM140" s="204"/>
      <c r="GON140" s="204"/>
      <c r="GOO140" s="204"/>
      <c r="GOP140" s="205"/>
      <c r="GOQ140" s="206"/>
      <c r="GOR140" s="207"/>
      <c r="GOS140" s="207"/>
      <c r="GOT140" s="208"/>
      <c r="GOU140" s="209"/>
      <c r="GOV140" s="207"/>
      <c r="GOW140" s="210"/>
      <c r="GOX140" s="209"/>
      <c r="GOY140" s="204"/>
      <c r="GOZ140" s="204"/>
      <c r="GPA140" s="204"/>
      <c r="GPB140" s="199"/>
      <c r="GPC140" s="167"/>
      <c r="GPD140" s="199"/>
      <c r="GPE140" s="200"/>
      <c r="GPF140" s="201"/>
      <c r="GPG140" s="202"/>
      <c r="GPH140" s="202"/>
      <c r="GPI140" s="202"/>
      <c r="GPJ140" s="202"/>
      <c r="GPK140" s="203"/>
      <c r="GPL140" s="204"/>
      <c r="GPM140" s="204"/>
      <c r="GPN140" s="204"/>
      <c r="GPO140" s="205"/>
      <c r="GPP140" s="206"/>
      <c r="GPQ140" s="207"/>
      <c r="GPR140" s="207"/>
      <c r="GPS140" s="208"/>
      <c r="GPT140" s="209"/>
      <c r="GPU140" s="207"/>
      <c r="GPV140" s="210"/>
      <c r="GPW140" s="209"/>
      <c r="GPX140" s="204"/>
      <c r="GPY140" s="204"/>
      <c r="GPZ140" s="204"/>
      <c r="GQA140" s="199"/>
      <c r="GQB140" s="167"/>
      <c r="GQC140" s="199"/>
      <c r="GQD140" s="200"/>
      <c r="GQE140" s="201"/>
      <c r="GQF140" s="202"/>
      <c r="GQG140" s="202"/>
      <c r="GQH140" s="202"/>
      <c r="GQI140" s="202"/>
      <c r="GQJ140" s="203"/>
      <c r="GQK140" s="204"/>
      <c r="GQL140" s="204"/>
      <c r="GQM140" s="204"/>
      <c r="GQN140" s="205"/>
      <c r="GQO140" s="206"/>
      <c r="GQP140" s="207"/>
      <c r="GQQ140" s="207"/>
      <c r="GQR140" s="208"/>
      <c r="GQS140" s="209"/>
      <c r="GQT140" s="207"/>
      <c r="GQU140" s="210"/>
      <c r="GQV140" s="209"/>
      <c r="GQW140" s="204"/>
      <c r="GQX140" s="204"/>
      <c r="GQY140" s="204"/>
      <c r="GQZ140" s="199"/>
      <c r="GRA140" s="167"/>
      <c r="GRB140" s="199"/>
      <c r="GRC140" s="200"/>
      <c r="GRD140" s="201"/>
      <c r="GRE140" s="202"/>
      <c r="GRF140" s="202"/>
      <c r="GRG140" s="202"/>
      <c r="GRH140" s="202"/>
      <c r="GRI140" s="203"/>
      <c r="GRJ140" s="204"/>
      <c r="GRK140" s="204"/>
      <c r="GRL140" s="204"/>
      <c r="GRM140" s="205"/>
      <c r="GRN140" s="206"/>
      <c r="GRO140" s="207"/>
      <c r="GRP140" s="207"/>
      <c r="GRQ140" s="208"/>
      <c r="GRR140" s="209"/>
      <c r="GRS140" s="207"/>
      <c r="GRT140" s="210"/>
      <c r="GRU140" s="209"/>
      <c r="GRV140" s="204"/>
      <c r="GRW140" s="204"/>
      <c r="GRX140" s="204"/>
      <c r="GRY140" s="199"/>
      <c r="GRZ140" s="167"/>
      <c r="GSA140" s="199"/>
      <c r="GSB140" s="200"/>
      <c r="GSC140" s="201"/>
      <c r="GSD140" s="202"/>
      <c r="GSE140" s="202"/>
      <c r="GSF140" s="202"/>
      <c r="GSG140" s="202"/>
      <c r="GSH140" s="203"/>
      <c r="GSI140" s="204"/>
      <c r="GSJ140" s="204"/>
      <c r="GSK140" s="204"/>
      <c r="GSL140" s="205"/>
      <c r="GSM140" s="206"/>
      <c r="GSN140" s="207"/>
      <c r="GSO140" s="207"/>
      <c r="GSP140" s="208"/>
      <c r="GSQ140" s="209"/>
      <c r="GSR140" s="207"/>
      <c r="GSS140" s="210"/>
      <c r="GST140" s="209"/>
      <c r="GSU140" s="204"/>
      <c r="GSV140" s="204"/>
      <c r="GSW140" s="204"/>
      <c r="GSX140" s="199"/>
      <c r="GSY140" s="167"/>
      <c r="GSZ140" s="199"/>
      <c r="GTA140" s="200"/>
      <c r="GTB140" s="201"/>
      <c r="GTC140" s="202"/>
      <c r="GTD140" s="202"/>
      <c r="GTE140" s="202"/>
      <c r="GTF140" s="202"/>
      <c r="GTG140" s="203"/>
      <c r="GTH140" s="204"/>
      <c r="GTI140" s="204"/>
      <c r="GTJ140" s="204"/>
      <c r="GTK140" s="205"/>
      <c r="GTL140" s="206"/>
      <c r="GTM140" s="207"/>
      <c r="GTN140" s="207"/>
      <c r="GTO140" s="208"/>
      <c r="GTP140" s="209"/>
      <c r="GTQ140" s="207"/>
      <c r="GTR140" s="210"/>
      <c r="GTS140" s="209"/>
      <c r="GTT140" s="204"/>
      <c r="GTU140" s="204"/>
      <c r="GTV140" s="204"/>
      <c r="GTW140" s="199"/>
      <c r="GTX140" s="167"/>
      <c r="GTY140" s="199"/>
      <c r="GTZ140" s="200"/>
      <c r="GUA140" s="201"/>
      <c r="GUB140" s="202"/>
      <c r="GUC140" s="202"/>
      <c r="GUD140" s="202"/>
      <c r="GUE140" s="202"/>
      <c r="GUF140" s="203"/>
      <c r="GUG140" s="204"/>
      <c r="GUH140" s="204"/>
      <c r="GUI140" s="204"/>
      <c r="GUJ140" s="205"/>
      <c r="GUK140" s="206"/>
      <c r="GUL140" s="207"/>
      <c r="GUM140" s="207"/>
      <c r="GUN140" s="208"/>
      <c r="GUO140" s="209"/>
      <c r="GUP140" s="207"/>
      <c r="GUQ140" s="210"/>
      <c r="GUR140" s="209"/>
      <c r="GUS140" s="204"/>
      <c r="GUT140" s="204"/>
      <c r="GUU140" s="204"/>
      <c r="GUV140" s="199"/>
      <c r="GUW140" s="167"/>
      <c r="GUX140" s="199"/>
      <c r="GUY140" s="200"/>
      <c r="GUZ140" s="201"/>
      <c r="GVA140" s="202"/>
      <c r="GVB140" s="202"/>
      <c r="GVC140" s="202"/>
      <c r="GVD140" s="202"/>
      <c r="GVE140" s="203"/>
      <c r="GVF140" s="204"/>
      <c r="GVG140" s="204"/>
      <c r="GVH140" s="204"/>
      <c r="GVI140" s="205"/>
      <c r="GVJ140" s="206"/>
      <c r="GVK140" s="207"/>
      <c r="GVL140" s="207"/>
      <c r="GVM140" s="208"/>
      <c r="GVN140" s="209"/>
      <c r="GVO140" s="207"/>
      <c r="GVP140" s="210"/>
      <c r="GVQ140" s="209"/>
      <c r="GVR140" s="204"/>
      <c r="GVS140" s="204"/>
      <c r="GVT140" s="204"/>
      <c r="GVU140" s="199"/>
      <c r="GVV140" s="167"/>
      <c r="GVW140" s="199"/>
      <c r="GVX140" s="200"/>
      <c r="GVY140" s="201"/>
      <c r="GVZ140" s="202"/>
      <c r="GWA140" s="202"/>
      <c r="GWB140" s="202"/>
      <c r="GWC140" s="202"/>
      <c r="GWD140" s="203"/>
      <c r="GWE140" s="204"/>
      <c r="GWF140" s="204"/>
      <c r="GWG140" s="204"/>
      <c r="GWH140" s="205"/>
      <c r="GWI140" s="206"/>
      <c r="GWJ140" s="207"/>
      <c r="GWK140" s="207"/>
      <c r="GWL140" s="208"/>
      <c r="GWM140" s="209"/>
      <c r="GWN140" s="207"/>
      <c r="GWO140" s="210"/>
      <c r="GWP140" s="209"/>
      <c r="GWQ140" s="204"/>
      <c r="GWR140" s="204"/>
      <c r="GWS140" s="204"/>
      <c r="GWT140" s="199"/>
      <c r="GWU140" s="167"/>
      <c r="GWV140" s="199"/>
      <c r="GWW140" s="200"/>
      <c r="GWX140" s="201"/>
      <c r="GWY140" s="202"/>
      <c r="GWZ140" s="202"/>
      <c r="GXA140" s="202"/>
      <c r="GXB140" s="202"/>
      <c r="GXC140" s="203"/>
      <c r="GXD140" s="204"/>
      <c r="GXE140" s="204"/>
      <c r="GXF140" s="204"/>
      <c r="GXG140" s="205"/>
      <c r="GXH140" s="206"/>
      <c r="GXI140" s="207"/>
      <c r="GXJ140" s="207"/>
      <c r="GXK140" s="208"/>
      <c r="GXL140" s="209"/>
      <c r="GXM140" s="207"/>
      <c r="GXN140" s="210"/>
      <c r="GXO140" s="209"/>
      <c r="GXP140" s="204"/>
      <c r="GXQ140" s="204"/>
      <c r="GXR140" s="204"/>
      <c r="GXS140" s="199"/>
      <c r="GXT140" s="167"/>
      <c r="GXU140" s="199"/>
      <c r="GXV140" s="200"/>
      <c r="GXW140" s="201"/>
      <c r="GXX140" s="202"/>
      <c r="GXY140" s="202"/>
      <c r="GXZ140" s="202"/>
      <c r="GYA140" s="202"/>
      <c r="GYB140" s="203"/>
      <c r="GYC140" s="204"/>
      <c r="GYD140" s="204"/>
      <c r="GYE140" s="204"/>
      <c r="GYF140" s="205"/>
      <c r="GYG140" s="206"/>
      <c r="GYH140" s="207"/>
      <c r="GYI140" s="207"/>
      <c r="GYJ140" s="208"/>
      <c r="GYK140" s="209"/>
      <c r="GYL140" s="207"/>
      <c r="GYM140" s="210"/>
      <c r="GYN140" s="209"/>
      <c r="GYO140" s="204"/>
      <c r="GYP140" s="204"/>
      <c r="GYQ140" s="204"/>
      <c r="GYR140" s="199"/>
      <c r="GYS140" s="167"/>
      <c r="GYT140" s="199"/>
      <c r="GYU140" s="200"/>
      <c r="GYV140" s="201"/>
      <c r="GYW140" s="202"/>
      <c r="GYX140" s="202"/>
      <c r="GYY140" s="202"/>
      <c r="GYZ140" s="202"/>
      <c r="GZA140" s="203"/>
      <c r="GZB140" s="204"/>
      <c r="GZC140" s="204"/>
      <c r="GZD140" s="204"/>
      <c r="GZE140" s="205"/>
      <c r="GZF140" s="206"/>
      <c r="GZG140" s="207"/>
      <c r="GZH140" s="207"/>
      <c r="GZI140" s="208"/>
      <c r="GZJ140" s="209"/>
      <c r="GZK140" s="207"/>
      <c r="GZL140" s="210"/>
      <c r="GZM140" s="209"/>
      <c r="GZN140" s="204"/>
      <c r="GZO140" s="204"/>
      <c r="GZP140" s="204"/>
      <c r="GZQ140" s="199"/>
      <c r="GZR140" s="167"/>
      <c r="GZS140" s="199"/>
      <c r="GZT140" s="200"/>
      <c r="GZU140" s="201"/>
      <c r="GZV140" s="202"/>
      <c r="GZW140" s="202"/>
      <c r="GZX140" s="202"/>
      <c r="GZY140" s="202"/>
      <c r="GZZ140" s="203"/>
      <c r="HAA140" s="204"/>
      <c r="HAB140" s="204"/>
      <c r="HAC140" s="204"/>
      <c r="HAD140" s="205"/>
      <c r="HAE140" s="206"/>
      <c r="HAF140" s="207"/>
      <c r="HAG140" s="207"/>
      <c r="HAH140" s="208"/>
      <c r="HAI140" s="209"/>
      <c r="HAJ140" s="207"/>
      <c r="HAK140" s="210"/>
      <c r="HAL140" s="209"/>
      <c r="HAM140" s="204"/>
      <c r="HAN140" s="204"/>
      <c r="HAO140" s="204"/>
      <c r="HAP140" s="199"/>
      <c r="HAQ140" s="167"/>
      <c r="HAR140" s="199"/>
      <c r="HAS140" s="200"/>
      <c r="HAT140" s="201"/>
      <c r="HAU140" s="202"/>
      <c r="HAV140" s="202"/>
      <c r="HAW140" s="202"/>
      <c r="HAX140" s="202"/>
      <c r="HAY140" s="203"/>
      <c r="HAZ140" s="204"/>
      <c r="HBA140" s="204"/>
      <c r="HBB140" s="204"/>
      <c r="HBC140" s="205"/>
      <c r="HBD140" s="206"/>
      <c r="HBE140" s="207"/>
      <c r="HBF140" s="207"/>
      <c r="HBG140" s="208"/>
      <c r="HBH140" s="209"/>
      <c r="HBI140" s="207"/>
      <c r="HBJ140" s="210"/>
      <c r="HBK140" s="209"/>
      <c r="HBL140" s="204"/>
      <c r="HBM140" s="204"/>
      <c r="HBN140" s="204"/>
      <c r="HBO140" s="199"/>
      <c r="HBP140" s="167"/>
      <c r="HBQ140" s="199"/>
      <c r="HBR140" s="200"/>
      <c r="HBS140" s="201"/>
      <c r="HBT140" s="202"/>
      <c r="HBU140" s="202"/>
      <c r="HBV140" s="202"/>
      <c r="HBW140" s="202"/>
      <c r="HBX140" s="203"/>
      <c r="HBY140" s="204"/>
      <c r="HBZ140" s="204"/>
      <c r="HCA140" s="204"/>
      <c r="HCB140" s="205"/>
      <c r="HCC140" s="206"/>
      <c r="HCD140" s="207"/>
      <c r="HCE140" s="207"/>
      <c r="HCF140" s="208"/>
      <c r="HCG140" s="209"/>
      <c r="HCH140" s="207"/>
      <c r="HCI140" s="210"/>
      <c r="HCJ140" s="209"/>
      <c r="HCK140" s="204"/>
      <c r="HCL140" s="204"/>
      <c r="HCM140" s="204"/>
      <c r="HCN140" s="199"/>
      <c r="HCO140" s="167"/>
      <c r="HCP140" s="199"/>
      <c r="HCQ140" s="200"/>
      <c r="HCR140" s="201"/>
      <c r="HCS140" s="202"/>
      <c r="HCT140" s="202"/>
      <c r="HCU140" s="202"/>
      <c r="HCV140" s="202"/>
      <c r="HCW140" s="203"/>
      <c r="HCX140" s="204"/>
      <c r="HCY140" s="204"/>
      <c r="HCZ140" s="204"/>
      <c r="HDA140" s="205"/>
      <c r="HDB140" s="206"/>
      <c r="HDC140" s="207"/>
      <c r="HDD140" s="207"/>
      <c r="HDE140" s="208"/>
      <c r="HDF140" s="209"/>
      <c r="HDG140" s="207"/>
      <c r="HDH140" s="210"/>
      <c r="HDI140" s="209"/>
      <c r="HDJ140" s="204"/>
      <c r="HDK140" s="204"/>
      <c r="HDL140" s="204"/>
      <c r="HDM140" s="199"/>
      <c r="HDN140" s="167"/>
      <c r="HDO140" s="199"/>
      <c r="HDP140" s="200"/>
      <c r="HDQ140" s="201"/>
      <c r="HDR140" s="202"/>
      <c r="HDS140" s="202"/>
      <c r="HDT140" s="202"/>
      <c r="HDU140" s="202"/>
      <c r="HDV140" s="203"/>
      <c r="HDW140" s="204"/>
      <c r="HDX140" s="204"/>
      <c r="HDY140" s="204"/>
      <c r="HDZ140" s="205"/>
      <c r="HEA140" s="206"/>
      <c r="HEB140" s="207"/>
      <c r="HEC140" s="207"/>
      <c r="HED140" s="208"/>
      <c r="HEE140" s="209"/>
      <c r="HEF140" s="207"/>
      <c r="HEG140" s="210"/>
      <c r="HEH140" s="209"/>
      <c r="HEI140" s="204"/>
      <c r="HEJ140" s="204"/>
      <c r="HEK140" s="204"/>
      <c r="HEL140" s="199"/>
      <c r="HEM140" s="167"/>
      <c r="HEN140" s="199"/>
      <c r="HEO140" s="200"/>
      <c r="HEP140" s="201"/>
      <c r="HEQ140" s="202"/>
      <c r="HER140" s="202"/>
      <c r="HES140" s="202"/>
      <c r="HET140" s="202"/>
      <c r="HEU140" s="203"/>
      <c r="HEV140" s="204"/>
      <c r="HEW140" s="204"/>
      <c r="HEX140" s="204"/>
      <c r="HEY140" s="205"/>
      <c r="HEZ140" s="206"/>
      <c r="HFA140" s="207"/>
      <c r="HFB140" s="207"/>
      <c r="HFC140" s="208"/>
      <c r="HFD140" s="209"/>
      <c r="HFE140" s="207"/>
      <c r="HFF140" s="210"/>
      <c r="HFG140" s="209"/>
      <c r="HFH140" s="204"/>
      <c r="HFI140" s="204"/>
      <c r="HFJ140" s="204"/>
      <c r="HFK140" s="199"/>
      <c r="HFL140" s="167"/>
      <c r="HFM140" s="199"/>
      <c r="HFN140" s="200"/>
      <c r="HFO140" s="201"/>
      <c r="HFP140" s="202"/>
      <c r="HFQ140" s="202"/>
      <c r="HFR140" s="202"/>
      <c r="HFS140" s="202"/>
      <c r="HFT140" s="203"/>
      <c r="HFU140" s="204"/>
      <c r="HFV140" s="204"/>
      <c r="HFW140" s="204"/>
      <c r="HFX140" s="205"/>
      <c r="HFY140" s="206"/>
      <c r="HFZ140" s="207"/>
      <c r="HGA140" s="207"/>
      <c r="HGB140" s="208"/>
      <c r="HGC140" s="209"/>
      <c r="HGD140" s="207"/>
      <c r="HGE140" s="210"/>
      <c r="HGF140" s="209"/>
      <c r="HGG140" s="204"/>
      <c r="HGH140" s="204"/>
      <c r="HGI140" s="204"/>
      <c r="HGJ140" s="199"/>
      <c r="HGK140" s="167"/>
      <c r="HGL140" s="199"/>
      <c r="HGM140" s="200"/>
      <c r="HGN140" s="201"/>
      <c r="HGO140" s="202"/>
      <c r="HGP140" s="202"/>
      <c r="HGQ140" s="202"/>
      <c r="HGR140" s="202"/>
      <c r="HGS140" s="203"/>
      <c r="HGT140" s="204"/>
      <c r="HGU140" s="204"/>
      <c r="HGV140" s="204"/>
      <c r="HGW140" s="205"/>
      <c r="HGX140" s="206"/>
      <c r="HGY140" s="207"/>
      <c r="HGZ140" s="207"/>
      <c r="HHA140" s="208"/>
      <c r="HHB140" s="209"/>
      <c r="HHC140" s="207"/>
      <c r="HHD140" s="210"/>
      <c r="HHE140" s="209"/>
      <c r="HHF140" s="204"/>
      <c r="HHG140" s="204"/>
      <c r="HHH140" s="204"/>
      <c r="HHI140" s="199"/>
      <c r="HHJ140" s="167"/>
      <c r="HHK140" s="199"/>
      <c r="HHL140" s="200"/>
      <c r="HHM140" s="201"/>
      <c r="HHN140" s="202"/>
      <c r="HHO140" s="202"/>
      <c r="HHP140" s="202"/>
      <c r="HHQ140" s="202"/>
      <c r="HHR140" s="203"/>
      <c r="HHS140" s="204"/>
      <c r="HHT140" s="204"/>
      <c r="HHU140" s="204"/>
      <c r="HHV140" s="205"/>
      <c r="HHW140" s="206"/>
      <c r="HHX140" s="207"/>
      <c r="HHY140" s="207"/>
      <c r="HHZ140" s="208"/>
      <c r="HIA140" s="209"/>
      <c r="HIB140" s="207"/>
      <c r="HIC140" s="210"/>
      <c r="HID140" s="209"/>
      <c r="HIE140" s="204"/>
      <c r="HIF140" s="204"/>
      <c r="HIG140" s="204"/>
      <c r="HIH140" s="199"/>
      <c r="HII140" s="167"/>
      <c r="HIJ140" s="199"/>
      <c r="HIK140" s="200"/>
      <c r="HIL140" s="201"/>
      <c r="HIM140" s="202"/>
      <c r="HIN140" s="202"/>
      <c r="HIO140" s="202"/>
      <c r="HIP140" s="202"/>
      <c r="HIQ140" s="203"/>
      <c r="HIR140" s="204"/>
      <c r="HIS140" s="204"/>
      <c r="HIT140" s="204"/>
      <c r="HIU140" s="205"/>
      <c r="HIV140" s="206"/>
      <c r="HIW140" s="207"/>
      <c r="HIX140" s="207"/>
      <c r="HIY140" s="208"/>
      <c r="HIZ140" s="209"/>
      <c r="HJA140" s="207"/>
      <c r="HJB140" s="210"/>
      <c r="HJC140" s="209"/>
      <c r="HJD140" s="204"/>
      <c r="HJE140" s="204"/>
      <c r="HJF140" s="204"/>
      <c r="HJG140" s="199"/>
      <c r="HJH140" s="167"/>
      <c r="HJI140" s="199"/>
      <c r="HJJ140" s="200"/>
      <c r="HJK140" s="201"/>
      <c r="HJL140" s="202"/>
      <c r="HJM140" s="202"/>
      <c r="HJN140" s="202"/>
      <c r="HJO140" s="202"/>
      <c r="HJP140" s="203"/>
      <c r="HJQ140" s="204"/>
      <c r="HJR140" s="204"/>
      <c r="HJS140" s="204"/>
      <c r="HJT140" s="205"/>
      <c r="HJU140" s="206"/>
      <c r="HJV140" s="207"/>
      <c r="HJW140" s="207"/>
      <c r="HJX140" s="208"/>
      <c r="HJY140" s="209"/>
      <c r="HJZ140" s="207"/>
      <c r="HKA140" s="210"/>
      <c r="HKB140" s="209"/>
      <c r="HKC140" s="204"/>
      <c r="HKD140" s="204"/>
      <c r="HKE140" s="204"/>
      <c r="HKF140" s="199"/>
      <c r="HKG140" s="167"/>
      <c r="HKH140" s="199"/>
      <c r="HKI140" s="200"/>
      <c r="HKJ140" s="201"/>
      <c r="HKK140" s="202"/>
      <c r="HKL140" s="202"/>
      <c r="HKM140" s="202"/>
      <c r="HKN140" s="202"/>
      <c r="HKO140" s="203"/>
      <c r="HKP140" s="204"/>
      <c r="HKQ140" s="204"/>
      <c r="HKR140" s="204"/>
      <c r="HKS140" s="205"/>
      <c r="HKT140" s="206"/>
      <c r="HKU140" s="207"/>
      <c r="HKV140" s="207"/>
      <c r="HKW140" s="208"/>
      <c r="HKX140" s="209"/>
      <c r="HKY140" s="207"/>
      <c r="HKZ140" s="210"/>
      <c r="HLA140" s="209"/>
      <c r="HLB140" s="204"/>
      <c r="HLC140" s="204"/>
      <c r="HLD140" s="204"/>
      <c r="HLE140" s="199"/>
      <c r="HLF140" s="167"/>
      <c r="HLG140" s="199"/>
      <c r="HLH140" s="200"/>
      <c r="HLI140" s="201"/>
      <c r="HLJ140" s="202"/>
      <c r="HLK140" s="202"/>
      <c r="HLL140" s="202"/>
      <c r="HLM140" s="202"/>
      <c r="HLN140" s="203"/>
      <c r="HLO140" s="204"/>
      <c r="HLP140" s="204"/>
      <c r="HLQ140" s="204"/>
      <c r="HLR140" s="205"/>
      <c r="HLS140" s="206"/>
      <c r="HLT140" s="207"/>
      <c r="HLU140" s="207"/>
      <c r="HLV140" s="208"/>
      <c r="HLW140" s="209"/>
      <c r="HLX140" s="207"/>
      <c r="HLY140" s="210"/>
      <c r="HLZ140" s="209"/>
      <c r="HMA140" s="204"/>
      <c r="HMB140" s="204"/>
      <c r="HMC140" s="204"/>
      <c r="HMD140" s="199"/>
      <c r="HME140" s="167"/>
      <c r="HMF140" s="199"/>
      <c r="HMG140" s="200"/>
      <c r="HMH140" s="201"/>
      <c r="HMI140" s="202"/>
      <c r="HMJ140" s="202"/>
      <c r="HMK140" s="202"/>
      <c r="HML140" s="202"/>
      <c r="HMM140" s="203"/>
      <c r="HMN140" s="204"/>
      <c r="HMO140" s="204"/>
      <c r="HMP140" s="204"/>
      <c r="HMQ140" s="205"/>
      <c r="HMR140" s="206"/>
      <c r="HMS140" s="207"/>
      <c r="HMT140" s="207"/>
      <c r="HMU140" s="208"/>
      <c r="HMV140" s="209"/>
      <c r="HMW140" s="207"/>
      <c r="HMX140" s="210"/>
      <c r="HMY140" s="209"/>
      <c r="HMZ140" s="204"/>
      <c r="HNA140" s="204"/>
      <c r="HNB140" s="204"/>
      <c r="HNC140" s="199"/>
      <c r="HND140" s="167"/>
      <c r="HNE140" s="199"/>
      <c r="HNF140" s="200"/>
      <c r="HNG140" s="201"/>
      <c r="HNH140" s="202"/>
      <c r="HNI140" s="202"/>
      <c r="HNJ140" s="202"/>
      <c r="HNK140" s="202"/>
      <c r="HNL140" s="203"/>
      <c r="HNM140" s="204"/>
      <c r="HNN140" s="204"/>
      <c r="HNO140" s="204"/>
      <c r="HNP140" s="205"/>
      <c r="HNQ140" s="206"/>
      <c r="HNR140" s="207"/>
      <c r="HNS140" s="207"/>
      <c r="HNT140" s="208"/>
      <c r="HNU140" s="209"/>
      <c r="HNV140" s="207"/>
      <c r="HNW140" s="210"/>
      <c r="HNX140" s="209"/>
      <c r="HNY140" s="204"/>
      <c r="HNZ140" s="204"/>
      <c r="HOA140" s="204"/>
      <c r="HOB140" s="199"/>
      <c r="HOC140" s="167"/>
      <c r="HOD140" s="199"/>
      <c r="HOE140" s="200"/>
      <c r="HOF140" s="201"/>
      <c r="HOG140" s="202"/>
      <c r="HOH140" s="202"/>
      <c r="HOI140" s="202"/>
      <c r="HOJ140" s="202"/>
      <c r="HOK140" s="203"/>
      <c r="HOL140" s="204"/>
      <c r="HOM140" s="204"/>
      <c r="HON140" s="204"/>
      <c r="HOO140" s="205"/>
      <c r="HOP140" s="206"/>
      <c r="HOQ140" s="207"/>
      <c r="HOR140" s="207"/>
      <c r="HOS140" s="208"/>
      <c r="HOT140" s="209"/>
      <c r="HOU140" s="207"/>
      <c r="HOV140" s="210"/>
      <c r="HOW140" s="209"/>
      <c r="HOX140" s="204"/>
      <c r="HOY140" s="204"/>
      <c r="HOZ140" s="204"/>
      <c r="HPA140" s="199"/>
      <c r="HPB140" s="167"/>
      <c r="HPC140" s="199"/>
      <c r="HPD140" s="200"/>
      <c r="HPE140" s="201"/>
      <c r="HPF140" s="202"/>
      <c r="HPG140" s="202"/>
      <c r="HPH140" s="202"/>
      <c r="HPI140" s="202"/>
      <c r="HPJ140" s="203"/>
      <c r="HPK140" s="204"/>
      <c r="HPL140" s="204"/>
      <c r="HPM140" s="204"/>
      <c r="HPN140" s="205"/>
      <c r="HPO140" s="206"/>
      <c r="HPP140" s="207"/>
      <c r="HPQ140" s="207"/>
      <c r="HPR140" s="208"/>
      <c r="HPS140" s="209"/>
      <c r="HPT140" s="207"/>
      <c r="HPU140" s="210"/>
      <c r="HPV140" s="209"/>
      <c r="HPW140" s="204"/>
      <c r="HPX140" s="204"/>
      <c r="HPY140" s="204"/>
      <c r="HPZ140" s="199"/>
      <c r="HQA140" s="167"/>
      <c r="HQB140" s="199"/>
      <c r="HQC140" s="200"/>
      <c r="HQD140" s="201"/>
      <c r="HQE140" s="202"/>
      <c r="HQF140" s="202"/>
      <c r="HQG140" s="202"/>
      <c r="HQH140" s="202"/>
      <c r="HQI140" s="203"/>
      <c r="HQJ140" s="204"/>
      <c r="HQK140" s="204"/>
      <c r="HQL140" s="204"/>
      <c r="HQM140" s="205"/>
      <c r="HQN140" s="206"/>
      <c r="HQO140" s="207"/>
      <c r="HQP140" s="207"/>
      <c r="HQQ140" s="208"/>
      <c r="HQR140" s="209"/>
      <c r="HQS140" s="207"/>
      <c r="HQT140" s="210"/>
      <c r="HQU140" s="209"/>
      <c r="HQV140" s="204"/>
      <c r="HQW140" s="204"/>
      <c r="HQX140" s="204"/>
      <c r="HQY140" s="199"/>
      <c r="HQZ140" s="167"/>
      <c r="HRA140" s="199"/>
      <c r="HRB140" s="200"/>
      <c r="HRC140" s="201"/>
      <c r="HRD140" s="202"/>
      <c r="HRE140" s="202"/>
      <c r="HRF140" s="202"/>
      <c r="HRG140" s="202"/>
      <c r="HRH140" s="203"/>
      <c r="HRI140" s="204"/>
      <c r="HRJ140" s="204"/>
      <c r="HRK140" s="204"/>
      <c r="HRL140" s="205"/>
      <c r="HRM140" s="206"/>
      <c r="HRN140" s="207"/>
      <c r="HRO140" s="207"/>
      <c r="HRP140" s="208"/>
      <c r="HRQ140" s="209"/>
      <c r="HRR140" s="207"/>
      <c r="HRS140" s="210"/>
      <c r="HRT140" s="209"/>
      <c r="HRU140" s="204"/>
      <c r="HRV140" s="204"/>
      <c r="HRW140" s="204"/>
      <c r="HRX140" s="199"/>
      <c r="HRY140" s="167"/>
      <c r="HRZ140" s="199"/>
      <c r="HSA140" s="200"/>
      <c r="HSB140" s="201"/>
      <c r="HSC140" s="202"/>
      <c r="HSD140" s="202"/>
      <c r="HSE140" s="202"/>
      <c r="HSF140" s="202"/>
      <c r="HSG140" s="203"/>
      <c r="HSH140" s="204"/>
      <c r="HSI140" s="204"/>
      <c r="HSJ140" s="204"/>
      <c r="HSK140" s="205"/>
      <c r="HSL140" s="206"/>
      <c r="HSM140" s="207"/>
      <c r="HSN140" s="207"/>
      <c r="HSO140" s="208"/>
      <c r="HSP140" s="209"/>
      <c r="HSQ140" s="207"/>
      <c r="HSR140" s="210"/>
      <c r="HSS140" s="209"/>
      <c r="HST140" s="204"/>
      <c r="HSU140" s="204"/>
      <c r="HSV140" s="204"/>
      <c r="HSW140" s="199"/>
      <c r="HSX140" s="167"/>
      <c r="HSY140" s="199"/>
      <c r="HSZ140" s="200"/>
      <c r="HTA140" s="201"/>
      <c r="HTB140" s="202"/>
      <c r="HTC140" s="202"/>
      <c r="HTD140" s="202"/>
      <c r="HTE140" s="202"/>
      <c r="HTF140" s="203"/>
      <c r="HTG140" s="204"/>
      <c r="HTH140" s="204"/>
      <c r="HTI140" s="204"/>
      <c r="HTJ140" s="205"/>
      <c r="HTK140" s="206"/>
      <c r="HTL140" s="207"/>
      <c r="HTM140" s="207"/>
      <c r="HTN140" s="208"/>
      <c r="HTO140" s="209"/>
      <c r="HTP140" s="207"/>
      <c r="HTQ140" s="210"/>
      <c r="HTR140" s="209"/>
      <c r="HTS140" s="204"/>
      <c r="HTT140" s="204"/>
      <c r="HTU140" s="204"/>
      <c r="HTV140" s="199"/>
      <c r="HTW140" s="167"/>
      <c r="HTX140" s="199"/>
      <c r="HTY140" s="200"/>
      <c r="HTZ140" s="201"/>
      <c r="HUA140" s="202"/>
      <c r="HUB140" s="202"/>
      <c r="HUC140" s="202"/>
      <c r="HUD140" s="202"/>
      <c r="HUE140" s="203"/>
      <c r="HUF140" s="204"/>
      <c r="HUG140" s="204"/>
      <c r="HUH140" s="204"/>
      <c r="HUI140" s="205"/>
      <c r="HUJ140" s="206"/>
      <c r="HUK140" s="207"/>
      <c r="HUL140" s="207"/>
      <c r="HUM140" s="208"/>
      <c r="HUN140" s="209"/>
      <c r="HUO140" s="207"/>
      <c r="HUP140" s="210"/>
      <c r="HUQ140" s="209"/>
      <c r="HUR140" s="204"/>
      <c r="HUS140" s="204"/>
      <c r="HUT140" s="204"/>
      <c r="HUU140" s="199"/>
      <c r="HUV140" s="167"/>
      <c r="HUW140" s="199"/>
      <c r="HUX140" s="200"/>
      <c r="HUY140" s="201"/>
      <c r="HUZ140" s="202"/>
      <c r="HVA140" s="202"/>
      <c r="HVB140" s="202"/>
      <c r="HVC140" s="202"/>
      <c r="HVD140" s="203"/>
      <c r="HVE140" s="204"/>
      <c r="HVF140" s="204"/>
      <c r="HVG140" s="204"/>
      <c r="HVH140" s="205"/>
      <c r="HVI140" s="206"/>
      <c r="HVJ140" s="207"/>
      <c r="HVK140" s="207"/>
      <c r="HVL140" s="208"/>
      <c r="HVM140" s="209"/>
      <c r="HVN140" s="207"/>
      <c r="HVO140" s="210"/>
      <c r="HVP140" s="209"/>
      <c r="HVQ140" s="204"/>
      <c r="HVR140" s="204"/>
      <c r="HVS140" s="204"/>
      <c r="HVT140" s="199"/>
      <c r="HVU140" s="167"/>
      <c r="HVV140" s="199"/>
      <c r="HVW140" s="200"/>
      <c r="HVX140" s="201"/>
      <c r="HVY140" s="202"/>
      <c r="HVZ140" s="202"/>
      <c r="HWA140" s="202"/>
      <c r="HWB140" s="202"/>
      <c r="HWC140" s="203"/>
      <c r="HWD140" s="204"/>
      <c r="HWE140" s="204"/>
      <c r="HWF140" s="204"/>
      <c r="HWG140" s="205"/>
      <c r="HWH140" s="206"/>
      <c r="HWI140" s="207"/>
      <c r="HWJ140" s="207"/>
      <c r="HWK140" s="208"/>
      <c r="HWL140" s="209"/>
      <c r="HWM140" s="207"/>
      <c r="HWN140" s="210"/>
      <c r="HWO140" s="209"/>
      <c r="HWP140" s="204"/>
      <c r="HWQ140" s="204"/>
      <c r="HWR140" s="204"/>
      <c r="HWS140" s="199"/>
      <c r="HWT140" s="167"/>
      <c r="HWU140" s="199"/>
      <c r="HWV140" s="200"/>
      <c r="HWW140" s="201"/>
      <c r="HWX140" s="202"/>
      <c r="HWY140" s="202"/>
      <c r="HWZ140" s="202"/>
      <c r="HXA140" s="202"/>
      <c r="HXB140" s="203"/>
      <c r="HXC140" s="204"/>
      <c r="HXD140" s="204"/>
      <c r="HXE140" s="204"/>
      <c r="HXF140" s="205"/>
      <c r="HXG140" s="206"/>
      <c r="HXH140" s="207"/>
      <c r="HXI140" s="207"/>
      <c r="HXJ140" s="208"/>
      <c r="HXK140" s="209"/>
      <c r="HXL140" s="207"/>
      <c r="HXM140" s="210"/>
      <c r="HXN140" s="209"/>
      <c r="HXO140" s="204"/>
      <c r="HXP140" s="204"/>
      <c r="HXQ140" s="204"/>
      <c r="HXR140" s="199"/>
      <c r="HXS140" s="167"/>
      <c r="HXT140" s="199"/>
      <c r="HXU140" s="200"/>
      <c r="HXV140" s="201"/>
      <c r="HXW140" s="202"/>
      <c r="HXX140" s="202"/>
      <c r="HXY140" s="202"/>
      <c r="HXZ140" s="202"/>
      <c r="HYA140" s="203"/>
      <c r="HYB140" s="204"/>
      <c r="HYC140" s="204"/>
      <c r="HYD140" s="204"/>
      <c r="HYE140" s="205"/>
      <c r="HYF140" s="206"/>
      <c r="HYG140" s="207"/>
      <c r="HYH140" s="207"/>
      <c r="HYI140" s="208"/>
      <c r="HYJ140" s="209"/>
      <c r="HYK140" s="207"/>
      <c r="HYL140" s="210"/>
      <c r="HYM140" s="209"/>
      <c r="HYN140" s="204"/>
      <c r="HYO140" s="204"/>
      <c r="HYP140" s="204"/>
      <c r="HYQ140" s="199"/>
      <c r="HYR140" s="167"/>
      <c r="HYS140" s="199"/>
      <c r="HYT140" s="200"/>
      <c r="HYU140" s="201"/>
      <c r="HYV140" s="202"/>
      <c r="HYW140" s="202"/>
      <c r="HYX140" s="202"/>
      <c r="HYY140" s="202"/>
      <c r="HYZ140" s="203"/>
      <c r="HZA140" s="204"/>
      <c r="HZB140" s="204"/>
      <c r="HZC140" s="204"/>
      <c r="HZD140" s="205"/>
      <c r="HZE140" s="206"/>
      <c r="HZF140" s="207"/>
      <c r="HZG140" s="207"/>
      <c r="HZH140" s="208"/>
      <c r="HZI140" s="209"/>
      <c r="HZJ140" s="207"/>
      <c r="HZK140" s="210"/>
      <c r="HZL140" s="209"/>
      <c r="HZM140" s="204"/>
      <c r="HZN140" s="204"/>
      <c r="HZO140" s="204"/>
      <c r="HZP140" s="199"/>
      <c r="HZQ140" s="167"/>
      <c r="HZR140" s="199"/>
      <c r="HZS140" s="200"/>
      <c r="HZT140" s="201"/>
      <c r="HZU140" s="202"/>
      <c r="HZV140" s="202"/>
      <c r="HZW140" s="202"/>
      <c r="HZX140" s="202"/>
      <c r="HZY140" s="203"/>
      <c r="HZZ140" s="204"/>
      <c r="IAA140" s="204"/>
      <c r="IAB140" s="204"/>
      <c r="IAC140" s="205"/>
      <c r="IAD140" s="206"/>
      <c r="IAE140" s="207"/>
      <c r="IAF140" s="207"/>
      <c r="IAG140" s="208"/>
      <c r="IAH140" s="209"/>
      <c r="IAI140" s="207"/>
      <c r="IAJ140" s="210"/>
      <c r="IAK140" s="209"/>
      <c r="IAL140" s="204"/>
      <c r="IAM140" s="204"/>
      <c r="IAN140" s="204"/>
      <c r="IAO140" s="199"/>
      <c r="IAP140" s="167"/>
      <c r="IAQ140" s="199"/>
      <c r="IAR140" s="200"/>
      <c r="IAS140" s="201"/>
      <c r="IAT140" s="202"/>
      <c r="IAU140" s="202"/>
      <c r="IAV140" s="202"/>
      <c r="IAW140" s="202"/>
      <c r="IAX140" s="203"/>
      <c r="IAY140" s="204"/>
      <c r="IAZ140" s="204"/>
      <c r="IBA140" s="204"/>
      <c r="IBB140" s="205"/>
      <c r="IBC140" s="206"/>
      <c r="IBD140" s="207"/>
      <c r="IBE140" s="207"/>
      <c r="IBF140" s="208"/>
      <c r="IBG140" s="209"/>
      <c r="IBH140" s="207"/>
      <c r="IBI140" s="210"/>
      <c r="IBJ140" s="209"/>
      <c r="IBK140" s="204"/>
      <c r="IBL140" s="204"/>
      <c r="IBM140" s="204"/>
      <c r="IBN140" s="199"/>
      <c r="IBO140" s="167"/>
      <c r="IBP140" s="199"/>
      <c r="IBQ140" s="200"/>
      <c r="IBR140" s="201"/>
      <c r="IBS140" s="202"/>
      <c r="IBT140" s="202"/>
      <c r="IBU140" s="202"/>
      <c r="IBV140" s="202"/>
      <c r="IBW140" s="203"/>
      <c r="IBX140" s="204"/>
      <c r="IBY140" s="204"/>
      <c r="IBZ140" s="204"/>
      <c r="ICA140" s="205"/>
      <c r="ICB140" s="206"/>
      <c r="ICC140" s="207"/>
      <c r="ICD140" s="207"/>
      <c r="ICE140" s="208"/>
      <c r="ICF140" s="209"/>
      <c r="ICG140" s="207"/>
      <c r="ICH140" s="210"/>
      <c r="ICI140" s="209"/>
      <c r="ICJ140" s="204"/>
      <c r="ICK140" s="204"/>
      <c r="ICL140" s="204"/>
      <c r="ICM140" s="199"/>
      <c r="ICN140" s="167"/>
      <c r="ICO140" s="199"/>
      <c r="ICP140" s="200"/>
      <c r="ICQ140" s="201"/>
      <c r="ICR140" s="202"/>
      <c r="ICS140" s="202"/>
      <c r="ICT140" s="202"/>
      <c r="ICU140" s="202"/>
      <c r="ICV140" s="203"/>
      <c r="ICW140" s="204"/>
      <c r="ICX140" s="204"/>
      <c r="ICY140" s="204"/>
      <c r="ICZ140" s="205"/>
      <c r="IDA140" s="206"/>
      <c r="IDB140" s="207"/>
      <c r="IDC140" s="207"/>
      <c r="IDD140" s="208"/>
      <c r="IDE140" s="209"/>
      <c r="IDF140" s="207"/>
      <c r="IDG140" s="210"/>
      <c r="IDH140" s="209"/>
      <c r="IDI140" s="204"/>
      <c r="IDJ140" s="204"/>
      <c r="IDK140" s="204"/>
      <c r="IDL140" s="199"/>
      <c r="IDM140" s="167"/>
      <c r="IDN140" s="199"/>
      <c r="IDO140" s="200"/>
      <c r="IDP140" s="201"/>
      <c r="IDQ140" s="202"/>
      <c r="IDR140" s="202"/>
      <c r="IDS140" s="202"/>
      <c r="IDT140" s="202"/>
      <c r="IDU140" s="203"/>
      <c r="IDV140" s="204"/>
      <c r="IDW140" s="204"/>
      <c r="IDX140" s="204"/>
      <c r="IDY140" s="205"/>
      <c r="IDZ140" s="206"/>
      <c r="IEA140" s="207"/>
      <c r="IEB140" s="207"/>
      <c r="IEC140" s="208"/>
      <c r="IED140" s="209"/>
      <c r="IEE140" s="207"/>
      <c r="IEF140" s="210"/>
      <c r="IEG140" s="209"/>
      <c r="IEH140" s="204"/>
      <c r="IEI140" s="204"/>
      <c r="IEJ140" s="204"/>
      <c r="IEK140" s="199"/>
      <c r="IEL140" s="167"/>
      <c r="IEM140" s="199"/>
      <c r="IEN140" s="200"/>
      <c r="IEO140" s="201"/>
      <c r="IEP140" s="202"/>
      <c r="IEQ140" s="202"/>
      <c r="IER140" s="202"/>
      <c r="IES140" s="202"/>
      <c r="IET140" s="203"/>
      <c r="IEU140" s="204"/>
      <c r="IEV140" s="204"/>
      <c r="IEW140" s="204"/>
      <c r="IEX140" s="205"/>
      <c r="IEY140" s="206"/>
      <c r="IEZ140" s="207"/>
      <c r="IFA140" s="207"/>
      <c r="IFB140" s="208"/>
      <c r="IFC140" s="209"/>
      <c r="IFD140" s="207"/>
      <c r="IFE140" s="210"/>
      <c r="IFF140" s="209"/>
      <c r="IFG140" s="204"/>
      <c r="IFH140" s="204"/>
      <c r="IFI140" s="204"/>
      <c r="IFJ140" s="199"/>
      <c r="IFK140" s="167"/>
      <c r="IFL140" s="199"/>
      <c r="IFM140" s="200"/>
      <c r="IFN140" s="201"/>
      <c r="IFO140" s="202"/>
      <c r="IFP140" s="202"/>
      <c r="IFQ140" s="202"/>
      <c r="IFR140" s="202"/>
      <c r="IFS140" s="203"/>
      <c r="IFT140" s="204"/>
      <c r="IFU140" s="204"/>
      <c r="IFV140" s="204"/>
      <c r="IFW140" s="205"/>
      <c r="IFX140" s="206"/>
      <c r="IFY140" s="207"/>
      <c r="IFZ140" s="207"/>
      <c r="IGA140" s="208"/>
      <c r="IGB140" s="209"/>
      <c r="IGC140" s="207"/>
      <c r="IGD140" s="210"/>
      <c r="IGE140" s="209"/>
      <c r="IGF140" s="204"/>
      <c r="IGG140" s="204"/>
      <c r="IGH140" s="204"/>
      <c r="IGI140" s="199"/>
      <c r="IGJ140" s="167"/>
      <c r="IGK140" s="199"/>
      <c r="IGL140" s="200"/>
      <c r="IGM140" s="201"/>
      <c r="IGN140" s="202"/>
      <c r="IGO140" s="202"/>
      <c r="IGP140" s="202"/>
      <c r="IGQ140" s="202"/>
      <c r="IGR140" s="203"/>
      <c r="IGS140" s="204"/>
      <c r="IGT140" s="204"/>
      <c r="IGU140" s="204"/>
      <c r="IGV140" s="205"/>
      <c r="IGW140" s="206"/>
      <c r="IGX140" s="207"/>
      <c r="IGY140" s="207"/>
      <c r="IGZ140" s="208"/>
      <c r="IHA140" s="209"/>
      <c r="IHB140" s="207"/>
      <c r="IHC140" s="210"/>
      <c r="IHD140" s="209"/>
      <c r="IHE140" s="204"/>
      <c r="IHF140" s="204"/>
      <c r="IHG140" s="204"/>
      <c r="IHH140" s="199"/>
      <c r="IHI140" s="167"/>
      <c r="IHJ140" s="199"/>
      <c r="IHK140" s="200"/>
      <c r="IHL140" s="201"/>
      <c r="IHM140" s="202"/>
      <c r="IHN140" s="202"/>
      <c r="IHO140" s="202"/>
      <c r="IHP140" s="202"/>
      <c r="IHQ140" s="203"/>
      <c r="IHR140" s="204"/>
      <c r="IHS140" s="204"/>
      <c r="IHT140" s="204"/>
      <c r="IHU140" s="205"/>
      <c r="IHV140" s="206"/>
      <c r="IHW140" s="207"/>
      <c r="IHX140" s="207"/>
      <c r="IHY140" s="208"/>
      <c r="IHZ140" s="209"/>
      <c r="IIA140" s="207"/>
      <c r="IIB140" s="210"/>
      <c r="IIC140" s="209"/>
      <c r="IID140" s="204"/>
      <c r="IIE140" s="204"/>
      <c r="IIF140" s="204"/>
      <c r="IIG140" s="199"/>
      <c r="IIH140" s="167"/>
      <c r="III140" s="199"/>
      <c r="IIJ140" s="200"/>
      <c r="IIK140" s="201"/>
      <c r="IIL140" s="202"/>
      <c r="IIM140" s="202"/>
      <c r="IIN140" s="202"/>
      <c r="IIO140" s="202"/>
      <c r="IIP140" s="203"/>
      <c r="IIQ140" s="204"/>
      <c r="IIR140" s="204"/>
      <c r="IIS140" s="204"/>
      <c r="IIT140" s="205"/>
      <c r="IIU140" s="206"/>
      <c r="IIV140" s="207"/>
      <c r="IIW140" s="207"/>
      <c r="IIX140" s="208"/>
      <c r="IIY140" s="209"/>
      <c r="IIZ140" s="207"/>
      <c r="IJA140" s="210"/>
      <c r="IJB140" s="209"/>
      <c r="IJC140" s="204"/>
      <c r="IJD140" s="204"/>
      <c r="IJE140" s="204"/>
      <c r="IJF140" s="199"/>
      <c r="IJG140" s="167"/>
      <c r="IJH140" s="199"/>
      <c r="IJI140" s="200"/>
      <c r="IJJ140" s="201"/>
      <c r="IJK140" s="202"/>
      <c r="IJL140" s="202"/>
      <c r="IJM140" s="202"/>
      <c r="IJN140" s="202"/>
      <c r="IJO140" s="203"/>
      <c r="IJP140" s="204"/>
      <c r="IJQ140" s="204"/>
      <c r="IJR140" s="204"/>
      <c r="IJS140" s="205"/>
      <c r="IJT140" s="206"/>
      <c r="IJU140" s="207"/>
      <c r="IJV140" s="207"/>
      <c r="IJW140" s="208"/>
      <c r="IJX140" s="209"/>
      <c r="IJY140" s="207"/>
      <c r="IJZ140" s="210"/>
      <c r="IKA140" s="209"/>
      <c r="IKB140" s="204"/>
      <c r="IKC140" s="204"/>
      <c r="IKD140" s="204"/>
      <c r="IKE140" s="199"/>
      <c r="IKF140" s="167"/>
      <c r="IKG140" s="199"/>
      <c r="IKH140" s="200"/>
      <c r="IKI140" s="201"/>
      <c r="IKJ140" s="202"/>
      <c r="IKK140" s="202"/>
      <c r="IKL140" s="202"/>
      <c r="IKM140" s="202"/>
      <c r="IKN140" s="203"/>
      <c r="IKO140" s="204"/>
      <c r="IKP140" s="204"/>
      <c r="IKQ140" s="204"/>
      <c r="IKR140" s="205"/>
      <c r="IKS140" s="206"/>
      <c r="IKT140" s="207"/>
      <c r="IKU140" s="207"/>
      <c r="IKV140" s="208"/>
      <c r="IKW140" s="209"/>
      <c r="IKX140" s="207"/>
      <c r="IKY140" s="210"/>
      <c r="IKZ140" s="209"/>
      <c r="ILA140" s="204"/>
      <c r="ILB140" s="204"/>
      <c r="ILC140" s="204"/>
      <c r="ILD140" s="199"/>
      <c r="ILE140" s="167"/>
      <c r="ILF140" s="199"/>
      <c r="ILG140" s="200"/>
      <c r="ILH140" s="201"/>
      <c r="ILI140" s="202"/>
      <c r="ILJ140" s="202"/>
      <c r="ILK140" s="202"/>
      <c r="ILL140" s="202"/>
      <c r="ILM140" s="203"/>
      <c r="ILN140" s="204"/>
      <c r="ILO140" s="204"/>
      <c r="ILP140" s="204"/>
      <c r="ILQ140" s="205"/>
      <c r="ILR140" s="206"/>
      <c r="ILS140" s="207"/>
      <c r="ILT140" s="207"/>
      <c r="ILU140" s="208"/>
      <c r="ILV140" s="209"/>
      <c r="ILW140" s="207"/>
      <c r="ILX140" s="210"/>
      <c r="ILY140" s="209"/>
      <c r="ILZ140" s="204"/>
      <c r="IMA140" s="204"/>
      <c r="IMB140" s="204"/>
      <c r="IMC140" s="199"/>
      <c r="IMD140" s="167"/>
      <c r="IME140" s="199"/>
      <c r="IMF140" s="200"/>
      <c r="IMG140" s="201"/>
      <c r="IMH140" s="202"/>
      <c r="IMI140" s="202"/>
      <c r="IMJ140" s="202"/>
      <c r="IMK140" s="202"/>
      <c r="IML140" s="203"/>
      <c r="IMM140" s="204"/>
      <c r="IMN140" s="204"/>
      <c r="IMO140" s="204"/>
      <c r="IMP140" s="205"/>
      <c r="IMQ140" s="206"/>
      <c r="IMR140" s="207"/>
      <c r="IMS140" s="207"/>
      <c r="IMT140" s="208"/>
      <c r="IMU140" s="209"/>
      <c r="IMV140" s="207"/>
      <c r="IMW140" s="210"/>
      <c r="IMX140" s="209"/>
      <c r="IMY140" s="204"/>
      <c r="IMZ140" s="204"/>
      <c r="INA140" s="204"/>
      <c r="INB140" s="199"/>
      <c r="INC140" s="167"/>
      <c r="IND140" s="199"/>
      <c r="INE140" s="200"/>
      <c r="INF140" s="201"/>
      <c r="ING140" s="202"/>
      <c r="INH140" s="202"/>
      <c r="INI140" s="202"/>
      <c r="INJ140" s="202"/>
      <c r="INK140" s="203"/>
      <c r="INL140" s="204"/>
      <c r="INM140" s="204"/>
      <c r="INN140" s="204"/>
      <c r="INO140" s="205"/>
      <c r="INP140" s="206"/>
      <c r="INQ140" s="207"/>
      <c r="INR140" s="207"/>
      <c r="INS140" s="208"/>
      <c r="INT140" s="209"/>
      <c r="INU140" s="207"/>
      <c r="INV140" s="210"/>
      <c r="INW140" s="209"/>
      <c r="INX140" s="204"/>
      <c r="INY140" s="204"/>
      <c r="INZ140" s="204"/>
      <c r="IOA140" s="199"/>
      <c r="IOB140" s="167"/>
      <c r="IOC140" s="199"/>
      <c r="IOD140" s="200"/>
      <c r="IOE140" s="201"/>
      <c r="IOF140" s="202"/>
      <c r="IOG140" s="202"/>
      <c r="IOH140" s="202"/>
      <c r="IOI140" s="202"/>
      <c r="IOJ140" s="203"/>
      <c r="IOK140" s="204"/>
      <c r="IOL140" s="204"/>
      <c r="IOM140" s="204"/>
      <c r="ION140" s="205"/>
      <c r="IOO140" s="206"/>
      <c r="IOP140" s="207"/>
      <c r="IOQ140" s="207"/>
      <c r="IOR140" s="208"/>
      <c r="IOS140" s="209"/>
      <c r="IOT140" s="207"/>
      <c r="IOU140" s="210"/>
      <c r="IOV140" s="209"/>
      <c r="IOW140" s="204"/>
      <c r="IOX140" s="204"/>
      <c r="IOY140" s="204"/>
      <c r="IOZ140" s="199"/>
      <c r="IPA140" s="167"/>
      <c r="IPB140" s="199"/>
      <c r="IPC140" s="200"/>
      <c r="IPD140" s="201"/>
      <c r="IPE140" s="202"/>
      <c r="IPF140" s="202"/>
      <c r="IPG140" s="202"/>
      <c r="IPH140" s="202"/>
      <c r="IPI140" s="203"/>
      <c r="IPJ140" s="204"/>
      <c r="IPK140" s="204"/>
      <c r="IPL140" s="204"/>
      <c r="IPM140" s="205"/>
      <c r="IPN140" s="206"/>
      <c r="IPO140" s="207"/>
      <c r="IPP140" s="207"/>
      <c r="IPQ140" s="208"/>
      <c r="IPR140" s="209"/>
      <c r="IPS140" s="207"/>
      <c r="IPT140" s="210"/>
      <c r="IPU140" s="209"/>
      <c r="IPV140" s="204"/>
      <c r="IPW140" s="204"/>
      <c r="IPX140" s="204"/>
      <c r="IPY140" s="199"/>
      <c r="IPZ140" s="167"/>
      <c r="IQA140" s="199"/>
      <c r="IQB140" s="200"/>
      <c r="IQC140" s="201"/>
      <c r="IQD140" s="202"/>
      <c r="IQE140" s="202"/>
      <c r="IQF140" s="202"/>
      <c r="IQG140" s="202"/>
      <c r="IQH140" s="203"/>
      <c r="IQI140" s="204"/>
      <c r="IQJ140" s="204"/>
      <c r="IQK140" s="204"/>
      <c r="IQL140" s="205"/>
      <c r="IQM140" s="206"/>
      <c r="IQN140" s="207"/>
      <c r="IQO140" s="207"/>
      <c r="IQP140" s="208"/>
      <c r="IQQ140" s="209"/>
      <c r="IQR140" s="207"/>
      <c r="IQS140" s="210"/>
      <c r="IQT140" s="209"/>
      <c r="IQU140" s="204"/>
      <c r="IQV140" s="204"/>
      <c r="IQW140" s="204"/>
      <c r="IQX140" s="199"/>
      <c r="IQY140" s="167"/>
      <c r="IQZ140" s="199"/>
      <c r="IRA140" s="200"/>
      <c r="IRB140" s="201"/>
      <c r="IRC140" s="202"/>
      <c r="IRD140" s="202"/>
      <c r="IRE140" s="202"/>
      <c r="IRF140" s="202"/>
      <c r="IRG140" s="203"/>
      <c r="IRH140" s="204"/>
      <c r="IRI140" s="204"/>
      <c r="IRJ140" s="204"/>
      <c r="IRK140" s="205"/>
      <c r="IRL140" s="206"/>
      <c r="IRM140" s="207"/>
      <c r="IRN140" s="207"/>
      <c r="IRO140" s="208"/>
      <c r="IRP140" s="209"/>
      <c r="IRQ140" s="207"/>
      <c r="IRR140" s="210"/>
      <c r="IRS140" s="209"/>
      <c r="IRT140" s="204"/>
      <c r="IRU140" s="204"/>
      <c r="IRV140" s="204"/>
      <c r="IRW140" s="199"/>
      <c r="IRX140" s="167"/>
      <c r="IRY140" s="199"/>
      <c r="IRZ140" s="200"/>
      <c r="ISA140" s="201"/>
      <c r="ISB140" s="202"/>
      <c r="ISC140" s="202"/>
      <c r="ISD140" s="202"/>
      <c r="ISE140" s="202"/>
      <c r="ISF140" s="203"/>
      <c r="ISG140" s="204"/>
      <c r="ISH140" s="204"/>
      <c r="ISI140" s="204"/>
      <c r="ISJ140" s="205"/>
      <c r="ISK140" s="206"/>
      <c r="ISL140" s="207"/>
      <c r="ISM140" s="207"/>
      <c r="ISN140" s="208"/>
      <c r="ISO140" s="209"/>
      <c r="ISP140" s="207"/>
      <c r="ISQ140" s="210"/>
      <c r="ISR140" s="209"/>
      <c r="ISS140" s="204"/>
      <c r="IST140" s="204"/>
      <c r="ISU140" s="204"/>
      <c r="ISV140" s="199"/>
      <c r="ISW140" s="167"/>
      <c r="ISX140" s="199"/>
      <c r="ISY140" s="200"/>
      <c r="ISZ140" s="201"/>
      <c r="ITA140" s="202"/>
      <c r="ITB140" s="202"/>
      <c r="ITC140" s="202"/>
      <c r="ITD140" s="202"/>
      <c r="ITE140" s="203"/>
      <c r="ITF140" s="204"/>
      <c r="ITG140" s="204"/>
      <c r="ITH140" s="204"/>
      <c r="ITI140" s="205"/>
      <c r="ITJ140" s="206"/>
      <c r="ITK140" s="207"/>
      <c r="ITL140" s="207"/>
      <c r="ITM140" s="208"/>
      <c r="ITN140" s="209"/>
      <c r="ITO140" s="207"/>
      <c r="ITP140" s="210"/>
      <c r="ITQ140" s="209"/>
      <c r="ITR140" s="204"/>
      <c r="ITS140" s="204"/>
      <c r="ITT140" s="204"/>
      <c r="ITU140" s="199"/>
      <c r="ITV140" s="167"/>
      <c r="ITW140" s="199"/>
      <c r="ITX140" s="200"/>
      <c r="ITY140" s="201"/>
      <c r="ITZ140" s="202"/>
      <c r="IUA140" s="202"/>
      <c r="IUB140" s="202"/>
      <c r="IUC140" s="202"/>
      <c r="IUD140" s="203"/>
      <c r="IUE140" s="204"/>
      <c r="IUF140" s="204"/>
      <c r="IUG140" s="204"/>
      <c r="IUH140" s="205"/>
      <c r="IUI140" s="206"/>
      <c r="IUJ140" s="207"/>
      <c r="IUK140" s="207"/>
      <c r="IUL140" s="208"/>
      <c r="IUM140" s="209"/>
      <c r="IUN140" s="207"/>
      <c r="IUO140" s="210"/>
      <c r="IUP140" s="209"/>
      <c r="IUQ140" s="204"/>
      <c r="IUR140" s="204"/>
      <c r="IUS140" s="204"/>
      <c r="IUT140" s="199"/>
      <c r="IUU140" s="167"/>
      <c r="IUV140" s="199"/>
      <c r="IUW140" s="200"/>
      <c r="IUX140" s="201"/>
      <c r="IUY140" s="202"/>
      <c r="IUZ140" s="202"/>
      <c r="IVA140" s="202"/>
      <c r="IVB140" s="202"/>
      <c r="IVC140" s="203"/>
      <c r="IVD140" s="204"/>
      <c r="IVE140" s="204"/>
      <c r="IVF140" s="204"/>
      <c r="IVG140" s="205"/>
      <c r="IVH140" s="206"/>
      <c r="IVI140" s="207"/>
      <c r="IVJ140" s="207"/>
      <c r="IVK140" s="208"/>
      <c r="IVL140" s="209"/>
      <c r="IVM140" s="207"/>
      <c r="IVN140" s="210"/>
      <c r="IVO140" s="209"/>
      <c r="IVP140" s="204"/>
      <c r="IVQ140" s="204"/>
      <c r="IVR140" s="204"/>
      <c r="IVS140" s="199"/>
      <c r="IVT140" s="167"/>
      <c r="IVU140" s="199"/>
      <c r="IVV140" s="200"/>
      <c r="IVW140" s="201"/>
      <c r="IVX140" s="202"/>
      <c r="IVY140" s="202"/>
      <c r="IVZ140" s="202"/>
      <c r="IWA140" s="202"/>
      <c r="IWB140" s="203"/>
      <c r="IWC140" s="204"/>
      <c r="IWD140" s="204"/>
      <c r="IWE140" s="204"/>
      <c r="IWF140" s="205"/>
      <c r="IWG140" s="206"/>
      <c r="IWH140" s="207"/>
      <c r="IWI140" s="207"/>
      <c r="IWJ140" s="208"/>
      <c r="IWK140" s="209"/>
      <c r="IWL140" s="207"/>
      <c r="IWM140" s="210"/>
      <c r="IWN140" s="209"/>
      <c r="IWO140" s="204"/>
      <c r="IWP140" s="204"/>
      <c r="IWQ140" s="204"/>
      <c r="IWR140" s="199"/>
      <c r="IWS140" s="167"/>
      <c r="IWT140" s="199"/>
      <c r="IWU140" s="200"/>
      <c r="IWV140" s="201"/>
      <c r="IWW140" s="202"/>
      <c r="IWX140" s="202"/>
      <c r="IWY140" s="202"/>
      <c r="IWZ140" s="202"/>
      <c r="IXA140" s="203"/>
      <c r="IXB140" s="204"/>
      <c r="IXC140" s="204"/>
      <c r="IXD140" s="204"/>
      <c r="IXE140" s="205"/>
      <c r="IXF140" s="206"/>
      <c r="IXG140" s="207"/>
      <c r="IXH140" s="207"/>
      <c r="IXI140" s="208"/>
      <c r="IXJ140" s="209"/>
      <c r="IXK140" s="207"/>
      <c r="IXL140" s="210"/>
      <c r="IXM140" s="209"/>
      <c r="IXN140" s="204"/>
      <c r="IXO140" s="204"/>
      <c r="IXP140" s="204"/>
      <c r="IXQ140" s="199"/>
      <c r="IXR140" s="167"/>
      <c r="IXS140" s="199"/>
      <c r="IXT140" s="200"/>
      <c r="IXU140" s="201"/>
      <c r="IXV140" s="202"/>
      <c r="IXW140" s="202"/>
      <c r="IXX140" s="202"/>
      <c r="IXY140" s="202"/>
      <c r="IXZ140" s="203"/>
      <c r="IYA140" s="204"/>
      <c r="IYB140" s="204"/>
      <c r="IYC140" s="204"/>
      <c r="IYD140" s="205"/>
      <c r="IYE140" s="206"/>
      <c r="IYF140" s="207"/>
      <c r="IYG140" s="207"/>
      <c r="IYH140" s="208"/>
      <c r="IYI140" s="209"/>
      <c r="IYJ140" s="207"/>
      <c r="IYK140" s="210"/>
      <c r="IYL140" s="209"/>
      <c r="IYM140" s="204"/>
      <c r="IYN140" s="204"/>
      <c r="IYO140" s="204"/>
      <c r="IYP140" s="199"/>
      <c r="IYQ140" s="167"/>
      <c r="IYR140" s="199"/>
      <c r="IYS140" s="200"/>
      <c r="IYT140" s="201"/>
      <c r="IYU140" s="202"/>
      <c r="IYV140" s="202"/>
      <c r="IYW140" s="202"/>
      <c r="IYX140" s="202"/>
      <c r="IYY140" s="203"/>
      <c r="IYZ140" s="204"/>
      <c r="IZA140" s="204"/>
      <c r="IZB140" s="204"/>
      <c r="IZC140" s="205"/>
      <c r="IZD140" s="206"/>
      <c r="IZE140" s="207"/>
      <c r="IZF140" s="207"/>
      <c r="IZG140" s="208"/>
      <c r="IZH140" s="209"/>
      <c r="IZI140" s="207"/>
      <c r="IZJ140" s="210"/>
      <c r="IZK140" s="209"/>
      <c r="IZL140" s="204"/>
      <c r="IZM140" s="204"/>
      <c r="IZN140" s="204"/>
      <c r="IZO140" s="199"/>
      <c r="IZP140" s="167"/>
      <c r="IZQ140" s="199"/>
      <c r="IZR140" s="200"/>
      <c r="IZS140" s="201"/>
      <c r="IZT140" s="202"/>
      <c r="IZU140" s="202"/>
      <c r="IZV140" s="202"/>
      <c r="IZW140" s="202"/>
      <c r="IZX140" s="203"/>
      <c r="IZY140" s="204"/>
      <c r="IZZ140" s="204"/>
      <c r="JAA140" s="204"/>
      <c r="JAB140" s="205"/>
      <c r="JAC140" s="206"/>
      <c r="JAD140" s="207"/>
      <c r="JAE140" s="207"/>
      <c r="JAF140" s="208"/>
      <c r="JAG140" s="209"/>
      <c r="JAH140" s="207"/>
      <c r="JAI140" s="210"/>
      <c r="JAJ140" s="209"/>
      <c r="JAK140" s="204"/>
      <c r="JAL140" s="204"/>
      <c r="JAM140" s="204"/>
      <c r="JAN140" s="199"/>
      <c r="JAO140" s="167"/>
      <c r="JAP140" s="199"/>
      <c r="JAQ140" s="200"/>
      <c r="JAR140" s="201"/>
      <c r="JAS140" s="202"/>
      <c r="JAT140" s="202"/>
      <c r="JAU140" s="202"/>
      <c r="JAV140" s="202"/>
      <c r="JAW140" s="203"/>
      <c r="JAX140" s="204"/>
      <c r="JAY140" s="204"/>
      <c r="JAZ140" s="204"/>
      <c r="JBA140" s="205"/>
      <c r="JBB140" s="206"/>
      <c r="JBC140" s="207"/>
      <c r="JBD140" s="207"/>
      <c r="JBE140" s="208"/>
      <c r="JBF140" s="209"/>
      <c r="JBG140" s="207"/>
      <c r="JBH140" s="210"/>
      <c r="JBI140" s="209"/>
      <c r="JBJ140" s="204"/>
      <c r="JBK140" s="204"/>
      <c r="JBL140" s="204"/>
      <c r="JBM140" s="199"/>
      <c r="JBN140" s="167"/>
      <c r="JBO140" s="199"/>
      <c r="JBP140" s="200"/>
      <c r="JBQ140" s="201"/>
      <c r="JBR140" s="202"/>
      <c r="JBS140" s="202"/>
      <c r="JBT140" s="202"/>
      <c r="JBU140" s="202"/>
      <c r="JBV140" s="203"/>
      <c r="JBW140" s="204"/>
      <c r="JBX140" s="204"/>
      <c r="JBY140" s="204"/>
      <c r="JBZ140" s="205"/>
      <c r="JCA140" s="206"/>
      <c r="JCB140" s="207"/>
      <c r="JCC140" s="207"/>
      <c r="JCD140" s="208"/>
      <c r="JCE140" s="209"/>
      <c r="JCF140" s="207"/>
      <c r="JCG140" s="210"/>
      <c r="JCH140" s="209"/>
      <c r="JCI140" s="204"/>
      <c r="JCJ140" s="204"/>
      <c r="JCK140" s="204"/>
      <c r="JCL140" s="199"/>
      <c r="JCM140" s="167"/>
      <c r="JCN140" s="199"/>
      <c r="JCO140" s="200"/>
      <c r="JCP140" s="201"/>
      <c r="JCQ140" s="202"/>
      <c r="JCR140" s="202"/>
      <c r="JCS140" s="202"/>
      <c r="JCT140" s="202"/>
      <c r="JCU140" s="203"/>
      <c r="JCV140" s="204"/>
      <c r="JCW140" s="204"/>
      <c r="JCX140" s="204"/>
      <c r="JCY140" s="205"/>
      <c r="JCZ140" s="206"/>
      <c r="JDA140" s="207"/>
      <c r="JDB140" s="207"/>
      <c r="JDC140" s="208"/>
      <c r="JDD140" s="209"/>
      <c r="JDE140" s="207"/>
      <c r="JDF140" s="210"/>
      <c r="JDG140" s="209"/>
      <c r="JDH140" s="204"/>
      <c r="JDI140" s="204"/>
      <c r="JDJ140" s="204"/>
      <c r="JDK140" s="199"/>
      <c r="JDL140" s="167"/>
      <c r="JDM140" s="199"/>
      <c r="JDN140" s="200"/>
      <c r="JDO140" s="201"/>
      <c r="JDP140" s="202"/>
      <c r="JDQ140" s="202"/>
      <c r="JDR140" s="202"/>
      <c r="JDS140" s="202"/>
      <c r="JDT140" s="203"/>
      <c r="JDU140" s="204"/>
      <c r="JDV140" s="204"/>
      <c r="JDW140" s="204"/>
      <c r="JDX140" s="205"/>
      <c r="JDY140" s="206"/>
      <c r="JDZ140" s="207"/>
      <c r="JEA140" s="207"/>
      <c r="JEB140" s="208"/>
      <c r="JEC140" s="209"/>
      <c r="JED140" s="207"/>
      <c r="JEE140" s="210"/>
      <c r="JEF140" s="209"/>
      <c r="JEG140" s="204"/>
      <c r="JEH140" s="204"/>
      <c r="JEI140" s="204"/>
      <c r="JEJ140" s="199"/>
      <c r="JEK140" s="167"/>
      <c r="JEL140" s="199"/>
      <c r="JEM140" s="200"/>
      <c r="JEN140" s="201"/>
      <c r="JEO140" s="202"/>
      <c r="JEP140" s="202"/>
      <c r="JEQ140" s="202"/>
      <c r="JER140" s="202"/>
      <c r="JES140" s="203"/>
      <c r="JET140" s="204"/>
      <c r="JEU140" s="204"/>
      <c r="JEV140" s="204"/>
      <c r="JEW140" s="205"/>
      <c r="JEX140" s="206"/>
      <c r="JEY140" s="207"/>
      <c r="JEZ140" s="207"/>
      <c r="JFA140" s="208"/>
      <c r="JFB140" s="209"/>
      <c r="JFC140" s="207"/>
      <c r="JFD140" s="210"/>
      <c r="JFE140" s="209"/>
      <c r="JFF140" s="204"/>
      <c r="JFG140" s="204"/>
      <c r="JFH140" s="204"/>
      <c r="JFI140" s="199"/>
      <c r="JFJ140" s="167"/>
      <c r="JFK140" s="199"/>
      <c r="JFL140" s="200"/>
      <c r="JFM140" s="201"/>
      <c r="JFN140" s="202"/>
      <c r="JFO140" s="202"/>
      <c r="JFP140" s="202"/>
      <c r="JFQ140" s="202"/>
      <c r="JFR140" s="203"/>
      <c r="JFS140" s="204"/>
      <c r="JFT140" s="204"/>
      <c r="JFU140" s="204"/>
      <c r="JFV140" s="205"/>
      <c r="JFW140" s="206"/>
      <c r="JFX140" s="207"/>
      <c r="JFY140" s="207"/>
      <c r="JFZ140" s="208"/>
      <c r="JGA140" s="209"/>
      <c r="JGB140" s="207"/>
      <c r="JGC140" s="210"/>
      <c r="JGD140" s="209"/>
      <c r="JGE140" s="204"/>
      <c r="JGF140" s="204"/>
      <c r="JGG140" s="204"/>
      <c r="JGH140" s="199"/>
      <c r="JGI140" s="167"/>
      <c r="JGJ140" s="199"/>
      <c r="JGK140" s="200"/>
      <c r="JGL140" s="201"/>
      <c r="JGM140" s="202"/>
      <c r="JGN140" s="202"/>
      <c r="JGO140" s="202"/>
      <c r="JGP140" s="202"/>
      <c r="JGQ140" s="203"/>
      <c r="JGR140" s="204"/>
      <c r="JGS140" s="204"/>
      <c r="JGT140" s="204"/>
      <c r="JGU140" s="205"/>
      <c r="JGV140" s="206"/>
      <c r="JGW140" s="207"/>
      <c r="JGX140" s="207"/>
      <c r="JGY140" s="208"/>
      <c r="JGZ140" s="209"/>
      <c r="JHA140" s="207"/>
      <c r="JHB140" s="210"/>
      <c r="JHC140" s="209"/>
      <c r="JHD140" s="204"/>
      <c r="JHE140" s="204"/>
      <c r="JHF140" s="204"/>
      <c r="JHG140" s="199"/>
      <c r="JHH140" s="167"/>
      <c r="JHI140" s="199"/>
      <c r="JHJ140" s="200"/>
      <c r="JHK140" s="201"/>
      <c r="JHL140" s="202"/>
      <c r="JHM140" s="202"/>
      <c r="JHN140" s="202"/>
      <c r="JHO140" s="202"/>
      <c r="JHP140" s="203"/>
      <c r="JHQ140" s="204"/>
      <c r="JHR140" s="204"/>
      <c r="JHS140" s="204"/>
      <c r="JHT140" s="205"/>
      <c r="JHU140" s="206"/>
      <c r="JHV140" s="207"/>
      <c r="JHW140" s="207"/>
      <c r="JHX140" s="208"/>
      <c r="JHY140" s="209"/>
      <c r="JHZ140" s="207"/>
      <c r="JIA140" s="210"/>
      <c r="JIB140" s="209"/>
      <c r="JIC140" s="204"/>
      <c r="JID140" s="204"/>
      <c r="JIE140" s="204"/>
      <c r="JIF140" s="199"/>
      <c r="JIG140" s="167"/>
      <c r="JIH140" s="199"/>
      <c r="JII140" s="200"/>
      <c r="JIJ140" s="201"/>
      <c r="JIK140" s="202"/>
      <c r="JIL140" s="202"/>
      <c r="JIM140" s="202"/>
      <c r="JIN140" s="202"/>
      <c r="JIO140" s="203"/>
      <c r="JIP140" s="204"/>
      <c r="JIQ140" s="204"/>
      <c r="JIR140" s="204"/>
      <c r="JIS140" s="205"/>
      <c r="JIT140" s="206"/>
      <c r="JIU140" s="207"/>
      <c r="JIV140" s="207"/>
      <c r="JIW140" s="208"/>
      <c r="JIX140" s="209"/>
      <c r="JIY140" s="207"/>
      <c r="JIZ140" s="210"/>
      <c r="JJA140" s="209"/>
      <c r="JJB140" s="204"/>
      <c r="JJC140" s="204"/>
      <c r="JJD140" s="204"/>
      <c r="JJE140" s="199"/>
      <c r="JJF140" s="167"/>
      <c r="JJG140" s="199"/>
      <c r="JJH140" s="200"/>
      <c r="JJI140" s="201"/>
      <c r="JJJ140" s="202"/>
      <c r="JJK140" s="202"/>
      <c r="JJL140" s="202"/>
      <c r="JJM140" s="202"/>
      <c r="JJN140" s="203"/>
      <c r="JJO140" s="204"/>
      <c r="JJP140" s="204"/>
      <c r="JJQ140" s="204"/>
      <c r="JJR140" s="205"/>
      <c r="JJS140" s="206"/>
      <c r="JJT140" s="207"/>
      <c r="JJU140" s="207"/>
      <c r="JJV140" s="208"/>
      <c r="JJW140" s="209"/>
      <c r="JJX140" s="207"/>
      <c r="JJY140" s="210"/>
      <c r="JJZ140" s="209"/>
      <c r="JKA140" s="204"/>
      <c r="JKB140" s="204"/>
      <c r="JKC140" s="204"/>
      <c r="JKD140" s="199"/>
      <c r="JKE140" s="167"/>
      <c r="JKF140" s="199"/>
      <c r="JKG140" s="200"/>
      <c r="JKH140" s="201"/>
      <c r="JKI140" s="202"/>
      <c r="JKJ140" s="202"/>
      <c r="JKK140" s="202"/>
      <c r="JKL140" s="202"/>
      <c r="JKM140" s="203"/>
      <c r="JKN140" s="204"/>
      <c r="JKO140" s="204"/>
      <c r="JKP140" s="204"/>
      <c r="JKQ140" s="205"/>
      <c r="JKR140" s="206"/>
      <c r="JKS140" s="207"/>
      <c r="JKT140" s="207"/>
      <c r="JKU140" s="208"/>
      <c r="JKV140" s="209"/>
      <c r="JKW140" s="207"/>
      <c r="JKX140" s="210"/>
      <c r="JKY140" s="209"/>
      <c r="JKZ140" s="204"/>
      <c r="JLA140" s="204"/>
      <c r="JLB140" s="204"/>
      <c r="JLC140" s="199"/>
      <c r="JLD140" s="167"/>
      <c r="JLE140" s="199"/>
      <c r="JLF140" s="200"/>
      <c r="JLG140" s="201"/>
      <c r="JLH140" s="202"/>
      <c r="JLI140" s="202"/>
      <c r="JLJ140" s="202"/>
      <c r="JLK140" s="202"/>
      <c r="JLL140" s="203"/>
      <c r="JLM140" s="204"/>
      <c r="JLN140" s="204"/>
      <c r="JLO140" s="204"/>
      <c r="JLP140" s="205"/>
      <c r="JLQ140" s="206"/>
      <c r="JLR140" s="207"/>
      <c r="JLS140" s="207"/>
      <c r="JLT140" s="208"/>
      <c r="JLU140" s="209"/>
      <c r="JLV140" s="207"/>
      <c r="JLW140" s="210"/>
      <c r="JLX140" s="209"/>
      <c r="JLY140" s="204"/>
      <c r="JLZ140" s="204"/>
      <c r="JMA140" s="204"/>
      <c r="JMB140" s="199"/>
      <c r="JMC140" s="167"/>
      <c r="JMD140" s="199"/>
      <c r="JME140" s="200"/>
      <c r="JMF140" s="201"/>
      <c r="JMG140" s="202"/>
      <c r="JMH140" s="202"/>
      <c r="JMI140" s="202"/>
      <c r="JMJ140" s="202"/>
      <c r="JMK140" s="203"/>
      <c r="JML140" s="204"/>
      <c r="JMM140" s="204"/>
      <c r="JMN140" s="204"/>
      <c r="JMO140" s="205"/>
      <c r="JMP140" s="206"/>
      <c r="JMQ140" s="207"/>
      <c r="JMR140" s="207"/>
      <c r="JMS140" s="208"/>
      <c r="JMT140" s="209"/>
      <c r="JMU140" s="207"/>
      <c r="JMV140" s="210"/>
      <c r="JMW140" s="209"/>
      <c r="JMX140" s="204"/>
      <c r="JMY140" s="204"/>
      <c r="JMZ140" s="204"/>
      <c r="JNA140" s="199"/>
      <c r="JNB140" s="167"/>
      <c r="JNC140" s="199"/>
      <c r="JND140" s="200"/>
      <c r="JNE140" s="201"/>
      <c r="JNF140" s="202"/>
      <c r="JNG140" s="202"/>
      <c r="JNH140" s="202"/>
      <c r="JNI140" s="202"/>
      <c r="JNJ140" s="203"/>
      <c r="JNK140" s="204"/>
      <c r="JNL140" s="204"/>
      <c r="JNM140" s="204"/>
      <c r="JNN140" s="205"/>
      <c r="JNO140" s="206"/>
      <c r="JNP140" s="207"/>
      <c r="JNQ140" s="207"/>
      <c r="JNR140" s="208"/>
      <c r="JNS140" s="209"/>
      <c r="JNT140" s="207"/>
      <c r="JNU140" s="210"/>
      <c r="JNV140" s="209"/>
      <c r="JNW140" s="204"/>
      <c r="JNX140" s="204"/>
      <c r="JNY140" s="204"/>
      <c r="JNZ140" s="199"/>
      <c r="JOA140" s="167"/>
      <c r="JOB140" s="199"/>
      <c r="JOC140" s="200"/>
      <c r="JOD140" s="201"/>
      <c r="JOE140" s="202"/>
      <c r="JOF140" s="202"/>
      <c r="JOG140" s="202"/>
      <c r="JOH140" s="202"/>
      <c r="JOI140" s="203"/>
      <c r="JOJ140" s="204"/>
      <c r="JOK140" s="204"/>
      <c r="JOL140" s="204"/>
      <c r="JOM140" s="205"/>
      <c r="JON140" s="206"/>
      <c r="JOO140" s="207"/>
      <c r="JOP140" s="207"/>
      <c r="JOQ140" s="208"/>
      <c r="JOR140" s="209"/>
      <c r="JOS140" s="207"/>
      <c r="JOT140" s="210"/>
      <c r="JOU140" s="209"/>
      <c r="JOV140" s="204"/>
      <c r="JOW140" s="204"/>
      <c r="JOX140" s="204"/>
      <c r="JOY140" s="199"/>
      <c r="JOZ140" s="167"/>
      <c r="JPA140" s="199"/>
      <c r="JPB140" s="200"/>
      <c r="JPC140" s="201"/>
      <c r="JPD140" s="202"/>
      <c r="JPE140" s="202"/>
      <c r="JPF140" s="202"/>
      <c r="JPG140" s="202"/>
      <c r="JPH140" s="203"/>
      <c r="JPI140" s="204"/>
      <c r="JPJ140" s="204"/>
      <c r="JPK140" s="204"/>
      <c r="JPL140" s="205"/>
      <c r="JPM140" s="206"/>
      <c r="JPN140" s="207"/>
      <c r="JPO140" s="207"/>
      <c r="JPP140" s="208"/>
      <c r="JPQ140" s="209"/>
      <c r="JPR140" s="207"/>
      <c r="JPS140" s="210"/>
      <c r="JPT140" s="209"/>
      <c r="JPU140" s="204"/>
      <c r="JPV140" s="204"/>
      <c r="JPW140" s="204"/>
      <c r="JPX140" s="199"/>
      <c r="JPY140" s="167"/>
      <c r="JPZ140" s="199"/>
      <c r="JQA140" s="200"/>
      <c r="JQB140" s="201"/>
      <c r="JQC140" s="202"/>
      <c r="JQD140" s="202"/>
      <c r="JQE140" s="202"/>
      <c r="JQF140" s="202"/>
      <c r="JQG140" s="203"/>
      <c r="JQH140" s="204"/>
      <c r="JQI140" s="204"/>
      <c r="JQJ140" s="204"/>
      <c r="JQK140" s="205"/>
      <c r="JQL140" s="206"/>
      <c r="JQM140" s="207"/>
      <c r="JQN140" s="207"/>
      <c r="JQO140" s="208"/>
      <c r="JQP140" s="209"/>
      <c r="JQQ140" s="207"/>
      <c r="JQR140" s="210"/>
      <c r="JQS140" s="209"/>
      <c r="JQT140" s="204"/>
      <c r="JQU140" s="204"/>
      <c r="JQV140" s="204"/>
      <c r="JQW140" s="199"/>
      <c r="JQX140" s="167"/>
      <c r="JQY140" s="199"/>
      <c r="JQZ140" s="200"/>
      <c r="JRA140" s="201"/>
      <c r="JRB140" s="202"/>
      <c r="JRC140" s="202"/>
      <c r="JRD140" s="202"/>
      <c r="JRE140" s="202"/>
      <c r="JRF140" s="203"/>
      <c r="JRG140" s="204"/>
      <c r="JRH140" s="204"/>
      <c r="JRI140" s="204"/>
      <c r="JRJ140" s="205"/>
      <c r="JRK140" s="206"/>
      <c r="JRL140" s="207"/>
      <c r="JRM140" s="207"/>
      <c r="JRN140" s="208"/>
      <c r="JRO140" s="209"/>
      <c r="JRP140" s="207"/>
      <c r="JRQ140" s="210"/>
      <c r="JRR140" s="209"/>
      <c r="JRS140" s="204"/>
      <c r="JRT140" s="204"/>
      <c r="JRU140" s="204"/>
      <c r="JRV140" s="199"/>
      <c r="JRW140" s="167"/>
      <c r="JRX140" s="199"/>
      <c r="JRY140" s="200"/>
      <c r="JRZ140" s="201"/>
      <c r="JSA140" s="202"/>
      <c r="JSB140" s="202"/>
      <c r="JSC140" s="202"/>
      <c r="JSD140" s="202"/>
      <c r="JSE140" s="203"/>
      <c r="JSF140" s="204"/>
      <c r="JSG140" s="204"/>
      <c r="JSH140" s="204"/>
      <c r="JSI140" s="205"/>
      <c r="JSJ140" s="206"/>
      <c r="JSK140" s="207"/>
      <c r="JSL140" s="207"/>
      <c r="JSM140" s="208"/>
      <c r="JSN140" s="209"/>
      <c r="JSO140" s="207"/>
      <c r="JSP140" s="210"/>
      <c r="JSQ140" s="209"/>
      <c r="JSR140" s="204"/>
      <c r="JSS140" s="204"/>
      <c r="JST140" s="204"/>
      <c r="JSU140" s="199"/>
      <c r="JSV140" s="167"/>
      <c r="JSW140" s="199"/>
      <c r="JSX140" s="200"/>
      <c r="JSY140" s="201"/>
      <c r="JSZ140" s="202"/>
      <c r="JTA140" s="202"/>
      <c r="JTB140" s="202"/>
      <c r="JTC140" s="202"/>
      <c r="JTD140" s="203"/>
      <c r="JTE140" s="204"/>
      <c r="JTF140" s="204"/>
      <c r="JTG140" s="204"/>
      <c r="JTH140" s="205"/>
      <c r="JTI140" s="206"/>
      <c r="JTJ140" s="207"/>
      <c r="JTK140" s="207"/>
      <c r="JTL140" s="208"/>
      <c r="JTM140" s="209"/>
      <c r="JTN140" s="207"/>
      <c r="JTO140" s="210"/>
      <c r="JTP140" s="209"/>
      <c r="JTQ140" s="204"/>
      <c r="JTR140" s="204"/>
      <c r="JTS140" s="204"/>
      <c r="JTT140" s="199"/>
      <c r="JTU140" s="167"/>
      <c r="JTV140" s="199"/>
      <c r="JTW140" s="200"/>
      <c r="JTX140" s="201"/>
      <c r="JTY140" s="202"/>
      <c r="JTZ140" s="202"/>
      <c r="JUA140" s="202"/>
      <c r="JUB140" s="202"/>
      <c r="JUC140" s="203"/>
      <c r="JUD140" s="204"/>
      <c r="JUE140" s="204"/>
      <c r="JUF140" s="204"/>
      <c r="JUG140" s="205"/>
      <c r="JUH140" s="206"/>
      <c r="JUI140" s="207"/>
      <c r="JUJ140" s="207"/>
      <c r="JUK140" s="208"/>
      <c r="JUL140" s="209"/>
      <c r="JUM140" s="207"/>
      <c r="JUN140" s="210"/>
      <c r="JUO140" s="209"/>
      <c r="JUP140" s="204"/>
      <c r="JUQ140" s="204"/>
      <c r="JUR140" s="204"/>
      <c r="JUS140" s="199"/>
      <c r="JUT140" s="167"/>
      <c r="JUU140" s="199"/>
      <c r="JUV140" s="200"/>
      <c r="JUW140" s="201"/>
      <c r="JUX140" s="202"/>
      <c r="JUY140" s="202"/>
      <c r="JUZ140" s="202"/>
      <c r="JVA140" s="202"/>
      <c r="JVB140" s="203"/>
      <c r="JVC140" s="204"/>
      <c r="JVD140" s="204"/>
      <c r="JVE140" s="204"/>
      <c r="JVF140" s="205"/>
      <c r="JVG140" s="206"/>
      <c r="JVH140" s="207"/>
      <c r="JVI140" s="207"/>
      <c r="JVJ140" s="208"/>
      <c r="JVK140" s="209"/>
      <c r="JVL140" s="207"/>
      <c r="JVM140" s="210"/>
      <c r="JVN140" s="209"/>
      <c r="JVO140" s="204"/>
      <c r="JVP140" s="204"/>
      <c r="JVQ140" s="204"/>
      <c r="JVR140" s="199"/>
      <c r="JVS140" s="167"/>
      <c r="JVT140" s="199"/>
      <c r="JVU140" s="200"/>
      <c r="JVV140" s="201"/>
      <c r="JVW140" s="202"/>
      <c r="JVX140" s="202"/>
      <c r="JVY140" s="202"/>
      <c r="JVZ140" s="202"/>
      <c r="JWA140" s="203"/>
      <c r="JWB140" s="204"/>
      <c r="JWC140" s="204"/>
      <c r="JWD140" s="204"/>
      <c r="JWE140" s="205"/>
      <c r="JWF140" s="206"/>
      <c r="JWG140" s="207"/>
      <c r="JWH140" s="207"/>
      <c r="JWI140" s="208"/>
      <c r="JWJ140" s="209"/>
      <c r="JWK140" s="207"/>
      <c r="JWL140" s="210"/>
      <c r="JWM140" s="209"/>
      <c r="JWN140" s="204"/>
      <c r="JWO140" s="204"/>
      <c r="JWP140" s="204"/>
      <c r="JWQ140" s="199"/>
      <c r="JWR140" s="167"/>
      <c r="JWS140" s="199"/>
      <c r="JWT140" s="200"/>
      <c r="JWU140" s="201"/>
      <c r="JWV140" s="202"/>
      <c r="JWW140" s="202"/>
      <c r="JWX140" s="202"/>
      <c r="JWY140" s="202"/>
      <c r="JWZ140" s="203"/>
      <c r="JXA140" s="204"/>
      <c r="JXB140" s="204"/>
      <c r="JXC140" s="204"/>
      <c r="JXD140" s="205"/>
      <c r="JXE140" s="206"/>
      <c r="JXF140" s="207"/>
      <c r="JXG140" s="207"/>
      <c r="JXH140" s="208"/>
      <c r="JXI140" s="209"/>
      <c r="JXJ140" s="207"/>
      <c r="JXK140" s="210"/>
      <c r="JXL140" s="209"/>
      <c r="JXM140" s="204"/>
      <c r="JXN140" s="204"/>
      <c r="JXO140" s="204"/>
      <c r="JXP140" s="199"/>
      <c r="JXQ140" s="167"/>
      <c r="JXR140" s="199"/>
      <c r="JXS140" s="200"/>
      <c r="JXT140" s="201"/>
      <c r="JXU140" s="202"/>
      <c r="JXV140" s="202"/>
      <c r="JXW140" s="202"/>
      <c r="JXX140" s="202"/>
      <c r="JXY140" s="203"/>
      <c r="JXZ140" s="204"/>
      <c r="JYA140" s="204"/>
      <c r="JYB140" s="204"/>
      <c r="JYC140" s="205"/>
      <c r="JYD140" s="206"/>
      <c r="JYE140" s="207"/>
      <c r="JYF140" s="207"/>
      <c r="JYG140" s="208"/>
      <c r="JYH140" s="209"/>
      <c r="JYI140" s="207"/>
      <c r="JYJ140" s="210"/>
      <c r="JYK140" s="209"/>
      <c r="JYL140" s="204"/>
      <c r="JYM140" s="204"/>
      <c r="JYN140" s="204"/>
      <c r="JYO140" s="199"/>
      <c r="JYP140" s="167"/>
      <c r="JYQ140" s="199"/>
      <c r="JYR140" s="200"/>
      <c r="JYS140" s="201"/>
      <c r="JYT140" s="202"/>
      <c r="JYU140" s="202"/>
      <c r="JYV140" s="202"/>
      <c r="JYW140" s="202"/>
      <c r="JYX140" s="203"/>
      <c r="JYY140" s="204"/>
      <c r="JYZ140" s="204"/>
      <c r="JZA140" s="204"/>
      <c r="JZB140" s="205"/>
      <c r="JZC140" s="206"/>
      <c r="JZD140" s="207"/>
      <c r="JZE140" s="207"/>
      <c r="JZF140" s="208"/>
      <c r="JZG140" s="209"/>
      <c r="JZH140" s="207"/>
      <c r="JZI140" s="210"/>
      <c r="JZJ140" s="209"/>
      <c r="JZK140" s="204"/>
      <c r="JZL140" s="204"/>
      <c r="JZM140" s="204"/>
      <c r="JZN140" s="199"/>
      <c r="JZO140" s="167"/>
      <c r="JZP140" s="199"/>
      <c r="JZQ140" s="200"/>
      <c r="JZR140" s="201"/>
      <c r="JZS140" s="202"/>
      <c r="JZT140" s="202"/>
      <c r="JZU140" s="202"/>
      <c r="JZV140" s="202"/>
      <c r="JZW140" s="203"/>
      <c r="JZX140" s="204"/>
      <c r="JZY140" s="204"/>
      <c r="JZZ140" s="204"/>
      <c r="KAA140" s="205"/>
      <c r="KAB140" s="206"/>
      <c r="KAC140" s="207"/>
      <c r="KAD140" s="207"/>
      <c r="KAE140" s="208"/>
      <c r="KAF140" s="209"/>
      <c r="KAG140" s="207"/>
      <c r="KAH140" s="210"/>
      <c r="KAI140" s="209"/>
      <c r="KAJ140" s="204"/>
      <c r="KAK140" s="204"/>
      <c r="KAL140" s="204"/>
      <c r="KAM140" s="199"/>
      <c r="KAN140" s="167"/>
      <c r="KAO140" s="199"/>
      <c r="KAP140" s="200"/>
      <c r="KAQ140" s="201"/>
      <c r="KAR140" s="202"/>
      <c r="KAS140" s="202"/>
      <c r="KAT140" s="202"/>
      <c r="KAU140" s="202"/>
      <c r="KAV140" s="203"/>
      <c r="KAW140" s="204"/>
      <c r="KAX140" s="204"/>
      <c r="KAY140" s="204"/>
      <c r="KAZ140" s="205"/>
      <c r="KBA140" s="206"/>
      <c r="KBB140" s="207"/>
      <c r="KBC140" s="207"/>
      <c r="KBD140" s="208"/>
      <c r="KBE140" s="209"/>
      <c r="KBF140" s="207"/>
      <c r="KBG140" s="210"/>
      <c r="KBH140" s="209"/>
      <c r="KBI140" s="204"/>
      <c r="KBJ140" s="204"/>
      <c r="KBK140" s="204"/>
      <c r="KBL140" s="199"/>
      <c r="KBM140" s="167"/>
      <c r="KBN140" s="199"/>
      <c r="KBO140" s="200"/>
      <c r="KBP140" s="201"/>
      <c r="KBQ140" s="202"/>
      <c r="KBR140" s="202"/>
      <c r="KBS140" s="202"/>
      <c r="KBT140" s="202"/>
      <c r="KBU140" s="203"/>
      <c r="KBV140" s="204"/>
      <c r="KBW140" s="204"/>
      <c r="KBX140" s="204"/>
      <c r="KBY140" s="205"/>
      <c r="KBZ140" s="206"/>
      <c r="KCA140" s="207"/>
      <c r="KCB140" s="207"/>
      <c r="KCC140" s="208"/>
      <c r="KCD140" s="209"/>
      <c r="KCE140" s="207"/>
      <c r="KCF140" s="210"/>
      <c r="KCG140" s="209"/>
      <c r="KCH140" s="204"/>
      <c r="KCI140" s="204"/>
      <c r="KCJ140" s="204"/>
      <c r="KCK140" s="199"/>
      <c r="KCL140" s="167"/>
      <c r="KCM140" s="199"/>
      <c r="KCN140" s="200"/>
      <c r="KCO140" s="201"/>
      <c r="KCP140" s="202"/>
      <c r="KCQ140" s="202"/>
      <c r="KCR140" s="202"/>
      <c r="KCS140" s="202"/>
      <c r="KCT140" s="203"/>
      <c r="KCU140" s="204"/>
      <c r="KCV140" s="204"/>
      <c r="KCW140" s="204"/>
      <c r="KCX140" s="205"/>
      <c r="KCY140" s="206"/>
      <c r="KCZ140" s="207"/>
      <c r="KDA140" s="207"/>
      <c r="KDB140" s="208"/>
      <c r="KDC140" s="209"/>
      <c r="KDD140" s="207"/>
      <c r="KDE140" s="210"/>
      <c r="KDF140" s="209"/>
      <c r="KDG140" s="204"/>
      <c r="KDH140" s="204"/>
      <c r="KDI140" s="204"/>
      <c r="KDJ140" s="199"/>
      <c r="KDK140" s="167"/>
      <c r="KDL140" s="199"/>
      <c r="KDM140" s="200"/>
      <c r="KDN140" s="201"/>
      <c r="KDO140" s="202"/>
      <c r="KDP140" s="202"/>
      <c r="KDQ140" s="202"/>
      <c r="KDR140" s="202"/>
      <c r="KDS140" s="203"/>
      <c r="KDT140" s="204"/>
      <c r="KDU140" s="204"/>
      <c r="KDV140" s="204"/>
      <c r="KDW140" s="205"/>
      <c r="KDX140" s="206"/>
      <c r="KDY140" s="207"/>
      <c r="KDZ140" s="207"/>
      <c r="KEA140" s="208"/>
      <c r="KEB140" s="209"/>
      <c r="KEC140" s="207"/>
      <c r="KED140" s="210"/>
      <c r="KEE140" s="209"/>
      <c r="KEF140" s="204"/>
      <c r="KEG140" s="204"/>
      <c r="KEH140" s="204"/>
      <c r="KEI140" s="199"/>
      <c r="KEJ140" s="167"/>
      <c r="KEK140" s="199"/>
      <c r="KEL140" s="200"/>
      <c r="KEM140" s="201"/>
      <c r="KEN140" s="202"/>
      <c r="KEO140" s="202"/>
      <c r="KEP140" s="202"/>
      <c r="KEQ140" s="202"/>
      <c r="KER140" s="203"/>
      <c r="KES140" s="204"/>
      <c r="KET140" s="204"/>
      <c r="KEU140" s="204"/>
      <c r="KEV140" s="205"/>
      <c r="KEW140" s="206"/>
      <c r="KEX140" s="207"/>
      <c r="KEY140" s="207"/>
      <c r="KEZ140" s="208"/>
      <c r="KFA140" s="209"/>
      <c r="KFB140" s="207"/>
      <c r="KFC140" s="210"/>
      <c r="KFD140" s="209"/>
      <c r="KFE140" s="204"/>
      <c r="KFF140" s="204"/>
      <c r="KFG140" s="204"/>
      <c r="KFH140" s="199"/>
      <c r="KFI140" s="167"/>
      <c r="KFJ140" s="199"/>
      <c r="KFK140" s="200"/>
      <c r="KFL140" s="201"/>
      <c r="KFM140" s="202"/>
      <c r="KFN140" s="202"/>
      <c r="KFO140" s="202"/>
      <c r="KFP140" s="202"/>
      <c r="KFQ140" s="203"/>
      <c r="KFR140" s="204"/>
      <c r="KFS140" s="204"/>
      <c r="KFT140" s="204"/>
      <c r="KFU140" s="205"/>
      <c r="KFV140" s="206"/>
      <c r="KFW140" s="207"/>
      <c r="KFX140" s="207"/>
      <c r="KFY140" s="208"/>
      <c r="KFZ140" s="209"/>
      <c r="KGA140" s="207"/>
      <c r="KGB140" s="210"/>
      <c r="KGC140" s="209"/>
      <c r="KGD140" s="204"/>
      <c r="KGE140" s="204"/>
      <c r="KGF140" s="204"/>
      <c r="KGG140" s="199"/>
      <c r="KGH140" s="167"/>
      <c r="KGI140" s="199"/>
      <c r="KGJ140" s="200"/>
      <c r="KGK140" s="201"/>
      <c r="KGL140" s="202"/>
      <c r="KGM140" s="202"/>
      <c r="KGN140" s="202"/>
      <c r="KGO140" s="202"/>
      <c r="KGP140" s="203"/>
      <c r="KGQ140" s="204"/>
      <c r="KGR140" s="204"/>
      <c r="KGS140" s="204"/>
      <c r="KGT140" s="205"/>
      <c r="KGU140" s="206"/>
      <c r="KGV140" s="207"/>
      <c r="KGW140" s="207"/>
      <c r="KGX140" s="208"/>
      <c r="KGY140" s="209"/>
      <c r="KGZ140" s="207"/>
      <c r="KHA140" s="210"/>
      <c r="KHB140" s="209"/>
      <c r="KHC140" s="204"/>
      <c r="KHD140" s="204"/>
      <c r="KHE140" s="204"/>
      <c r="KHF140" s="199"/>
      <c r="KHG140" s="167"/>
      <c r="KHH140" s="199"/>
      <c r="KHI140" s="200"/>
      <c r="KHJ140" s="201"/>
      <c r="KHK140" s="202"/>
      <c r="KHL140" s="202"/>
      <c r="KHM140" s="202"/>
      <c r="KHN140" s="202"/>
      <c r="KHO140" s="203"/>
      <c r="KHP140" s="204"/>
      <c r="KHQ140" s="204"/>
      <c r="KHR140" s="204"/>
      <c r="KHS140" s="205"/>
      <c r="KHT140" s="206"/>
      <c r="KHU140" s="207"/>
      <c r="KHV140" s="207"/>
      <c r="KHW140" s="208"/>
      <c r="KHX140" s="209"/>
      <c r="KHY140" s="207"/>
      <c r="KHZ140" s="210"/>
      <c r="KIA140" s="209"/>
      <c r="KIB140" s="204"/>
      <c r="KIC140" s="204"/>
      <c r="KID140" s="204"/>
      <c r="KIE140" s="199"/>
      <c r="KIF140" s="167"/>
      <c r="KIG140" s="199"/>
      <c r="KIH140" s="200"/>
      <c r="KII140" s="201"/>
      <c r="KIJ140" s="202"/>
      <c r="KIK140" s="202"/>
      <c r="KIL140" s="202"/>
      <c r="KIM140" s="202"/>
      <c r="KIN140" s="203"/>
      <c r="KIO140" s="204"/>
      <c r="KIP140" s="204"/>
      <c r="KIQ140" s="204"/>
      <c r="KIR140" s="205"/>
      <c r="KIS140" s="206"/>
      <c r="KIT140" s="207"/>
      <c r="KIU140" s="207"/>
      <c r="KIV140" s="208"/>
      <c r="KIW140" s="209"/>
      <c r="KIX140" s="207"/>
      <c r="KIY140" s="210"/>
      <c r="KIZ140" s="209"/>
      <c r="KJA140" s="204"/>
      <c r="KJB140" s="204"/>
      <c r="KJC140" s="204"/>
      <c r="KJD140" s="199"/>
      <c r="KJE140" s="167"/>
      <c r="KJF140" s="199"/>
      <c r="KJG140" s="200"/>
      <c r="KJH140" s="201"/>
      <c r="KJI140" s="202"/>
      <c r="KJJ140" s="202"/>
      <c r="KJK140" s="202"/>
      <c r="KJL140" s="202"/>
      <c r="KJM140" s="203"/>
      <c r="KJN140" s="204"/>
      <c r="KJO140" s="204"/>
      <c r="KJP140" s="204"/>
      <c r="KJQ140" s="205"/>
      <c r="KJR140" s="206"/>
      <c r="KJS140" s="207"/>
      <c r="KJT140" s="207"/>
      <c r="KJU140" s="208"/>
      <c r="KJV140" s="209"/>
      <c r="KJW140" s="207"/>
      <c r="KJX140" s="210"/>
      <c r="KJY140" s="209"/>
      <c r="KJZ140" s="204"/>
      <c r="KKA140" s="204"/>
      <c r="KKB140" s="204"/>
      <c r="KKC140" s="199"/>
      <c r="KKD140" s="167"/>
      <c r="KKE140" s="199"/>
      <c r="KKF140" s="200"/>
      <c r="KKG140" s="201"/>
      <c r="KKH140" s="202"/>
      <c r="KKI140" s="202"/>
      <c r="KKJ140" s="202"/>
      <c r="KKK140" s="202"/>
      <c r="KKL140" s="203"/>
      <c r="KKM140" s="204"/>
      <c r="KKN140" s="204"/>
      <c r="KKO140" s="204"/>
      <c r="KKP140" s="205"/>
      <c r="KKQ140" s="206"/>
      <c r="KKR140" s="207"/>
      <c r="KKS140" s="207"/>
      <c r="KKT140" s="208"/>
      <c r="KKU140" s="209"/>
      <c r="KKV140" s="207"/>
      <c r="KKW140" s="210"/>
      <c r="KKX140" s="209"/>
      <c r="KKY140" s="204"/>
      <c r="KKZ140" s="204"/>
      <c r="KLA140" s="204"/>
      <c r="KLB140" s="199"/>
      <c r="KLC140" s="167"/>
      <c r="KLD140" s="199"/>
      <c r="KLE140" s="200"/>
      <c r="KLF140" s="201"/>
      <c r="KLG140" s="202"/>
      <c r="KLH140" s="202"/>
      <c r="KLI140" s="202"/>
      <c r="KLJ140" s="202"/>
      <c r="KLK140" s="203"/>
      <c r="KLL140" s="204"/>
      <c r="KLM140" s="204"/>
      <c r="KLN140" s="204"/>
      <c r="KLO140" s="205"/>
      <c r="KLP140" s="206"/>
      <c r="KLQ140" s="207"/>
      <c r="KLR140" s="207"/>
      <c r="KLS140" s="208"/>
      <c r="KLT140" s="209"/>
      <c r="KLU140" s="207"/>
      <c r="KLV140" s="210"/>
      <c r="KLW140" s="209"/>
      <c r="KLX140" s="204"/>
      <c r="KLY140" s="204"/>
      <c r="KLZ140" s="204"/>
      <c r="KMA140" s="199"/>
      <c r="KMB140" s="167"/>
      <c r="KMC140" s="199"/>
      <c r="KMD140" s="200"/>
      <c r="KME140" s="201"/>
      <c r="KMF140" s="202"/>
      <c r="KMG140" s="202"/>
      <c r="KMH140" s="202"/>
      <c r="KMI140" s="202"/>
      <c r="KMJ140" s="203"/>
      <c r="KMK140" s="204"/>
      <c r="KML140" s="204"/>
      <c r="KMM140" s="204"/>
      <c r="KMN140" s="205"/>
      <c r="KMO140" s="206"/>
      <c r="KMP140" s="207"/>
      <c r="KMQ140" s="207"/>
      <c r="KMR140" s="208"/>
      <c r="KMS140" s="209"/>
      <c r="KMT140" s="207"/>
      <c r="KMU140" s="210"/>
      <c r="KMV140" s="209"/>
      <c r="KMW140" s="204"/>
      <c r="KMX140" s="204"/>
      <c r="KMY140" s="204"/>
      <c r="KMZ140" s="199"/>
      <c r="KNA140" s="167"/>
      <c r="KNB140" s="199"/>
      <c r="KNC140" s="200"/>
      <c r="KND140" s="201"/>
      <c r="KNE140" s="202"/>
      <c r="KNF140" s="202"/>
      <c r="KNG140" s="202"/>
      <c r="KNH140" s="202"/>
      <c r="KNI140" s="203"/>
      <c r="KNJ140" s="204"/>
      <c r="KNK140" s="204"/>
      <c r="KNL140" s="204"/>
      <c r="KNM140" s="205"/>
      <c r="KNN140" s="206"/>
      <c r="KNO140" s="207"/>
      <c r="KNP140" s="207"/>
      <c r="KNQ140" s="208"/>
      <c r="KNR140" s="209"/>
      <c r="KNS140" s="207"/>
      <c r="KNT140" s="210"/>
      <c r="KNU140" s="209"/>
      <c r="KNV140" s="204"/>
      <c r="KNW140" s="204"/>
      <c r="KNX140" s="204"/>
      <c r="KNY140" s="199"/>
      <c r="KNZ140" s="167"/>
      <c r="KOA140" s="199"/>
      <c r="KOB140" s="200"/>
      <c r="KOC140" s="201"/>
      <c r="KOD140" s="202"/>
      <c r="KOE140" s="202"/>
      <c r="KOF140" s="202"/>
      <c r="KOG140" s="202"/>
      <c r="KOH140" s="203"/>
      <c r="KOI140" s="204"/>
      <c r="KOJ140" s="204"/>
      <c r="KOK140" s="204"/>
      <c r="KOL140" s="205"/>
      <c r="KOM140" s="206"/>
      <c r="KON140" s="207"/>
      <c r="KOO140" s="207"/>
      <c r="KOP140" s="208"/>
      <c r="KOQ140" s="209"/>
      <c r="KOR140" s="207"/>
      <c r="KOS140" s="210"/>
      <c r="KOT140" s="209"/>
      <c r="KOU140" s="204"/>
      <c r="KOV140" s="204"/>
      <c r="KOW140" s="204"/>
      <c r="KOX140" s="199"/>
      <c r="KOY140" s="167"/>
      <c r="KOZ140" s="199"/>
      <c r="KPA140" s="200"/>
      <c r="KPB140" s="201"/>
      <c r="KPC140" s="202"/>
      <c r="KPD140" s="202"/>
      <c r="KPE140" s="202"/>
      <c r="KPF140" s="202"/>
      <c r="KPG140" s="203"/>
      <c r="KPH140" s="204"/>
      <c r="KPI140" s="204"/>
      <c r="KPJ140" s="204"/>
      <c r="KPK140" s="205"/>
      <c r="KPL140" s="206"/>
      <c r="KPM140" s="207"/>
      <c r="KPN140" s="207"/>
      <c r="KPO140" s="208"/>
      <c r="KPP140" s="209"/>
      <c r="KPQ140" s="207"/>
      <c r="KPR140" s="210"/>
      <c r="KPS140" s="209"/>
      <c r="KPT140" s="204"/>
      <c r="KPU140" s="204"/>
      <c r="KPV140" s="204"/>
      <c r="KPW140" s="199"/>
      <c r="KPX140" s="167"/>
      <c r="KPY140" s="199"/>
      <c r="KPZ140" s="200"/>
      <c r="KQA140" s="201"/>
      <c r="KQB140" s="202"/>
      <c r="KQC140" s="202"/>
      <c r="KQD140" s="202"/>
      <c r="KQE140" s="202"/>
      <c r="KQF140" s="203"/>
      <c r="KQG140" s="204"/>
      <c r="KQH140" s="204"/>
      <c r="KQI140" s="204"/>
      <c r="KQJ140" s="205"/>
      <c r="KQK140" s="206"/>
      <c r="KQL140" s="207"/>
      <c r="KQM140" s="207"/>
      <c r="KQN140" s="208"/>
      <c r="KQO140" s="209"/>
      <c r="KQP140" s="207"/>
      <c r="KQQ140" s="210"/>
      <c r="KQR140" s="209"/>
      <c r="KQS140" s="204"/>
      <c r="KQT140" s="204"/>
      <c r="KQU140" s="204"/>
      <c r="KQV140" s="199"/>
      <c r="KQW140" s="167"/>
      <c r="KQX140" s="199"/>
      <c r="KQY140" s="200"/>
      <c r="KQZ140" s="201"/>
      <c r="KRA140" s="202"/>
      <c r="KRB140" s="202"/>
      <c r="KRC140" s="202"/>
      <c r="KRD140" s="202"/>
      <c r="KRE140" s="203"/>
      <c r="KRF140" s="204"/>
      <c r="KRG140" s="204"/>
      <c r="KRH140" s="204"/>
      <c r="KRI140" s="205"/>
      <c r="KRJ140" s="206"/>
      <c r="KRK140" s="207"/>
      <c r="KRL140" s="207"/>
      <c r="KRM140" s="208"/>
      <c r="KRN140" s="209"/>
      <c r="KRO140" s="207"/>
      <c r="KRP140" s="210"/>
      <c r="KRQ140" s="209"/>
      <c r="KRR140" s="204"/>
      <c r="KRS140" s="204"/>
      <c r="KRT140" s="204"/>
      <c r="KRU140" s="199"/>
      <c r="KRV140" s="167"/>
      <c r="KRW140" s="199"/>
      <c r="KRX140" s="200"/>
      <c r="KRY140" s="201"/>
      <c r="KRZ140" s="202"/>
      <c r="KSA140" s="202"/>
      <c r="KSB140" s="202"/>
      <c r="KSC140" s="202"/>
      <c r="KSD140" s="203"/>
      <c r="KSE140" s="204"/>
      <c r="KSF140" s="204"/>
      <c r="KSG140" s="204"/>
      <c r="KSH140" s="205"/>
      <c r="KSI140" s="206"/>
      <c r="KSJ140" s="207"/>
      <c r="KSK140" s="207"/>
      <c r="KSL140" s="208"/>
      <c r="KSM140" s="209"/>
      <c r="KSN140" s="207"/>
      <c r="KSO140" s="210"/>
      <c r="KSP140" s="209"/>
      <c r="KSQ140" s="204"/>
      <c r="KSR140" s="204"/>
      <c r="KSS140" s="204"/>
      <c r="KST140" s="199"/>
      <c r="KSU140" s="167"/>
      <c r="KSV140" s="199"/>
      <c r="KSW140" s="200"/>
      <c r="KSX140" s="201"/>
      <c r="KSY140" s="202"/>
      <c r="KSZ140" s="202"/>
      <c r="KTA140" s="202"/>
      <c r="KTB140" s="202"/>
      <c r="KTC140" s="203"/>
      <c r="KTD140" s="204"/>
      <c r="KTE140" s="204"/>
      <c r="KTF140" s="204"/>
      <c r="KTG140" s="205"/>
      <c r="KTH140" s="206"/>
      <c r="KTI140" s="207"/>
      <c r="KTJ140" s="207"/>
      <c r="KTK140" s="208"/>
      <c r="KTL140" s="209"/>
      <c r="KTM140" s="207"/>
      <c r="KTN140" s="210"/>
      <c r="KTO140" s="209"/>
      <c r="KTP140" s="204"/>
      <c r="KTQ140" s="204"/>
      <c r="KTR140" s="204"/>
      <c r="KTS140" s="199"/>
      <c r="KTT140" s="167"/>
      <c r="KTU140" s="199"/>
      <c r="KTV140" s="200"/>
      <c r="KTW140" s="201"/>
      <c r="KTX140" s="202"/>
      <c r="KTY140" s="202"/>
      <c r="KTZ140" s="202"/>
      <c r="KUA140" s="202"/>
      <c r="KUB140" s="203"/>
      <c r="KUC140" s="204"/>
      <c r="KUD140" s="204"/>
      <c r="KUE140" s="204"/>
      <c r="KUF140" s="205"/>
      <c r="KUG140" s="206"/>
      <c r="KUH140" s="207"/>
      <c r="KUI140" s="207"/>
      <c r="KUJ140" s="208"/>
      <c r="KUK140" s="209"/>
      <c r="KUL140" s="207"/>
      <c r="KUM140" s="210"/>
      <c r="KUN140" s="209"/>
      <c r="KUO140" s="204"/>
      <c r="KUP140" s="204"/>
      <c r="KUQ140" s="204"/>
      <c r="KUR140" s="199"/>
      <c r="KUS140" s="167"/>
      <c r="KUT140" s="199"/>
      <c r="KUU140" s="200"/>
      <c r="KUV140" s="201"/>
      <c r="KUW140" s="202"/>
      <c r="KUX140" s="202"/>
      <c r="KUY140" s="202"/>
      <c r="KUZ140" s="202"/>
      <c r="KVA140" s="203"/>
      <c r="KVB140" s="204"/>
      <c r="KVC140" s="204"/>
      <c r="KVD140" s="204"/>
      <c r="KVE140" s="205"/>
      <c r="KVF140" s="206"/>
      <c r="KVG140" s="207"/>
      <c r="KVH140" s="207"/>
      <c r="KVI140" s="208"/>
      <c r="KVJ140" s="209"/>
      <c r="KVK140" s="207"/>
      <c r="KVL140" s="210"/>
      <c r="KVM140" s="209"/>
      <c r="KVN140" s="204"/>
      <c r="KVO140" s="204"/>
      <c r="KVP140" s="204"/>
      <c r="KVQ140" s="199"/>
      <c r="KVR140" s="167"/>
      <c r="KVS140" s="199"/>
      <c r="KVT140" s="200"/>
      <c r="KVU140" s="201"/>
      <c r="KVV140" s="202"/>
      <c r="KVW140" s="202"/>
      <c r="KVX140" s="202"/>
      <c r="KVY140" s="202"/>
      <c r="KVZ140" s="203"/>
      <c r="KWA140" s="204"/>
      <c r="KWB140" s="204"/>
      <c r="KWC140" s="204"/>
      <c r="KWD140" s="205"/>
      <c r="KWE140" s="206"/>
      <c r="KWF140" s="207"/>
      <c r="KWG140" s="207"/>
      <c r="KWH140" s="208"/>
      <c r="KWI140" s="209"/>
      <c r="KWJ140" s="207"/>
      <c r="KWK140" s="210"/>
      <c r="KWL140" s="209"/>
      <c r="KWM140" s="204"/>
      <c r="KWN140" s="204"/>
      <c r="KWO140" s="204"/>
      <c r="KWP140" s="199"/>
      <c r="KWQ140" s="167"/>
      <c r="KWR140" s="199"/>
      <c r="KWS140" s="200"/>
      <c r="KWT140" s="201"/>
      <c r="KWU140" s="202"/>
      <c r="KWV140" s="202"/>
      <c r="KWW140" s="202"/>
      <c r="KWX140" s="202"/>
      <c r="KWY140" s="203"/>
      <c r="KWZ140" s="204"/>
      <c r="KXA140" s="204"/>
      <c r="KXB140" s="204"/>
      <c r="KXC140" s="205"/>
      <c r="KXD140" s="206"/>
      <c r="KXE140" s="207"/>
      <c r="KXF140" s="207"/>
      <c r="KXG140" s="208"/>
      <c r="KXH140" s="209"/>
      <c r="KXI140" s="207"/>
      <c r="KXJ140" s="210"/>
      <c r="KXK140" s="209"/>
      <c r="KXL140" s="204"/>
      <c r="KXM140" s="204"/>
      <c r="KXN140" s="204"/>
      <c r="KXO140" s="199"/>
      <c r="KXP140" s="167"/>
      <c r="KXQ140" s="199"/>
      <c r="KXR140" s="200"/>
      <c r="KXS140" s="201"/>
      <c r="KXT140" s="202"/>
      <c r="KXU140" s="202"/>
      <c r="KXV140" s="202"/>
      <c r="KXW140" s="202"/>
      <c r="KXX140" s="203"/>
      <c r="KXY140" s="204"/>
      <c r="KXZ140" s="204"/>
      <c r="KYA140" s="204"/>
      <c r="KYB140" s="205"/>
      <c r="KYC140" s="206"/>
      <c r="KYD140" s="207"/>
      <c r="KYE140" s="207"/>
      <c r="KYF140" s="208"/>
      <c r="KYG140" s="209"/>
      <c r="KYH140" s="207"/>
      <c r="KYI140" s="210"/>
      <c r="KYJ140" s="209"/>
      <c r="KYK140" s="204"/>
      <c r="KYL140" s="204"/>
      <c r="KYM140" s="204"/>
      <c r="KYN140" s="199"/>
      <c r="KYO140" s="167"/>
      <c r="KYP140" s="199"/>
      <c r="KYQ140" s="200"/>
      <c r="KYR140" s="201"/>
      <c r="KYS140" s="202"/>
      <c r="KYT140" s="202"/>
      <c r="KYU140" s="202"/>
      <c r="KYV140" s="202"/>
      <c r="KYW140" s="203"/>
      <c r="KYX140" s="204"/>
      <c r="KYY140" s="204"/>
      <c r="KYZ140" s="204"/>
      <c r="KZA140" s="205"/>
      <c r="KZB140" s="206"/>
      <c r="KZC140" s="207"/>
      <c r="KZD140" s="207"/>
      <c r="KZE140" s="208"/>
      <c r="KZF140" s="209"/>
      <c r="KZG140" s="207"/>
      <c r="KZH140" s="210"/>
      <c r="KZI140" s="209"/>
      <c r="KZJ140" s="204"/>
      <c r="KZK140" s="204"/>
      <c r="KZL140" s="204"/>
      <c r="KZM140" s="199"/>
      <c r="KZN140" s="167"/>
      <c r="KZO140" s="199"/>
      <c r="KZP140" s="200"/>
      <c r="KZQ140" s="201"/>
      <c r="KZR140" s="202"/>
      <c r="KZS140" s="202"/>
      <c r="KZT140" s="202"/>
      <c r="KZU140" s="202"/>
      <c r="KZV140" s="203"/>
      <c r="KZW140" s="204"/>
      <c r="KZX140" s="204"/>
      <c r="KZY140" s="204"/>
      <c r="KZZ140" s="205"/>
      <c r="LAA140" s="206"/>
      <c r="LAB140" s="207"/>
      <c r="LAC140" s="207"/>
      <c r="LAD140" s="208"/>
      <c r="LAE140" s="209"/>
      <c r="LAF140" s="207"/>
      <c r="LAG140" s="210"/>
      <c r="LAH140" s="209"/>
      <c r="LAI140" s="204"/>
      <c r="LAJ140" s="204"/>
      <c r="LAK140" s="204"/>
      <c r="LAL140" s="199"/>
      <c r="LAM140" s="167"/>
      <c r="LAN140" s="199"/>
      <c r="LAO140" s="200"/>
      <c r="LAP140" s="201"/>
      <c r="LAQ140" s="202"/>
      <c r="LAR140" s="202"/>
      <c r="LAS140" s="202"/>
      <c r="LAT140" s="202"/>
      <c r="LAU140" s="203"/>
      <c r="LAV140" s="204"/>
      <c r="LAW140" s="204"/>
      <c r="LAX140" s="204"/>
      <c r="LAY140" s="205"/>
      <c r="LAZ140" s="206"/>
      <c r="LBA140" s="207"/>
      <c r="LBB140" s="207"/>
      <c r="LBC140" s="208"/>
      <c r="LBD140" s="209"/>
      <c r="LBE140" s="207"/>
      <c r="LBF140" s="210"/>
      <c r="LBG140" s="209"/>
      <c r="LBH140" s="204"/>
      <c r="LBI140" s="204"/>
      <c r="LBJ140" s="204"/>
      <c r="LBK140" s="199"/>
      <c r="LBL140" s="167"/>
      <c r="LBM140" s="199"/>
      <c r="LBN140" s="200"/>
      <c r="LBO140" s="201"/>
      <c r="LBP140" s="202"/>
      <c r="LBQ140" s="202"/>
      <c r="LBR140" s="202"/>
      <c r="LBS140" s="202"/>
      <c r="LBT140" s="203"/>
      <c r="LBU140" s="204"/>
      <c r="LBV140" s="204"/>
      <c r="LBW140" s="204"/>
      <c r="LBX140" s="205"/>
      <c r="LBY140" s="206"/>
      <c r="LBZ140" s="207"/>
      <c r="LCA140" s="207"/>
      <c r="LCB140" s="208"/>
      <c r="LCC140" s="209"/>
      <c r="LCD140" s="207"/>
      <c r="LCE140" s="210"/>
      <c r="LCF140" s="209"/>
      <c r="LCG140" s="204"/>
      <c r="LCH140" s="204"/>
      <c r="LCI140" s="204"/>
      <c r="LCJ140" s="199"/>
      <c r="LCK140" s="167"/>
      <c r="LCL140" s="199"/>
      <c r="LCM140" s="200"/>
      <c r="LCN140" s="201"/>
      <c r="LCO140" s="202"/>
      <c r="LCP140" s="202"/>
      <c r="LCQ140" s="202"/>
      <c r="LCR140" s="202"/>
      <c r="LCS140" s="203"/>
      <c r="LCT140" s="204"/>
      <c r="LCU140" s="204"/>
      <c r="LCV140" s="204"/>
      <c r="LCW140" s="205"/>
      <c r="LCX140" s="206"/>
      <c r="LCY140" s="207"/>
      <c r="LCZ140" s="207"/>
      <c r="LDA140" s="208"/>
      <c r="LDB140" s="209"/>
      <c r="LDC140" s="207"/>
      <c r="LDD140" s="210"/>
      <c r="LDE140" s="209"/>
      <c r="LDF140" s="204"/>
      <c r="LDG140" s="204"/>
      <c r="LDH140" s="204"/>
      <c r="LDI140" s="199"/>
      <c r="LDJ140" s="167"/>
      <c r="LDK140" s="199"/>
      <c r="LDL140" s="200"/>
      <c r="LDM140" s="201"/>
      <c r="LDN140" s="202"/>
      <c r="LDO140" s="202"/>
      <c r="LDP140" s="202"/>
      <c r="LDQ140" s="202"/>
      <c r="LDR140" s="203"/>
      <c r="LDS140" s="204"/>
      <c r="LDT140" s="204"/>
      <c r="LDU140" s="204"/>
      <c r="LDV140" s="205"/>
      <c r="LDW140" s="206"/>
      <c r="LDX140" s="207"/>
      <c r="LDY140" s="207"/>
      <c r="LDZ140" s="208"/>
      <c r="LEA140" s="209"/>
      <c r="LEB140" s="207"/>
      <c r="LEC140" s="210"/>
      <c r="LED140" s="209"/>
      <c r="LEE140" s="204"/>
      <c r="LEF140" s="204"/>
      <c r="LEG140" s="204"/>
      <c r="LEH140" s="199"/>
      <c r="LEI140" s="167"/>
      <c r="LEJ140" s="199"/>
      <c r="LEK140" s="200"/>
      <c r="LEL140" s="201"/>
      <c r="LEM140" s="202"/>
      <c r="LEN140" s="202"/>
      <c r="LEO140" s="202"/>
      <c r="LEP140" s="202"/>
      <c r="LEQ140" s="203"/>
      <c r="LER140" s="204"/>
      <c r="LES140" s="204"/>
      <c r="LET140" s="204"/>
      <c r="LEU140" s="205"/>
      <c r="LEV140" s="206"/>
      <c r="LEW140" s="207"/>
      <c r="LEX140" s="207"/>
      <c r="LEY140" s="208"/>
      <c r="LEZ140" s="209"/>
      <c r="LFA140" s="207"/>
      <c r="LFB140" s="210"/>
      <c r="LFC140" s="209"/>
      <c r="LFD140" s="204"/>
      <c r="LFE140" s="204"/>
      <c r="LFF140" s="204"/>
      <c r="LFG140" s="199"/>
      <c r="LFH140" s="167"/>
      <c r="LFI140" s="199"/>
      <c r="LFJ140" s="200"/>
      <c r="LFK140" s="201"/>
      <c r="LFL140" s="202"/>
      <c r="LFM140" s="202"/>
      <c r="LFN140" s="202"/>
      <c r="LFO140" s="202"/>
      <c r="LFP140" s="203"/>
      <c r="LFQ140" s="204"/>
      <c r="LFR140" s="204"/>
      <c r="LFS140" s="204"/>
      <c r="LFT140" s="205"/>
      <c r="LFU140" s="206"/>
      <c r="LFV140" s="207"/>
      <c r="LFW140" s="207"/>
      <c r="LFX140" s="208"/>
      <c r="LFY140" s="209"/>
      <c r="LFZ140" s="207"/>
      <c r="LGA140" s="210"/>
      <c r="LGB140" s="209"/>
      <c r="LGC140" s="204"/>
      <c r="LGD140" s="204"/>
      <c r="LGE140" s="204"/>
      <c r="LGF140" s="199"/>
      <c r="LGG140" s="167"/>
      <c r="LGH140" s="199"/>
      <c r="LGI140" s="200"/>
      <c r="LGJ140" s="201"/>
      <c r="LGK140" s="202"/>
      <c r="LGL140" s="202"/>
      <c r="LGM140" s="202"/>
      <c r="LGN140" s="202"/>
      <c r="LGO140" s="203"/>
      <c r="LGP140" s="204"/>
      <c r="LGQ140" s="204"/>
      <c r="LGR140" s="204"/>
      <c r="LGS140" s="205"/>
      <c r="LGT140" s="206"/>
      <c r="LGU140" s="207"/>
      <c r="LGV140" s="207"/>
      <c r="LGW140" s="208"/>
      <c r="LGX140" s="209"/>
      <c r="LGY140" s="207"/>
      <c r="LGZ140" s="210"/>
      <c r="LHA140" s="209"/>
      <c r="LHB140" s="204"/>
      <c r="LHC140" s="204"/>
      <c r="LHD140" s="204"/>
      <c r="LHE140" s="199"/>
      <c r="LHF140" s="167"/>
      <c r="LHG140" s="199"/>
      <c r="LHH140" s="200"/>
      <c r="LHI140" s="201"/>
      <c r="LHJ140" s="202"/>
      <c r="LHK140" s="202"/>
      <c r="LHL140" s="202"/>
      <c r="LHM140" s="202"/>
      <c r="LHN140" s="203"/>
      <c r="LHO140" s="204"/>
      <c r="LHP140" s="204"/>
      <c r="LHQ140" s="204"/>
      <c r="LHR140" s="205"/>
      <c r="LHS140" s="206"/>
      <c r="LHT140" s="207"/>
      <c r="LHU140" s="207"/>
      <c r="LHV140" s="208"/>
      <c r="LHW140" s="209"/>
      <c r="LHX140" s="207"/>
      <c r="LHY140" s="210"/>
      <c r="LHZ140" s="209"/>
      <c r="LIA140" s="204"/>
      <c r="LIB140" s="204"/>
      <c r="LIC140" s="204"/>
      <c r="LID140" s="199"/>
      <c r="LIE140" s="167"/>
      <c r="LIF140" s="199"/>
      <c r="LIG140" s="200"/>
      <c r="LIH140" s="201"/>
      <c r="LII140" s="202"/>
      <c r="LIJ140" s="202"/>
      <c r="LIK140" s="202"/>
      <c r="LIL140" s="202"/>
      <c r="LIM140" s="203"/>
      <c r="LIN140" s="204"/>
      <c r="LIO140" s="204"/>
      <c r="LIP140" s="204"/>
      <c r="LIQ140" s="205"/>
      <c r="LIR140" s="206"/>
      <c r="LIS140" s="207"/>
      <c r="LIT140" s="207"/>
      <c r="LIU140" s="208"/>
      <c r="LIV140" s="209"/>
      <c r="LIW140" s="207"/>
      <c r="LIX140" s="210"/>
      <c r="LIY140" s="209"/>
      <c r="LIZ140" s="204"/>
      <c r="LJA140" s="204"/>
      <c r="LJB140" s="204"/>
      <c r="LJC140" s="199"/>
      <c r="LJD140" s="167"/>
      <c r="LJE140" s="199"/>
      <c r="LJF140" s="200"/>
      <c r="LJG140" s="201"/>
      <c r="LJH140" s="202"/>
      <c r="LJI140" s="202"/>
      <c r="LJJ140" s="202"/>
      <c r="LJK140" s="202"/>
      <c r="LJL140" s="203"/>
      <c r="LJM140" s="204"/>
      <c r="LJN140" s="204"/>
      <c r="LJO140" s="204"/>
      <c r="LJP140" s="205"/>
      <c r="LJQ140" s="206"/>
      <c r="LJR140" s="207"/>
      <c r="LJS140" s="207"/>
      <c r="LJT140" s="208"/>
      <c r="LJU140" s="209"/>
      <c r="LJV140" s="207"/>
      <c r="LJW140" s="210"/>
      <c r="LJX140" s="209"/>
      <c r="LJY140" s="204"/>
      <c r="LJZ140" s="204"/>
      <c r="LKA140" s="204"/>
      <c r="LKB140" s="199"/>
      <c r="LKC140" s="167"/>
      <c r="LKD140" s="199"/>
      <c r="LKE140" s="200"/>
      <c r="LKF140" s="201"/>
      <c r="LKG140" s="202"/>
      <c r="LKH140" s="202"/>
      <c r="LKI140" s="202"/>
      <c r="LKJ140" s="202"/>
      <c r="LKK140" s="203"/>
      <c r="LKL140" s="204"/>
      <c r="LKM140" s="204"/>
      <c r="LKN140" s="204"/>
      <c r="LKO140" s="205"/>
      <c r="LKP140" s="206"/>
      <c r="LKQ140" s="207"/>
      <c r="LKR140" s="207"/>
      <c r="LKS140" s="208"/>
      <c r="LKT140" s="209"/>
      <c r="LKU140" s="207"/>
      <c r="LKV140" s="210"/>
      <c r="LKW140" s="209"/>
      <c r="LKX140" s="204"/>
      <c r="LKY140" s="204"/>
      <c r="LKZ140" s="204"/>
      <c r="LLA140" s="199"/>
      <c r="LLB140" s="167"/>
      <c r="LLC140" s="199"/>
      <c r="LLD140" s="200"/>
      <c r="LLE140" s="201"/>
      <c r="LLF140" s="202"/>
      <c r="LLG140" s="202"/>
      <c r="LLH140" s="202"/>
      <c r="LLI140" s="202"/>
      <c r="LLJ140" s="203"/>
      <c r="LLK140" s="204"/>
      <c r="LLL140" s="204"/>
      <c r="LLM140" s="204"/>
      <c r="LLN140" s="205"/>
      <c r="LLO140" s="206"/>
      <c r="LLP140" s="207"/>
      <c r="LLQ140" s="207"/>
      <c r="LLR140" s="208"/>
      <c r="LLS140" s="209"/>
      <c r="LLT140" s="207"/>
      <c r="LLU140" s="210"/>
      <c r="LLV140" s="209"/>
      <c r="LLW140" s="204"/>
      <c r="LLX140" s="204"/>
      <c r="LLY140" s="204"/>
      <c r="LLZ140" s="199"/>
      <c r="LMA140" s="167"/>
      <c r="LMB140" s="199"/>
      <c r="LMC140" s="200"/>
      <c r="LMD140" s="201"/>
      <c r="LME140" s="202"/>
      <c r="LMF140" s="202"/>
      <c r="LMG140" s="202"/>
      <c r="LMH140" s="202"/>
      <c r="LMI140" s="203"/>
      <c r="LMJ140" s="204"/>
      <c r="LMK140" s="204"/>
      <c r="LML140" s="204"/>
      <c r="LMM140" s="205"/>
      <c r="LMN140" s="206"/>
      <c r="LMO140" s="207"/>
      <c r="LMP140" s="207"/>
      <c r="LMQ140" s="208"/>
      <c r="LMR140" s="209"/>
      <c r="LMS140" s="207"/>
      <c r="LMT140" s="210"/>
      <c r="LMU140" s="209"/>
      <c r="LMV140" s="204"/>
      <c r="LMW140" s="204"/>
      <c r="LMX140" s="204"/>
      <c r="LMY140" s="199"/>
      <c r="LMZ140" s="167"/>
      <c r="LNA140" s="199"/>
      <c r="LNB140" s="200"/>
      <c r="LNC140" s="201"/>
      <c r="LND140" s="202"/>
      <c r="LNE140" s="202"/>
      <c r="LNF140" s="202"/>
      <c r="LNG140" s="202"/>
      <c r="LNH140" s="203"/>
      <c r="LNI140" s="204"/>
      <c r="LNJ140" s="204"/>
      <c r="LNK140" s="204"/>
      <c r="LNL140" s="205"/>
      <c r="LNM140" s="206"/>
      <c r="LNN140" s="207"/>
      <c r="LNO140" s="207"/>
      <c r="LNP140" s="208"/>
      <c r="LNQ140" s="209"/>
      <c r="LNR140" s="207"/>
      <c r="LNS140" s="210"/>
      <c r="LNT140" s="209"/>
      <c r="LNU140" s="204"/>
      <c r="LNV140" s="204"/>
      <c r="LNW140" s="204"/>
      <c r="LNX140" s="199"/>
      <c r="LNY140" s="167"/>
      <c r="LNZ140" s="199"/>
      <c r="LOA140" s="200"/>
      <c r="LOB140" s="201"/>
      <c r="LOC140" s="202"/>
      <c r="LOD140" s="202"/>
      <c r="LOE140" s="202"/>
      <c r="LOF140" s="202"/>
      <c r="LOG140" s="203"/>
      <c r="LOH140" s="204"/>
      <c r="LOI140" s="204"/>
      <c r="LOJ140" s="204"/>
      <c r="LOK140" s="205"/>
      <c r="LOL140" s="206"/>
      <c r="LOM140" s="207"/>
      <c r="LON140" s="207"/>
      <c r="LOO140" s="208"/>
      <c r="LOP140" s="209"/>
      <c r="LOQ140" s="207"/>
      <c r="LOR140" s="210"/>
      <c r="LOS140" s="209"/>
      <c r="LOT140" s="204"/>
      <c r="LOU140" s="204"/>
      <c r="LOV140" s="204"/>
      <c r="LOW140" s="199"/>
      <c r="LOX140" s="167"/>
      <c r="LOY140" s="199"/>
      <c r="LOZ140" s="200"/>
      <c r="LPA140" s="201"/>
      <c r="LPB140" s="202"/>
      <c r="LPC140" s="202"/>
      <c r="LPD140" s="202"/>
      <c r="LPE140" s="202"/>
      <c r="LPF140" s="203"/>
      <c r="LPG140" s="204"/>
      <c r="LPH140" s="204"/>
      <c r="LPI140" s="204"/>
      <c r="LPJ140" s="205"/>
      <c r="LPK140" s="206"/>
      <c r="LPL140" s="207"/>
      <c r="LPM140" s="207"/>
      <c r="LPN140" s="208"/>
      <c r="LPO140" s="209"/>
      <c r="LPP140" s="207"/>
      <c r="LPQ140" s="210"/>
      <c r="LPR140" s="209"/>
      <c r="LPS140" s="204"/>
      <c r="LPT140" s="204"/>
      <c r="LPU140" s="204"/>
      <c r="LPV140" s="199"/>
      <c r="LPW140" s="167"/>
      <c r="LPX140" s="199"/>
      <c r="LPY140" s="200"/>
      <c r="LPZ140" s="201"/>
      <c r="LQA140" s="202"/>
      <c r="LQB140" s="202"/>
      <c r="LQC140" s="202"/>
      <c r="LQD140" s="202"/>
      <c r="LQE140" s="203"/>
      <c r="LQF140" s="204"/>
      <c r="LQG140" s="204"/>
      <c r="LQH140" s="204"/>
      <c r="LQI140" s="205"/>
      <c r="LQJ140" s="206"/>
      <c r="LQK140" s="207"/>
      <c r="LQL140" s="207"/>
      <c r="LQM140" s="208"/>
      <c r="LQN140" s="209"/>
      <c r="LQO140" s="207"/>
      <c r="LQP140" s="210"/>
      <c r="LQQ140" s="209"/>
      <c r="LQR140" s="204"/>
      <c r="LQS140" s="204"/>
      <c r="LQT140" s="204"/>
      <c r="LQU140" s="199"/>
      <c r="LQV140" s="167"/>
      <c r="LQW140" s="199"/>
      <c r="LQX140" s="200"/>
      <c r="LQY140" s="201"/>
      <c r="LQZ140" s="202"/>
      <c r="LRA140" s="202"/>
      <c r="LRB140" s="202"/>
      <c r="LRC140" s="202"/>
      <c r="LRD140" s="203"/>
      <c r="LRE140" s="204"/>
      <c r="LRF140" s="204"/>
      <c r="LRG140" s="204"/>
      <c r="LRH140" s="205"/>
      <c r="LRI140" s="206"/>
      <c r="LRJ140" s="207"/>
      <c r="LRK140" s="207"/>
      <c r="LRL140" s="208"/>
      <c r="LRM140" s="209"/>
      <c r="LRN140" s="207"/>
      <c r="LRO140" s="210"/>
      <c r="LRP140" s="209"/>
      <c r="LRQ140" s="204"/>
      <c r="LRR140" s="204"/>
      <c r="LRS140" s="204"/>
      <c r="LRT140" s="199"/>
      <c r="LRU140" s="167"/>
      <c r="LRV140" s="199"/>
      <c r="LRW140" s="200"/>
      <c r="LRX140" s="201"/>
      <c r="LRY140" s="202"/>
      <c r="LRZ140" s="202"/>
      <c r="LSA140" s="202"/>
      <c r="LSB140" s="202"/>
      <c r="LSC140" s="203"/>
      <c r="LSD140" s="204"/>
      <c r="LSE140" s="204"/>
      <c r="LSF140" s="204"/>
      <c r="LSG140" s="205"/>
      <c r="LSH140" s="206"/>
      <c r="LSI140" s="207"/>
      <c r="LSJ140" s="207"/>
      <c r="LSK140" s="208"/>
      <c r="LSL140" s="209"/>
      <c r="LSM140" s="207"/>
      <c r="LSN140" s="210"/>
      <c r="LSO140" s="209"/>
      <c r="LSP140" s="204"/>
      <c r="LSQ140" s="204"/>
      <c r="LSR140" s="204"/>
      <c r="LSS140" s="199"/>
      <c r="LST140" s="167"/>
      <c r="LSU140" s="199"/>
      <c r="LSV140" s="200"/>
      <c r="LSW140" s="201"/>
      <c r="LSX140" s="202"/>
      <c r="LSY140" s="202"/>
      <c r="LSZ140" s="202"/>
      <c r="LTA140" s="202"/>
      <c r="LTB140" s="203"/>
      <c r="LTC140" s="204"/>
      <c r="LTD140" s="204"/>
      <c r="LTE140" s="204"/>
      <c r="LTF140" s="205"/>
      <c r="LTG140" s="206"/>
      <c r="LTH140" s="207"/>
      <c r="LTI140" s="207"/>
      <c r="LTJ140" s="208"/>
      <c r="LTK140" s="209"/>
      <c r="LTL140" s="207"/>
      <c r="LTM140" s="210"/>
      <c r="LTN140" s="209"/>
      <c r="LTO140" s="204"/>
      <c r="LTP140" s="204"/>
      <c r="LTQ140" s="204"/>
      <c r="LTR140" s="199"/>
      <c r="LTS140" s="167"/>
      <c r="LTT140" s="199"/>
      <c r="LTU140" s="200"/>
      <c r="LTV140" s="201"/>
      <c r="LTW140" s="202"/>
      <c r="LTX140" s="202"/>
      <c r="LTY140" s="202"/>
      <c r="LTZ140" s="202"/>
      <c r="LUA140" s="203"/>
      <c r="LUB140" s="204"/>
      <c r="LUC140" s="204"/>
      <c r="LUD140" s="204"/>
      <c r="LUE140" s="205"/>
      <c r="LUF140" s="206"/>
      <c r="LUG140" s="207"/>
      <c r="LUH140" s="207"/>
      <c r="LUI140" s="208"/>
      <c r="LUJ140" s="209"/>
      <c r="LUK140" s="207"/>
      <c r="LUL140" s="210"/>
      <c r="LUM140" s="209"/>
      <c r="LUN140" s="204"/>
      <c r="LUO140" s="204"/>
      <c r="LUP140" s="204"/>
      <c r="LUQ140" s="199"/>
      <c r="LUR140" s="167"/>
      <c r="LUS140" s="199"/>
      <c r="LUT140" s="200"/>
      <c r="LUU140" s="201"/>
      <c r="LUV140" s="202"/>
      <c r="LUW140" s="202"/>
      <c r="LUX140" s="202"/>
      <c r="LUY140" s="202"/>
      <c r="LUZ140" s="203"/>
      <c r="LVA140" s="204"/>
      <c r="LVB140" s="204"/>
      <c r="LVC140" s="204"/>
      <c r="LVD140" s="205"/>
      <c r="LVE140" s="206"/>
      <c r="LVF140" s="207"/>
      <c r="LVG140" s="207"/>
      <c r="LVH140" s="208"/>
      <c r="LVI140" s="209"/>
      <c r="LVJ140" s="207"/>
      <c r="LVK140" s="210"/>
      <c r="LVL140" s="209"/>
      <c r="LVM140" s="204"/>
      <c r="LVN140" s="204"/>
      <c r="LVO140" s="204"/>
      <c r="LVP140" s="199"/>
      <c r="LVQ140" s="167"/>
      <c r="LVR140" s="199"/>
      <c r="LVS140" s="200"/>
      <c r="LVT140" s="201"/>
      <c r="LVU140" s="202"/>
      <c r="LVV140" s="202"/>
      <c r="LVW140" s="202"/>
      <c r="LVX140" s="202"/>
      <c r="LVY140" s="203"/>
      <c r="LVZ140" s="204"/>
      <c r="LWA140" s="204"/>
      <c r="LWB140" s="204"/>
      <c r="LWC140" s="205"/>
      <c r="LWD140" s="206"/>
      <c r="LWE140" s="207"/>
      <c r="LWF140" s="207"/>
      <c r="LWG140" s="208"/>
      <c r="LWH140" s="209"/>
      <c r="LWI140" s="207"/>
      <c r="LWJ140" s="210"/>
      <c r="LWK140" s="209"/>
      <c r="LWL140" s="204"/>
      <c r="LWM140" s="204"/>
      <c r="LWN140" s="204"/>
      <c r="LWO140" s="199"/>
      <c r="LWP140" s="167"/>
      <c r="LWQ140" s="199"/>
      <c r="LWR140" s="200"/>
      <c r="LWS140" s="201"/>
      <c r="LWT140" s="202"/>
      <c r="LWU140" s="202"/>
      <c r="LWV140" s="202"/>
      <c r="LWW140" s="202"/>
      <c r="LWX140" s="203"/>
      <c r="LWY140" s="204"/>
      <c r="LWZ140" s="204"/>
      <c r="LXA140" s="204"/>
      <c r="LXB140" s="205"/>
      <c r="LXC140" s="206"/>
      <c r="LXD140" s="207"/>
      <c r="LXE140" s="207"/>
      <c r="LXF140" s="208"/>
      <c r="LXG140" s="209"/>
      <c r="LXH140" s="207"/>
      <c r="LXI140" s="210"/>
      <c r="LXJ140" s="209"/>
      <c r="LXK140" s="204"/>
      <c r="LXL140" s="204"/>
      <c r="LXM140" s="204"/>
      <c r="LXN140" s="199"/>
      <c r="LXO140" s="167"/>
      <c r="LXP140" s="199"/>
      <c r="LXQ140" s="200"/>
      <c r="LXR140" s="201"/>
      <c r="LXS140" s="202"/>
      <c r="LXT140" s="202"/>
      <c r="LXU140" s="202"/>
      <c r="LXV140" s="202"/>
      <c r="LXW140" s="203"/>
      <c r="LXX140" s="204"/>
      <c r="LXY140" s="204"/>
      <c r="LXZ140" s="204"/>
      <c r="LYA140" s="205"/>
      <c r="LYB140" s="206"/>
      <c r="LYC140" s="207"/>
      <c r="LYD140" s="207"/>
      <c r="LYE140" s="208"/>
      <c r="LYF140" s="209"/>
      <c r="LYG140" s="207"/>
      <c r="LYH140" s="210"/>
      <c r="LYI140" s="209"/>
      <c r="LYJ140" s="204"/>
      <c r="LYK140" s="204"/>
      <c r="LYL140" s="204"/>
      <c r="LYM140" s="199"/>
      <c r="LYN140" s="167"/>
      <c r="LYO140" s="199"/>
      <c r="LYP140" s="200"/>
      <c r="LYQ140" s="201"/>
      <c r="LYR140" s="202"/>
      <c r="LYS140" s="202"/>
      <c r="LYT140" s="202"/>
      <c r="LYU140" s="202"/>
      <c r="LYV140" s="203"/>
      <c r="LYW140" s="204"/>
      <c r="LYX140" s="204"/>
      <c r="LYY140" s="204"/>
      <c r="LYZ140" s="205"/>
      <c r="LZA140" s="206"/>
      <c r="LZB140" s="207"/>
      <c r="LZC140" s="207"/>
      <c r="LZD140" s="208"/>
      <c r="LZE140" s="209"/>
      <c r="LZF140" s="207"/>
      <c r="LZG140" s="210"/>
      <c r="LZH140" s="209"/>
      <c r="LZI140" s="204"/>
      <c r="LZJ140" s="204"/>
      <c r="LZK140" s="204"/>
      <c r="LZL140" s="199"/>
      <c r="LZM140" s="167"/>
      <c r="LZN140" s="199"/>
      <c r="LZO140" s="200"/>
      <c r="LZP140" s="201"/>
      <c r="LZQ140" s="202"/>
      <c r="LZR140" s="202"/>
      <c r="LZS140" s="202"/>
      <c r="LZT140" s="202"/>
      <c r="LZU140" s="203"/>
      <c r="LZV140" s="204"/>
      <c r="LZW140" s="204"/>
      <c r="LZX140" s="204"/>
      <c r="LZY140" s="205"/>
      <c r="LZZ140" s="206"/>
      <c r="MAA140" s="207"/>
      <c r="MAB140" s="207"/>
      <c r="MAC140" s="208"/>
      <c r="MAD140" s="209"/>
      <c r="MAE140" s="207"/>
      <c r="MAF140" s="210"/>
      <c r="MAG140" s="209"/>
      <c r="MAH140" s="204"/>
      <c r="MAI140" s="204"/>
      <c r="MAJ140" s="204"/>
      <c r="MAK140" s="199"/>
      <c r="MAL140" s="167"/>
      <c r="MAM140" s="199"/>
      <c r="MAN140" s="200"/>
      <c r="MAO140" s="201"/>
      <c r="MAP140" s="202"/>
      <c r="MAQ140" s="202"/>
      <c r="MAR140" s="202"/>
      <c r="MAS140" s="202"/>
      <c r="MAT140" s="203"/>
      <c r="MAU140" s="204"/>
      <c r="MAV140" s="204"/>
      <c r="MAW140" s="204"/>
      <c r="MAX140" s="205"/>
      <c r="MAY140" s="206"/>
      <c r="MAZ140" s="207"/>
      <c r="MBA140" s="207"/>
      <c r="MBB140" s="208"/>
      <c r="MBC140" s="209"/>
      <c r="MBD140" s="207"/>
      <c r="MBE140" s="210"/>
      <c r="MBF140" s="209"/>
      <c r="MBG140" s="204"/>
      <c r="MBH140" s="204"/>
      <c r="MBI140" s="204"/>
      <c r="MBJ140" s="199"/>
      <c r="MBK140" s="167"/>
      <c r="MBL140" s="199"/>
      <c r="MBM140" s="200"/>
      <c r="MBN140" s="201"/>
      <c r="MBO140" s="202"/>
      <c r="MBP140" s="202"/>
      <c r="MBQ140" s="202"/>
      <c r="MBR140" s="202"/>
      <c r="MBS140" s="203"/>
      <c r="MBT140" s="204"/>
      <c r="MBU140" s="204"/>
      <c r="MBV140" s="204"/>
      <c r="MBW140" s="205"/>
      <c r="MBX140" s="206"/>
      <c r="MBY140" s="207"/>
      <c r="MBZ140" s="207"/>
      <c r="MCA140" s="208"/>
      <c r="MCB140" s="209"/>
      <c r="MCC140" s="207"/>
      <c r="MCD140" s="210"/>
      <c r="MCE140" s="209"/>
      <c r="MCF140" s="204"/>
      <c r="MCG140" s="204"/>
      <c r="MCH140" s="204"/>
      <c r="MCI140" s="199"/>
      <c r="MCJ140" s="167"/>
      <c r="MCK140" s="199"/>
      <c r="MCL140" s="200"/>
      <c r="MCM140" s="201"/>
      <c r="MCN140" s="202"/>
      <c r="MCO140" s="202"/>
      <c r="MCP140" s="202"/>
      <c r="MCQ140" s="202"/>
      <c r="MCR140" s="203"/>
      <c r="MCS140" s="204"/>
      <c r="MCT140" s="204"/>
      <c r="MCU140" s="204"/>
      <c r="MCV140" s="205"/>
      <c r="MCW140" s="206"/>
      <c r="MCX140" s="207"/>
      <c r="MCY140" s="207"/>
      <c r="MCZ140" s="208"/>
      <c r="MDA140" s="209"/>
      <c r="MDB140" s="207"/>
      <c r="MDC140" s="210"/>
      <c r="MDD140" s="209"/>
      <c r="MDE140" s="204"/>
      <c r="MDF140" s="204"/>
      <c r="MDG140" s="204"/>
      <c r="MDH140" s="199"/>
      <c r="MDI140" s="167"/>
      <c r="MDJ140" s="199"/>
      <c r="MDK140" s="200"/>
      <c r="MDL140" s="201"/>
      <c r="MDM140" s="202"/>
      <c r="MDN140" s="202"/>
      <c r="MDO140" s="202"/>
      <c r="MDP140" s="202"/>
      <c r="MDQ140" s="203"/>
      <c r="MDR140" s="204"/>
      <c r="MDS140" s="204"/>
      <c r="MDT140" s="204"/>
      <c r="MDU140" s="205"/>
      <c r="MDV140" s="206"/>
      <c r="MDW140" s="207"/>
      <c r="MDX140" s="207"/>
      <c r="MDY140" s="208"/>
      <c r="MDZ140" s="209"/>
      <c r="MEA140" s="207"/>
      <c r="MEB140" s="210"/>
      <c r="MEC140" s="209"/>
      <c r="MED140" s="204"/>
      <c r="MEE140" s="204"/>
      <c r="MEF140" s="204"/>
      <c r="MEG140" s="199"/>
      <c r="MEH140" s="167"/>
      <c r="MEI140" s="199"/>
      <c r="MEJ140" s="200"/>
      <c r="MEK140" s="201"/>
      <c r="MEL140" s="202"/>
      <c r="MEM140" s="202"/>
      <c r="MEN140" s="202"/>
      <c r="MEO140" s="202"/>
      <c r="MEP140" s="203"/>
      <c r="MEQ140" s="204"/>
      <c r="MER140" s="204"/>
      <c r="MES140" s="204"/>
      <c r="MET140" s="205"/>
      <c r="MEU140" s="206"/>
      <c r="MEV140" s="207"/>
      <c r="MEW140" s="207"/>
      <c r="MEX140" s="208"/>
      <c r="MEY140" s="209"/>
      <c r="MEZ140" s="207"/>
      <c r="MFA140" s="210"/>
      <c r="MFB140" s="209"/>
      <c r="MFC140" s="204"/>
      <c r="MFD140" s="204"/>
      <c r="MFE140" s="204"/>
      <c r="MFF140" s="199"/>
      <c r="MFG140" s="167"/>
      <c r="MFH140" s="199"/>
      <c r="MFI140" s="200"/>
      <c r="MFJ140" s="201"/>
      <c r="MFK140" s="202"/>
      <c r="MFL140" s="202"/>
      <c r="MFM140" s="202"/>
      <c r="MFN140" s="202"/>
      <c r="MFO140" s="203"/>
      <c r="MFP140" s="204"/>
      <c r="MFQ140" s="204"/>
      <c r="MFR140" s="204"/>
      <c r="MFS140" s="205"/>
      <c r="MFT140" s="206"/>
      <c r="MFU140" s="207"/>
      <c r="MFV140" s="207"/>
      <c r="MFW140" s="208"/>
      <c r="MFX140" s="209"/>
      <c r="MFY140" s="207"/>
      <c r="MFZ140" s="210"/>
      <c r="MGA140" s="209"/>
      <c r="MGB140" s="204"/>
      <c r="MGC140" s="204"/>
      <c r="MGD140" s="204"/>
      <c r="MGE140" s="199"/>
      <c r="MGF140" s="167"/>
      <c r="MGG140" s="199"/>
      <c r="MGH140" s="200"/>
      <c r="MGI140" s="201"/>
      <c r="MGJ140" s="202"/>
      <c r="MGK140" s="202"/>
      <c r="MGL140" s="202"/>
      <c r="MGM140" s="202"/>
      <c r="MGN140" s="203"/>
      <c r="MGO140" s="204"/>
      <c r="MGP140" s="204"/>
      <c r="MGQ140" s="204"/>
      <c r="MGR140" s="205"/>
      <c r="MGS140" s="206"/>
      <c r="MGT140" s="207"/>
      <c r="MGU140" s="207"/>
      <c r="MGV140" s="208"/>
      <c r="MGW140" s="209"/>
      <c r="MGX140" s="207"/>
      <c r="MGY140" s="210"/>
      <c r="MGZ140" s="209"/>
      <c r="MHA140" s="204"/>
      <c r="MHB140" s="204"/>
      <c r="MHC140" s="204"/>
      <c r="MHD140" s="199"/>
      <c r="MHE140" s="167"/>
      <c r="MHF140" s="199"/>
      <c r="MHG140" s="200"/>
      <c r="MHH140" s="201"/>
      <c r="MHI140" s="202"/>
      <c r="MHJ140" s="202"/>
      <c r="MHK140" s="202"/>
      <c r="MHL140" s="202"/>
      <c r="MHM140" s="203"/>
      <c r="MHN140" s="204"/>
      <c r="MHO140" s="204"/>
      <c r="MHP140" s="204"/>
      <c r="MHQ140" s="205"/>
      <c r="MHR140" s="206"/>
      <c r="MHS140" s="207"/>
      <c r="MHT140" s="207"/>
      <c r="MHU140" s="208"/>
      <c r="MHV140" s="209"/>
      <c r="MHW140" s="207"/>
      <c r="MHX140" s="210"/>
      <c r="MHY140" s="209"/>
      <c r="MHZ140" s="204"/>
      <c r="MIA140" s="204"/>
      <c r="MIB140" s="204"/>
      <c r="MIC140" s="199"/>
      <c r="MID140" s="167"/>
      <c r="MIE140" s="199"/>
      <c r="MIF140" s="200"/>
      <c r="MIG140" s="201"/>
      <c r="MIH140" s="202"/>
      <c r="MII140" s="202"/>
      <c r="MIJ140" s="202"/>
      <c r="MIK140" s="202"/>
      <c r="MIL140" s="203"/>
      <c r="MIM140" s="204"/>
      <c r="MIN140" s="204"/>
      <c r="MIO140" s="204"/>
      <c r="MIP140" s="205"/>
      <c r="MIQ140" s="206"/>
      <c r="MIR140" s="207"/>
      <c r="MIS140" s="207"/>
      <c r="MIT140" s="208"/>
      <c r="MIU140" s="209"/>
      <c r="MIV140" s="207"/>
      <c r="MIW140" s="210"/>
      <c r="MIX140" s="209"/>
      <c r="MIY140" s="204"/>
      <c r="MIZ140" s="204"/>
      <c r="MJA140" s="204"/>
      <c r="MJB140" s="199"/>
      <c r="MJC140" s="167"/>
      <c r="MJD140" s="199"/>
      <c r="MJE140" s="200"/>
      <c r="MJF140" s="201"/>
      <c r="MJG140" s="202"/>
      <c r="MJH140" s="202"/>
      <c r="MJI140" s="202"/>
      <c r="MJJ140" s="202"/>
      <c r="MJK140" s="203"/>
      <c r="MJL140" s="204"/>
      <c r="MJM140" s="204"/>
      <c r="MJN140" s="204"/>
      <c r="MJO140" s="205"/>
      <c r="MJP140" s="206"/>
      <c r="MJQ140" s="207"/>
      <c r="MJR140" s="207"/>
      <c r="MJS140" s="208"/>
      <c r="MJT140" s="209"/>
      <c r="MJU140" s="207"/>
      <c r="MJV140" s="210"/>
      <c r="MJW140" s="209"/>
      <c r="MJX140" s="204"/>
      <c r="MJY140" s="204"/>
      <c r="MJZ140" s="204"/>
      <c r="MKA140" s="199"/>
      <c r="MKB140" s="167"/>
      <c r="MKC140" s="199"/>
      <c r="MKD140" s="200"/>
      <c r="MKE140" s="201"/>
      <c r="MKF140" s="202"/>
      <c r="MKG140" s="202"/>
      <c r="MKH140" s="202"/>
      <c r="MKI140" s="202"/>
      <c r="MKJ140" s="203"/>
      <c r="MKK140" s="204"/>
      <c r="MKL140" s="204"/>
      <c r="MKM140" s="204"/>
      <c r="MKN140" s="205"/>
      <c r="MKO140" s="206"/>
      <c r="MKP140" s="207"/>
      <c r="MKQ140" s="207"/>
      <c r="MKR140" s="208"/>
      <c r="MKS140" s="209"/>
      <c r="MKT140" s="207"/>
      <c r="MKU140" s="210"/>
      <c r="MKV140" s="209"/>
      <c r="MKW140" s="204"/>
      <c r="MKX140" s="204"/>
      <c r="MKY140" s="204"/>
      <c r="MKZ140" s="199"/>
      <c r="MLA140" s="167"/>
      <c r="MLB140" s="199"/>
      <c r="MLC140" s="200"/>
      <c r="MLD140" s="201"/>
      <c r="MLE140" s="202"/>
      <c r="MLF140" s="202"/>
      <c r="MLG140" s="202"/>
      <c r="MLH140" s="202"/>
      <c r="MLI140" s="203"/>
      <c r="MLJ140" s="204"/>
      <c r="MLK140" s="204"/>
      <c r="MLL140" s="204"/>
      <c r="MLM140" s="205"/>
      <c r="MLN140" s="206"/>
      <c r="MLO140" s="207"/>
      <c r="MLP140" s="207"/>
      <c r="MLQ140" s="208"/>
      <c r="MLR140" s="209"/>
      <c r="MLS140" s="207"/>
      <c r="MLT140" s="210"/>
      <c r="MLU140" s="209"/>
      <c r="MLV140" s="204"/>
      <c r="MLW140" s="204"/>
      <c r="MLX140" s="204"/>
      <c r="MLY140" s="199"/>
      <c r="MLZ140" s="167"/>
      <c r="MMA140" s="199"/>
      <c r="MMB140" s="200"/>
      <c r="MMC140" s="201"/>
      <c r="MMD140" s="202"/>
      <c r="MME140" s="202"/>
      <c r="MMF140" s="202"/>
      <c r="MMG140" s="202"/>
      <c r="MMH140" s="203"/>
      <c r="MMI140" s="204"/>
      <c r="MMJ140" s="204"/>
      <c r="MMK140" s="204"/>
      <c r="MML140" s="205"/>
      <c r="MMM140" s="206"/>
      <c r="MMN140" s="207"/>
      <c r="MMO140" s="207"/>
      <c r="MMP140" s="208"/>
      <c r="MMQ140" s="209"/>
      <c r="MMR140" s="207"/>
      <c r="MMS140" s="210"/>
      <c r="MMT140" s="209"/>
      <c r="MMU140" s="204"/>
      <c r="MMV140" s="204"/>
      <c r="MMW140" s="204"/>
      <c r="MMX140" s="199"/>
      <c r="MMY140" s="167"/>
      <c r="MMZ140" s="199"/>
      <c r="MNA140" s="200"/>
      <c r="MNB140" s="201"/>
      <c r="MNC140" s="202"/>
      <c r="MND140" s="202"/>
      <c r="MNE140" s="202"/>
      <c r="MNF140" s="202"/>
      <c r="MNG140" s="203"/>
      <c r="MNH140" s="204"/>
      <c r="MNI140" s="204"/>
      <c r="MNJ140" s="204"/>
      <c r="MNK140" s="205"/>
      <c r="MNL140" s="206"/>
      <c r="MNM140" s="207"/>
      <c r="MNN140" s="207"/>
      <c r="MNO140" s="208"/>
      <c r="MNP140" s="209"/>
      <c r="MNQ140" s="207"/>
      <c r="MNR140" s="210"/>
      <c r="MNS140" s="209"/>
      <c r="MNT140" s="204"/>
      <c r="MNU140" s="204"/>
      <c r="MNV140" s="204"/>
      <c r="MNW140" s="199"/>
      <c r="MNX140" s="167"/>
      <c r="MNY140" s="199"/>
      <c r="MNZ140" s="200"/>
      <c r="MOA140" s="201"/>
      <c r="MOB140" s="202"/>
      <c r="MOC140" s="202"/>
      <c r="MOD140" s="202"/>
      <c r="MOE140" s="202"/>
      <c r="MOF140" s="203"/>
      <c r="MOG140" s="204"/>
      <c r="MOH140" s="204"/>
      <c r="MOI140" s="204"/>
      <c r="MOJ140" s="205"/>
      <c r="MOK140" s="206"/>
      <c r="MOL140" s="207"/>
      <c r="MOM140" s="207"/>
      <c r="MON140" s="208"/>
      <c r="MOO140" s="209"/>
      <c r="MOP140" s="207"/>
      <c r="MOQ140" s="210"/>
      <c r="MOR140" s="209"/>
      <c r="MOS140" s="204"/>
      <c r="MOT140" s="204"/>
      <c r="MOU140" s="204"/>
      <c r="MOV140" s="199"/>
      <c r="MOW140" s="167"/>
      <c r="MOX140" s="199"/>
      <c r="MOY140" s="200"/>
      <c r="MOZ140" s="201"/>
      <c r="MPA140" s="202"/>
      <c r="MPB140" s="202"/>
      <c r="MPC140" s="202"/>
      <c r="MPD140" s="202"/>
      <c r="MPE140" s="203"/>
      <c r="MPF140" s="204"/>
      <c r="MPG140" s="204"/>
      <c r="MPH140" s="204"/>
      <c r="MPI140" s="205"/>
      <c r="MPJ140" s="206"/>
      <c r="MPK140" s="207"/>
      <c r="MPL140" s="207"/>
      <c r="MPM140" s="208"/>
      <c r="MPN140" s="209"/>
      <c r="MPO140" s="207"/>
      <c r="MPP140" s="210"/>
      <c r="MPQ140" s="209"/>
      <c r="MPR140" s="204"/>
      <c r="MPS140" s="204"/>
      <c r="MPT140" s="204"/>
      <c r="MPU140" s="199"/>
      <c r="MPV140" s="167"/>
      <c r="MPW140" s="199"/>
      <c r="MPX140" s="200"/>
      <c r="MPY140" s="201"/>
      <c r="MPZ140" s="202"/>
      <c r="MQA140" s="202"/>
      <c r="MQB140" s="202"/>
      <c r="MQC140" s="202"/>
      <c r="MQD140" s="203"/>
      <c r="MQE140" s="204"/>
      <c r="MQF140" s="204"/>
      <c r="MQG140" s="204"/>
      <c r="MQH140" s="205"/>
      <c r="MQI140" s="206"/>
      <c r="MQJ140" s="207"/>
      <c r="MQK140" s="207"/>
      <c r="MQL140" s="208"/>
      <c r="MQM140" s="209"/>
      <c r="MQN140" s="207"/>
      <c r="MQO140" s="210"/>
      <c r="MQP140" s="209"/>
      <c r="MQQ140" s="204"/>
      <c r="MQR140" s="204"/>
      <c r="MQS140" s="204"/>
      <c r="MQT140" s="199"/>
      <c r="MQU140" s="167"/>
      <c r="MQV140" s="199"/>
      <c r="MQW140" s="200"/>
      <c r="MQX140" s="201"/>
      <c r="MQY140" s="202"/>
      <c r="MQZ140" s="202"/>
      <c r="MRA140" s="202"/>
      <c r="MRB140" s="202"/>
      <c r="MRC140" s="203"/>
      <c r="MRD140" s="204"/>
      <c r="MRE140" s="204"/>
      <c r="MRF140" s="204"/>
      <c r="MRG140" s="205"/>
      <c r="MRH140" s="206"/>
      <c r="MRI140" s="207"/>
      <c r="MRJ140" s="207"/>
      <c r="MRK140" s="208"/>
      <c r="MRL140" s="209"/>
      <c r="MRM140" s="207"/>
      <c r="MRN140" s="210"/>
      <c r="MRO140" s="209"/>
      <c r="MRP140" s="204"/>
      <c r="MRQ140" s="204"/>
      <c r="MRR140" s="204"/>
      <c r="MRS140" s="199"/>
      <c r="MRT140" s="167"/>
      <c r="MRU140" s="199"/>
      <c r="MRV140" s="200"/>
      <c r="MRW140" s="201"/>
      <c r="MRX140" s="202"/>
      <c r="MRY140" s="202"/>
      <c r="MRZ140" s="202"/>
      <c r="MSA140" s="202"/>
      <c r="MSB140" s="203"/>
      <c r="MSC140" s="204"/>
      <c r="MSD140" s="204"/>
      <c r="MSE140" s="204"/>
      <c r="MSF140" s="205"/>
      <c r="MSG140" s="206"/>
      <c r="MSH140" s="207"/>
      <c r="MSI140" s="207"/>
      <c r="MSJ140" s="208"/>
      <c r="MSK140" s="209"/>
      <c r="MSL140" s="207"/>
      <c r="MSM140" s="210"/>
      <c r="MSN140" s="209"/>
      <c r="MSO140" s="204"/>
      <c r="MSP140" s="204"/>
      <c r="MSQ140" s="204"/>
      <c r="MSR140" s="199"/>
      <c r="MSS140" s="167"/>
      <c r="MST140" s="199"/>
      <c r="MSU140" s="200"/>
      <c r="MSV140" s="201"/>
      <c r="MSW140" s="202"/>
      <c r="MSX140" s="202"/>
      <c r="MSY140" s="202"/>
      <c r="MSZ140" s="202"/>
      <c r="MTA140" s="203"/>
      <c r="MTB140" s="204"/>
      <c r="MTC140" s="204"/>
      <c r="MTD140" s="204"/>
      <c r="MTE140" s="205"/>
      <c r="MTF140" s="206"/>
      <c r="MTG140" s="207"/>
      <c r="MTH140" s="207"/>
      <c r="MTI140" s="208"/>
      <c r="MTJ140" s="209"/>
      <c r="MTK140" s="207"/>
      <c r="MTL140" s="210"/>
      <c r="MTM140" s="209"/>
      <c r="MTN140" s="204"/>
      <c r="MTO140" s="204"/>
      <c r="MTP140" s="204"/>
      <c r="MTQ140" s="199"/>
      <c r="MTR140" s="167"/>
      <c r="MTS140" s="199"/>
      <c r="MTT140" s="200"/>
      <c r="MTU140" s="201"/>
      <c r="MTV140" s="202"/>
      <c r="MTW140" s="202"/>
      <c r="MTX140" s="202"/>
      <c r="MTY140" s="202"/>
      <c r="MTZ140" s="203"/>
      <c r="MUA140" s="204"/>
      <c r="MUB140" s="204"/>
      <c r="MUC140" s="204"/>
      <c r="MUD140" s="205"/>
      <c r="MUE140" s="206"/>
      <c r="MUF140" s="207"/>
      <c r="MUG140" s="207"/>
      <c r="MUH140" s="208"/>
      <c r="MUI140" s="209"/>
      <c r="MUJ140" s="207"/>
      <c r="MUK140" s="210"/>
      <c r="MUL140" s="209"/>
      <c r="MUM140" s="204"/>
      <c r="MUN140" s="204"/>
      <c r="MUO140" s="204"/>
      <c r="MUP140" s="199"/>
      <c r="MUQ140" s="167"/>
      <c r="MUR140" s="199"/>
      <c r="MUS140" s="200"/>
      <c r="MUT140" s="201"/>
      <c r="MUU140" s="202"/>
      <c r="MUV140" s="202"/>
      <c r="MUW140" s="202"/>
      <c r="MUX140" s="202"/>
      <c r="MUY140" s="203"/>
      <c r="MUZ140" s="204"/>
      <c r="MVA140" s="204"/>
      <c r="MVB140" s="204"/>
      <c r="MVC140" s="205"/>
      <c r="MVD140" s="206"/>
      <c r="MVE140" s="207"/>
      <c r="MVF140" s="207"/>
      <c r="MVG140" s="208"/>
      <c r="MVH140" s="209"/>
      <c r="MVI140" s="207"/>
      <c r="MVJ140" s="210"/>
      <c r="MVK140" s="209"/>
      <c r="MVL140" s="204"/>
      <c r="MVM140" s="204"/>
      <c r="MVN140" s="204"/>
      <c r="MVO140" s="199"/>
      <c r="MVP140" s="167"/>
      <c r="MVQ140" s="199"/>
      <c r="MVR140" s="200"/>
      <c r="MVS140" s="201"/>
      <c r="MVT140" s="202"/>
      <c r="MVU140" s="202"/>
      <c r="MVV140" s="202"/>
      <c r="MVW140" s="202"/>
      <c r="MVX140" s="203"/>
      <c r="MVY140" s="204"/>
      <c r="MVZ140" s="204"/>
      <c r="MWA140" s="204"/>
      <c r="MWB140" s="205"/>
      <c r="MWC140" s="206"/>
      <c r="MWD140" s="207"/>
      <c r="MWE140" s="207"/>
      <c r="MWF140" s="208"/>
      <c r="MWG140" s="209"/>
      <c r="MWH140" s="207"/>
      <c r="MWI140" s="210"/>
      <c r="MWJ140" s="209"/>
      <c r="MWK140" s="204"/>
      <c r="MWL140" s="204"/>
      <c r="MWM140" s="204"/>
      <c r="MWN140" s="199"/>
      <c r="MWO140" s="167"/>
      <c r="MWP140" s="199"/>
      <c r="MWQ140" s="200"/>
      <c r="MWR140" s="201"/>
      <c r="MWS140" s="202"/>
      <c r="MWT140" s="202"/>
      <c r="MWU140" s="202"/>
      <c r="MWV140" s="202"/>
      <c r="MWW140" s="203"/>
      <c r="MWX140" s="204"/>
      <c r="MWY140" s="204"/>
      <c r="MWZ140" s="204"/>
      <c r="MXA140" s="205"/>
      <c r="MXB140" s="206"/>
      <c r="MXC140" s="207"/>
      <c r="MXD140" s="207"/>
      <c r="MXE140" s="208"/>
      <c r="MXF140" s="209"/>
      <c r="MXG140" s="207"/>
      <c r="MXH140" s="210"/>
      <c r="MXI140" s="209"/>
      <c r="MXJ140" s="204"/>
      <c r="MXK140" s="204"/>
      <c r="MXL140" s="204"/>
      <c r="MXM140" s="199"/>
      <c r="MXN140" s="167"/>
      <c r="MXO140" s="199"/>
      <c r="MXP140" s="200"/>
      <c r="MXQ140" s="201"/>
      <c r="MXR140" s="202"/>
      <c r="MXS140" s="202"/>
      <c r="MXT140" s="202"/>
      <c r="MXU140" s="202"/>
      <c r="MXV140" s="203"/>
      <c r="MXW140" s="204"/>
      <c r="MXX140" s="204"/>
      <c r="MXY140" s="204"/>
      <c r="MXZ140" s="205"/>
      <c r="MYA140" s="206"/>
      <c r="MYB140" s="207"/>
      <c r="MYC140" s="207"/>
      <c r="MYD140" s="208"/>
      <c r="MYE140" s="209"/>
      <c r="MYF140" s="207"/>
      <c r="MYG140" s="210"/>
      <c r="MYH140" s="209"/>
      <c r="MYI140" s="204"/>
      <c r="MYJ140" s="204"/>
      <c r="MYK140" s="204"/>
      <c r="MYL140" s="199"/>
      <c r="MYM140" s="167"/>
      <c r="MYN140" s="199"/>
      <c r="MYO140" s="200"/>
      <c r="MYP140" s="201"/>
      <c r="MYQ140" s="202"/>
      <c r="MYR140" s="202"/>
      <c r="MYS140" s="202"/>
      <c r="MYT140" s="202"/>
      <c r="MYU140" s="203"/>
      <c r="MYV140" s="204"/>
      <c r="MYW140" s="204"/>
      <c r="MYX140" s="204"/>
      <c r="MYY140" s="205"/>
      <c r="MYZ140" s="206"/>
      <c r="MZA140" s="207"/>
      <c r="MZB140" s="207"/>
      <c r="MZC140" s="208"/>
      <c r="MZD140" s="209"/>
      <c r="MZE140" s="207"/>
      <c r="MZF140" s="210"/>
      <c r="MZG140" s="209"/>
      <c r="MZH140" s="204"/>
      <c r="MZI140" s="204"/>
      <c r="MZJ140" s="204"/>
      <c r="MZK140" s="199"/>
      <c r="MZL140" s="167"/>
      <c r="MZM140" s="199"/>
      <c r="MZN140" s="200"/>
      <c r="MZO140" s="201"/>
      <c r="MZP140" s="202"/>
      <c r="MZQ140" s="202"/>
      <c r="MZR140" s="202"/>
      <c r="MZS140" s="202"/>
      <c r="MZT140" s="203"/>
      <c r="MZU140" s="204"/>
      <c r="MZV140" s="204"/>
      <c r="MZW140" s="204"/>
      <c r="MZX140" s="205"/>
      <c r="MZY140" s="206"/>
      <c r="MZZ140" s="207"/>
      <c r="NAA140" s="207"/>
      <c r="NAB140" s="208"/>
      <c r="NAC140" s="209"/>
      <c r="NAD140" s="207"/>
      <c r="NAE140" s="210"/>
      <c r="NAF140" s="209"/>
      <c r="NAG140" s="204"/>
      <c r="NAH140" s="204"/>
      <c r="NAI140" s="204"/>
      <c r="NAJ140" s="199"/>
      <c r="NAK140" s="167"/>
      <c r="NAL140" s="199"/>
      <c r="NAM140" s="200"/>
      <c r="NAN140" s="201"/>
      <c r="NAO140" s="202"/>
      <c r="NAP140" s="202"/>
      <c r="NAQ140" s="202"/>
      <c r="NAR140" s="202"/>
      <c r="NAS140" s="203"/>
      <c r="NAT140" s="204"/>
      <c r="NAU140" s="204"/>
      <c r="NAV140" s="204"/>
      <c r="NAW140" s="205"/>
      <c r="NAX140" s="206"/>
      <c r="NAY140" s="207"/>
      <c r="NAZ140" s="207"/>
      <c r="NBA140" s="208"/>
      <c r="NBB140" s="209"/>
      <c r="NBC140" s="207"/>
      <c r="NBD140" s="210"/>
      <c r="NBE140" s="209"/>
      <c r="NBF140" s="204"/>
      <c r="NBG140" s="204"/>
      <c r="NBH140" s="204"/>
      <c r="NBI140" s="199"/>
      <c r="NBJ140" s="167"/>
      <c r="NBK140" s="199"/>
      <c r="NBL140" s="200"/>
      <c r="NBM140" s="201"/>
      <c r="NBN140" s="202"/>
      <c r="NBO140" s="202"/>
      <c r="NBP140" s="202"/>
      <c r="NBQ140" s="202"/>
      <c r="NBR140" s="203"/>
      <c r="NBS140" s="204"/>
      <c r="NBT140" s="204"/>
      <c r="NBU140" s="204"/>
      <c r="NBV140" s="205"/>
      <c r="NBW140" s="206"/>
      <c r="NBX140" s="207"/>
      <c r="NBY140" s="207"/>
      <c r="NBZ140" s="208"/>
      <c r="NCA140" s="209"/>
      <c r="NCB140" s="207"/>
      <c r="NCC140" s="210"/>
      <c r="NCD140" s="209"/>
      <c r="NCE140" s="204"/>
      <c r="NCF140" s="204"/>
      <c r="NCG140" s="204"/>
      <c r="NCH140" s="199"/>
      <c r="NCI140" s="167"/>
      <c r="NCJ140" s="199"/>
      <c r="NCK140" s="200"/>
      <c r="NCL140" s="201"/>
      <c r="NCM140" s="202"/>
      <c r="NCN140" s="202"/>
      <c r="NCO140" s="202"/>
      <c r="NCP140" s="202"/>
      <c r="NCQ140" s="203"/>
      <c r="NCR140" s="204"/>
      <c r="NCS140" s="204"/>
      <c r="NCT140" s="204"/>
      <c r="NCU140" s="205"/>
      <c r="NCV140" s="206"/>
      <c r="NCW140" s="207"/>
      <c r="NCX140" s="207"/>
      <c r="NCY140" s="208"/>
      <c r="NCZ140" s="209"/>
      <c r="NDA140" s="207"/>
      <c r="NDB140" s="210"/>
      <c r="NDC140" s="209"/>
      <c r="NDD140" s="204"/>
      <c r="NDE140" s="204"/>
      <c r="NDF140" s="204"/>
      <c r="NDG140" s="199"/>
      <c r="NDH140" s="167"/>
      <c r="NDI140" s="199"/>
      <c r="NDJ140" s="200"/>
      <c r="NDK140" s="201"/>
      <c r="NDL140" s="202"/>
      <c r="NDM140" s="202"/>
      <c r="NDN140" s="202"/>
      <c r="NDO140" s="202"/>
      <c r="NDP140" s="203"/>
      <c r="NDQ140" s="204"/>
      <c r="NDR140" s="204"/>
      <c r="NDS140" s="204"/>
      <c r="NDT140" s="205"/>
      <c r="NDU140" s="206"/>
      <c r="NDV140" s="207"/>
      <c r="NDW140" s="207"/>
      <c r="NDX140" s="208"/>
      <c r="NDY140" s="209"/>
      <c r="NDZ140" s="207"/>
      <c r="NEA140" s="210"/>
      <c r="NEB140" s="209"/>
      <c r="NEC140" s="204"/>
      <c r="NED140" s="204"/>
      <c r="NEE140" s="204"/>
      <c r="NEF140" s="199"/>
      <c r="NEG140" s="167"/>
      <c r="NEH140" s="199"/>
      <c r="NEI140" s="200"/>
      <c r="NEJ140" s="201"/>
      <c r="NEK140" s="202"/>
      <c r="NEL140" s="202"/>
      <c r="NEM140" s="202"/>
      <c r="NEN140" s="202"/>
      <c r="NEO140" s="203"/>
      <c r="NEP140" s="204"/>
      <c r="NEQ140" s="204"/>
      <c r="NER140" s="204"/>
      <c r="NES140" s="205"/>
      <c r="NET140" s="206"/>
      <c r="NEU140" s="207"/>
      <c r="NEV140" s="207"/>
      <c r="NEW140" s="208"/>
      <c r="NEX140" s="209"/>
      <c r="NEY140" s="207"/>
      <c r="NEZ140" s="210"/>
      <c r="NFA140" s="209"/>
      <c r="NFB140" s="204"/>
      <c r="NFC140" s="204"/>
      <c r="NFD140" s="204"/>
      <c r="NFE140" s="199"/>
      <c r="NFF140" s="167"/>
      <c r="NFG140" s="199"/>
      <c r="NFH140" s="200"/>
      <c r="NFI140" s="201"/>
      <c r="NFJ140" s="202"/>
      <c r="NFK140" s="202"/>
      <c r="NFL140" s="202"/>
      <c r="NFM140" s="202"/>
      <c r="NFN140" s="203"/>
      <c r="NFO140" s="204"/>
      <c r="NFP140" s="204"/>
      <c r="NFQ140" s="204"/>
      <c r="NFR140" s="205"/>
      <c r="NFS140" s="206"/>
      <c r="NFT140" s="207"/>
      <c r="NFU140" s="207"/>
      <c r="NFV140" s="208"/>
      <c r="NFW140" s="209"/>
      <c r="NFX140" s="207"/>
      <c r="NFY140" s="210"/>
      <c r="NFZ140" s="209"/>
      <c r="NGA140" s="204"/>
      <c r="NGB140" s="204"/>
      <c r="NGC140" s="204"/>
      <c r="NGD140" s="199"/>
      <c r="NGE140" s="167"/>
      <c r="NGF140" s="199"/>
      <c r="NGG140" s="200"/>
      <c r="NGH140" s="201"/>
      <c r="NGI140" s="202"/>
      <c r="NGJ140" s="202"/>
      <c r="NGK140" s="202"/>
      <c r="NGL140" s="202"/>
      <c r="NGM140" s="203"/>
      <c r="NGN140" s="204"/>
      <c r="NGO140" s="204"/>
      <c r="NGP140" s="204"/>
      <c r="NGQ140" s="205"/>
      <c r="NGR140" s="206"/>
      <c r="NGS140" s="207"/>
      <c r="NGT140" s="207"/>
      <c r="NGU140" s="208"/>
      <c r="NGV140" s="209"/>
      <c r="NGW140" s="207"/>
      <c r="NGX140" s="210"/>
      <c r="NGY140" s="209"/>
      <c r="NGZ140" s="204"/>
      <c r="NHA140" s="204"/>
      <c r="NHB140" s="204"/>
      <c r="NHC140" s="199"/>
      <c r="NHD140" s="167"/>
      <c r="NHE140" s="199"/>
      <c r="NHF140" s="200"/>
      <c r="NHG140" s="201"/>
      <c r="NHH140" s="202"/>
      <c r="NHI140" s="202"/>
      <c r="NHJ140" s="202"/>
      <c r="NHK140" s="202"/>
      <c r="NHL140" s="203"/>
      <c r="NHM140" s="204"/>
      <c r="NHN140" s="204"/>
      <c r="NHO140" s="204"/>
      <c r="NHP140" s="205"/>
      <c r="NHQ140" s="206"/>
      <c r="NHR140" s="207"/>
      <c r="NHS140" s="207"/>
      <c r="NHT140" s="208"/>
      <c r="NHU140" s="209"/>
      <c r="NHV140" s="207"/>
      <c r="NHW140" s="210"/>
      <c r="NHX140" s="209"/>
      <c r="NHY140" s="204"/>
      <c r="NHZ140" s="204"/>
      <c r="NIA140" s="204"/>
      <c r="NIB140" s="199"/>
      <c r="NIC140" s="167"/>
      <c r="NID140" s="199"/>
      <c r="NIE140" s="200"/>
      <c r="NIF140" s="201"/>
      <c r="NIG140" s="202"/>
      <c r="NIH140" s="202"/>
      <c r="NII140" s="202"/>
      <c r="NIJ140" s="202"/>
      <c r="NIK140" s="203"/>
      <c r="NIL140" s="204"/>
      <c r="NIM140" s="204"/>
      <c r="NIN140" s="204"/>
      <c r="NIO140" s="205"/>
      <c r="NIP140" s="206"/>
      <c r="NIQ140" s="207"/>
      <c r="NIR140" s="207"/>
      <c r="NIS140" s="208"/>
      <c r="NIT140" s="209"/>
      <c r="NIU140" s="207"/>
      <c r="NIV140" s="210"/>
      <c r="NIW140" s="209"/>
      <c r="NIX140" s="204"/>
      <c r="NIY140" s="204"/>
      <c r="NIZ140" s="204"/>
      <c r="NJA140" s="199"/>
      <c r="NJB140" s="167"/>
      <c r="NJC140" s="199"/>
      <c r="NJD140" s="200"/>
      <c r="NJE140" s="201"/>
      <c r="NJF140" s="202"/>
      <c r="NJG140" s="202"/>
      <c r="NJH140" s="202"/>
      <c r="NJI140" s="202"/>
      <c r="NJJ140" s="203"/>
      <c r="NJK140" s="204"/>
      <c r="NJL140" s="204"/>
      <c r="NJM140" s="204"/>
      <c r="NJN140" s="205"/>
      <c r="NJO140" s="206"/>
      <c r="NJP140" s="207"/>
      <c r="NJQ140" s="207"/>
      <c r="NJR140" s="208"/>
      <c r="NJS140" s="209"/>
      <c r="NJT140" s="207"/>
      <c r="NJU140" s="210"/>
      <c r="NJV140" s="209"/>
      <c r="NJW140" s="204"/>
      <c r="NJX140" s="204"/>
      <c r="NJY140" s="204"/>
      <c r="NJZ140" s="199"/>
      <c r="NKA140" s="167"/>
      <c r="NKB140" s="199"/>
      <c r="NKC140" s="200"/>
      <c r="NKD140" s="201"/>
      <c r="NKE140" s="202"/>
      <c r="NKF140" s="202"/>
      <c r="NKG140" s="202"/>
      <c r="NKH140" s="202"/>
      <c r="NKI140" s="203"/>
      <c r="NKJ140" s="204"/>
      <c r="NKK140" s="204"/>
      <c r="NKL140" s="204"/>
      <c r="NKM140" s="205"/>
      <c r="NKN140" s="206"/>
      <c r="NKO140" s="207"/>
      <c r="NKP140" s="207"/>
      <c r="NKQ140" s="208"/>
      <c r="NKR140" s="209"/>
      <c r="NKS140" s="207"/>
      <c r="NKT140" s="210"/>
      <c r="NKU140" s="209"/>
      <c r="NKV140" s="204"/>
      <c r="NKW140" s="204"/>
      <c r="NKX140" s="204"/>
      <c r="NKY140" s="199"/>
      <c r="NKZ140" s="167"/>
      <c r="NLA140" s="199"/>
      <c r="NLB140" s="200"/>
      <c r="NLC140" s="201"/>
      <c r="NLD140" s="202"/>
      <c r="NLE140" s="202"/>
      <c r="NLF140" s="202"/>
      <c r="NLG140" s="202"/>
      <c r="NLH140" s="203"/>
      <c r="NLI140" s="204"/>
      <c r="NLJ140" s="204"/>
      <c r="NLK140" s="204"/>
      <c r="NLL140" s="205"/>
      <c r="NLM140" s="206"/>
      <c r="NLN140" s="207"/>
      <c r="NLO140" s="207"/>
      <c r="NLP140" s="208"/>
      <c r="NLQ140" s="209"/>
      <c r="NLR140" s="207"/>
      <c r="NLS140" s="210"/>
      <c r="NLT140" s="209"/>
      <c r="NLU140" s="204"/>
      <c r="NLV140" s="204"/>
      <c r="NLW140" s="204"/>
      <c r="NLX140" s="199"/>
      <c r="NLY140" s="167"/>
      <c r="NLZ140" s="199"/>
      <c r="NMA140" s="200"/>
      <c r="NMB140" s="201"/>
      <c r="NMC140" s="202"/>
      <c r="NMD140" s="202"/>
      <c r="NME140" s="202"/>
      <c r="NMF140" s="202"/>
      <c r="NMG140" s="203"/>
      <c r="NMH140" s="204"/>
      <c r="NMI140" s="204"/>
      <c r="NMJ140" s="204"/>
      <c r="NMK140" s="205"/>
      <c r="NML140" s="206"/>
      <c r="NMM140" s="207"/>
      <c r="NMN140" s="207"/>
      <c r="NMO140" s="208"/>
      <c r="NMP140" s="209"/>
      <c r="NMQ140" s="207"/>
      <c r="NMR140" s="210"/>
      <c r="NMS140" s="209"/>
      <c r="NMT140" s="204"/>
      <c r="NMU140" s="204"/>
      <c r="NMV140" s="204"/>
      <c r="NMW140" s="199"/>
      <c r="NMX140" s="167"/>
      <c r="NMY140" s="199"/>
      <c r="NMZ140" s="200"/>
      <c r="NNA140" s="201"/>
      <c r="NNB140" s="202"/>
      <c r="NNC140" s="202"/>
      <c r="NND140" s="202"/>
      <c r="NNE140" s="202"/>
      <c r="NNF140" s="203"/>
      <c r="NNG140" s="204"/>
      <c r="NNH140" s="204"/>
      <c r="NNI140" s="204"/>
      <c r="NNJ140" s="205"/>
      <c r="NNK140" s="206"/>
      <c r="NNL140" s="207"/>
      <c r="NNM140" s="207"/>
      <c r="NNN140" s="208"/>
      <c r="NNO140" s="209"/>
      <c r="NNP140" s="207"/>
      <c r="NNQ140" s="210"/>
      <c r="NNR140" s="209"/>
      <c r="NNS140" s="204"/>
      <c r="NNT140" s="204"/>
      <c r="NNU140" s="204"/>
      <c r="NNV140" s="199"/>
      <c r="NNW140" s="167"/>
      <c r="NNX140" s="199"/>
      <c r="NNY140" s="200"/>
      <c r="NNZ140" s="201"/>
      <c r="NOA140" s="202"/>
      <c r="NOB140" s="202"/>
      <c r="NOC140" s="202"/>
      <c r="NOD140" s="202"/>
      <c r="NOE140" s="203"/>
      <c r="NOF140" s="204"/>
      <c r="NOG140" s="204"/>
      <c r="NOH140" s="204"/>
      <c r="NOI140" s="205"/>
      <c r="NOJ140" s="206"/>
      <c r="NOK140" s="207"/>
      <c r="NOL140" s="207"/>
      <c r="NOM140" s="208"/>
      <c r="NON140" s="209"/>
      <c r="NOO140" s="207"/>
      <c r="NOP140" s="210"/>
      <c r="NOQ140" s="209"/>
      <c r="NOR140" s="204"/>
      <c r="NOS140" s="204"/>
      <c r="NOT140" s="204"/>
      <c r="NOU140" s="199"/>
      <c r="NOV140" s="167"/>
      <c r="NOW140" s="199"/>
      <c r="NOX140" s="200"/>
      <c r="NOY140" s="201"/>
      <c r="NOZ140" s="202"/>
      <c r="NPA140" s="202"/>
      <c r="NPB140" s="202"/>
      <c r="NPC140" s="202"/>
      <c r="NPD140" s="203"/>
      <c r="NPE140" s="204"/>
      <c r="NPF140" s="204"/>
      <c r="NPG140" s="204"/>
      <c r="NPH140" s="205"/>
      <c r="NPI140" s="206"/>
      <c r="NPJ140" s="207"/>
      <c r="NPK140" s="207"/>
      <c r="NPL140" s="208"/>
      <c r="NPM140" s="209"/>
      <c r="NPN140" s="207"/>
      <c r="NPO140" s="210"/>
      <c r="NPP140" s="209"/>
      <c r="NPQ140" s="204"/>
      <c r="NPR140" s="204"/>
      <c r="NPS140" s="204"/>
      <c r="NPT140" s="199"/>
      <c r="NPU140" s="167"/>
      <c r="NPV140" s="199"/>
      <c r="NPW140" s="200"/>
      <c r="NPX140" s="201"/>
      <c r="NPY140" s="202"/>
      <c r="NPZ140" s="202"/>
      <c r="NQA140" s="202"/>
      <c r="NQB140" s="202"/>
      <c r="NQC140" s="203"/>
      <c r="NQD140" s="204"/>
      <c r="NQE140" s="204"/>
      <c r="NQF140" s="204"/>
      <c r="NQG140" s="205"/>
      <c r="NQH140" s="206"/>
      <c r="NQI140" s="207"/>
      <c r="NQJ140" s="207"/>
      <c r="NQK140" s="208"/>
      <c r="NQL140" s="209"/>
      <c r="NQM140" s="207"/>
      <c r="NQN140" s="210"/>
      <c r="NQO140" s="209"/>
      <c r="NQP140" s="204"/>
      <c r="NQQ140" s="204"/>
      <c r="NQR140" s="204"/>
      <c r="NQS140" s="199"/>
      <c r="NQT140" s="167"/>
      <c r="NQU140" s="199"/>
      <c r="NQV140" s="200"/>
      <c r="NQW140" s="201"/>
      <c r="NQX140" s="202"/>
      <c r="NQY140" s="202"/>
      <c r="NQZ140" s="202"/>
      <c r="NRA140" s="202"/>
      <c r="NRB140" s="203"/>
      <c r="NRC140" s="204"/>
      <c r="NRD140" s="204"/>
      <c r="NRE140" s="204"/>
      <c r="NRF140" s="205"/>
      <c r="NRG140" s="206"/>
      <c r="NRH140" s="207"/>
      <c r="NRI140" s="207"/>
      <c r="NRJ140" s="208"/>
      <c r="NRK140" s="209"/>
      <c r="NRL140" s="207"/>
      <c r="NRM140" s="210"/>
      <c r="NRN140" s="209"/>
      <c r="NRO140" s="204"/>
      <c r="NRP140" s="204"/>
      <c r="NRQ140" s="204"/>
      <c r="NRR140" s="199"/>
      <c r="NRS140" s="167"/>
      <c r="NRT140" s="199"/>
      <c r="NRU140" s="200"/>
      <c r="NRV140" s="201"/>
      <c r="NRW140" s="202"/>
      <c r="NRX140" s="202"/>
      <c r="NRY140" s="202"/>
      <c r="NRZ140" s="202"/>
      <c r="NSA140" s="203"/>
      <c r="NSB140" s="204"/>
      <c r="NSC140" s="204"/>
      <c r="NSD140" s="204"/>
      <c r="NSE140" s="205"/>
      <c r="NSF140" s="206"/>
      <c r="NSG140" s="207"/>
      <c r="NSH140" s="207"/>
      <c r="NSI140" s="208"/>
      <c r="NSJ140" s="209"/>
      <c r="NSK140" s="207"/>
      <c r="NSL140" s="210"/>
      <c r="NSM140" s="209"/>
      <c r="NSN140" s="204"/>
      <c r="NSO140" s="204"/>
      <c r="NSP140" s="204"/>
      <c r="NSQ140" s="199"/>
      <c r="NSR140" s="167"/>
      <c r="NSS140" s="199"/>
      <c r="NST140" s="200"/>
      <c r="NSU140" s="201"/>
      <c r="NSV140" s="202"/>
      <c r="NSW140" s="202"/>
      <c r="NSX140" s="202"/>
      <c r="NSY140" s="202"/>
      <c r="NSZ140" s="203"/>
      <c r="NTA140" s="204"/>
      <c r="NTB140" s="204"/>
      <c r="NTC140" s="204"/>
      <c r="NTD140" s="205"/>
      <c r="NTE140" s="206"/>
      <c r="NTF140" s="207"/>
      <c r="NTG140" s="207"/>
      <c r="NTH140" s="208"/>
      <c r="NTI140" s="209"/>
      <c r="NTJ140" s="207"/>
      <c r="NTK140" s="210"/>
      <c r="NTL140" s="209"/>
      <c r="NTM140" s="204"/>
      <c r="NTN140" s="204"/>
      <c r="NTO140" s="204"/>
      <c r="NTP140" s="199"/>
      <c r="NTQ140" s="167"/>
      <c r="NTR140" s="199"/>
      <c r="NTS140" s="200"/>
      <c r="NTT140" s="201"/>
      <c r="NTU140" s="202"/>
      <c r="NTV140" s="202"/>
      <c r="NTW140" s="202"/>
      <c r="NTX140" s="202"/>
      <c r="NTY140" s="203"/>
      <c r="NTZ140" s="204"/>
      <c r="NUA140" s="204"/>
      <c r="NUB140" s="204"/>
      <c r="NUC140" s="205"/>
      <c r="NUD140" s="206"/>
      <c r="NUE140" s="207"/>
      <c r="NUF140" s="207"/>
      <c r="NUG140" s="208"/>
      <c r="NUH140" s="209"/>
      <c r="NUI140" s="207"/>
      <c r="NUJ140" s="210"/>
      <c r="NUK140" s="209"/>
      <c r="NUL140" s="204"/>
      <c r="NUM140" s="204"/>
      <c r="NUN140" s="204"/>
      <c r="NUO140" s="199"/>
      <c r="NUP140" s="167"/>
      <c r="NUQ140" s="199"/>
      <c r="NUR140" s="200"/>
      <c r="NUS140" s="201"/>
      <c r="NUT140" s="202"/>
      <c r="NUU140" s="202"/>
      <c r="NUV140" s="202"/>
      <c r="NUW140" s="202"/>
      <c r="NUX140" s="203"/>
      <c r="NUY140" s="204"/>
      <c r="NUZ140" s="204"/>
      <c r="NVA140" s="204"/>
      <c r="NVB140" s="205"/>
      <c r="NVC140" s="206"/>
      <c r="NVD140" s="207"/>
      <c r="NVE140" s="207"/>
      <c r="NVF140" s="208"/>
      <c r="NVG140" s="209"/>
      <c r="NVH140" s="207"/>
      <c r="NVI140" s="210"/>
      <c r="NVJ140" s="209"/>
      <c r="NVK140" s="204"/>
      <c r="NVL140" s="204"/>
      <c r="NVM140" s="204"/>
      <c r="NVN140" s="199"/>
      <c r="NVO140" s="167"/>
      <c r="NVP140" s="199"/>
      <c r="NVQ140" s="200"/>
      <c r="NVR140" s="201"/>
      <c r="NVS140" s="202"/>
      <c r="NVT140" s="202"/>
      <c r="NVU140" s="202"/>
      <c r="NVV140" s="202"/>
      <c r="NVW140" s="203"/>
      <c r="NVX140" s="204"/>
      <c r="NVY140" s="204"/>
      <c r="NVZ140" s="204"/>
      <c r="NWA140" s="205"/>
      <c r="NWB140" s="206"/>
      <c r="NWC140" s="207"/>
      <c r="NWD140" s="207"/>
      <c r="NWE140" s="208"/>
      <c r="NWF140" s="209"/>
      <c r="NWG140" s="207"/>
      <c r="NWH140" s="210"/>
      <c r="NWI140" s="209"/>
      <c r="NWJ140" s="204"/>
      <c r="NWK140" s="204"/>
      <c r="NWL140" s="204"/>
      <c r="NWM140" s="199"/>
      <c r="NWN140" s="167"/>
      <c r="NWO140" s="199"/>
      <c r="NWP140" s="200"/>
      <c r="NWQ140" s="201"/>
      <c r="NWR140" s="202"/>
      <c r="NWS140" s="202"/>
      <c r="NWT140" s="202"/>
      <c r="NWU140" s="202"/>
      <c r="NWV140" s="203"/>
      <c r="NWW140" s="204"/>
      <c r="NWX140" s="204"/>
      <c r="NWY140" s="204"/>
      <c r="NWZ140" s="205"/>
      <c r="NXA140" s="206"/>
      <c r="NXB140" s="207"/>
      <c r="NXC140" s="207"/>
      <c r="NXD140" s="208"/>
      <c r="NXE140" s="209"/>
      <c r="NXF140" s="207"/>
      <c r="NXG140" s="210"/>
      <c r="NXH140" s="209"/>
      <c r="NXI140" s="204"/>
      <c r="NXJ140" s="204"/>
      <c r="NXK140" s="204"/>
      <c r="NXL140" s="199"/>
      <c r="NXM140" s="167"/>
      <c r="NXN140" s="199"/>
      <c r="NXO140" s="200"/>
      <c r="NXP140" s="201"/>
      <c r="NXQ140" s="202"/>
      <c r="NXR140" s="202"/>
      <c r="NXS140" s="202"/>
      <c r="NXT140" s="202"/>
      <c r="NXU140" s="203"/>
      <c r="NXV140" s="204"/>
      <c r="NXW140" s="204"/>
      <c r="NXX140" s="204"/>
      <c r="NXY140" s="205"/>
      <c r="NXZ140" s="206"/>
      <c r="NYA140" s="207"/>
      <c r="NYB140" s="207"/>
      <c r="NYC140" s="208"/>
      <c r="NYD140" s="209"/>
      <c r="NYE140" s="207"/>
      <c r="NYF140" s="210"/>
      <c r="NYG140" s="209"/>
      <c r="NYH140" s="204"/>
      <c r="NYI140" s="204"/>
      <c r="NYJ140" s="204"/>
      <c r="NYK140" s="199"/>
      <c r="NYL140" s="167"/>
      <c r="NYM140" s="199"/>
      <c r="NYN140" s="200"/>
      <c r="NYO140" s="201"/>
      <c r="NYP140" s="202"/>
      <c r="NYQ140" s="202"/>
      <c r="NYR140" s="202"/>
      <c r="NYS140" s="202"/>
      <c r="NYT140" s="203"/>
      <c r="NYU140" s="204"/>
      <c r="NYV140" s="204"/>
      <c r="NYW140" s="204"/>
      <c r="NYX140" s="205"/>
      <c r="NYY140" s="206"/>
      <c r="NYZ140" s="207"/>
      <c r="NZA140" s="207"/>
      <c r="NZB140" s="208"/>
      <c r="NZC140" s="209"/>
      <c r="NZD140" s="207"/>
      <c r="NZE140" s="210"/>
      <c r="NZF140" s="209"/>
      <c r="NZG140" s="204"/>
      <c r="NZH140" s="204"/>
      <c r="NZI140" s="204"/>
      <c r="NZJ140" s="199"/>
      <c r="NZK140" s="167"/>
      <c r="NZL140" s="199"/>
      <c r="NZM140" s="200"/>
      <c r="NZN140" s="201"/>
      <c r="NZO140" s="202"/>
      <c r="NZP140" s="202"/>
      <c r="NZQ140" s="202"/>
      <c r="NZR140" s="202"/>
      <c r="NZS140" s="203"/>
      <c r="NZT140" s="204"/>
      <c r="NZU140" s="204"/>
      <c r="NZV140" s="204"/>
      <c r="NZW140" s="205"/>
      <c r="NZX140" s="206"/>
      <c r="NZY140" s="207"/>
      <c r="NZZ140" s="207"/>
      <c r="OAA140" s="208"/>
      <c r="OAB140" s="209"/>
      <c r="OAC140" s="207"/>
      <c r="OAD140" s="210"/>
      <c r="OAE140" s="209"/>
      <c r="OAF140" s="204"/>
      <c r="OAG140" s="204"/>
      <c r="OAH140" s="204"/>
      <c r="OAI140" s="199"/>
      <c r="OAJ140" s="167"/>
      <c r="OAK140" s="199"/>
      <c r="OAL140" s="200"/>
      <c r="OAM140" s="201"/>
      <c r="OAN140" s="202"/>
      <c r="OAO140" s="202"/>
      <c r="OAP140" s="202"/>
      <c r="OAQ140" s="202"/>
      <c r="OAR140" s="203"/>
      <c r="OAS140" s="204"/>
      <c r="OAT140" s="204"/>
      <c r="OAU140" s="204"/>
      <c r="OAV140" s="205"/>
      <c r="OAW140" s="206"/>
      <c r="OAX140" s="207"/>
      <c r="OAY140" s="207"/>
      <c r="OAZ140" s="208"/>
      <c r="OBA140" s="209"/>
      <c r="OBB140" s="207"/>
      <c r="OBC140" s="210"/>
      <c r="OBD140" s="209"/>
      <c r="OBE140" s="204"/>
      <c r="OBF140" s="204"/>
      <c r="OBG140" s="204"/>
      <c r="OBH140" s="199"/>
      <c r="OBI140" s="167"/>
      <c r="OBJ140" s="199"/>
      <c r="OBK140" s="200"/>
      <c r="OBL140" s="201"/>
      <c r="OBM140" s="202"/>
      <c r="OBN140" s="202"/>
      <c r="OBO140" s="202"/>
      <c r="OBP140" s="202"/>
      <c r="OBQ140" s="203"/>
      <c r="OBR140" s="204"/>
      <c r="OBS140" s="204"/>
      <c r="OBT140" s="204"/>
      <c r="OBU140" s="205"/>
      <c r="OBV140" s="206"/>
      <c r="OBW140" s="207"/>
      <c r="OBX140" s="207"/>
      <c r="OBY140" s="208"/>
      <c r="OBZ140" s="209"/>
      <c r="OCA140" s="207"/>
      <c r="OCB140" s="210"/>
      <c r="OCC140" s="209"/>
      <c r="OCD140" s="204"/>
      <c r="OCE140" s="204"/>
      <c r="OCF140" s="204"/>
      <c r="OCG140" s="199"/>
      <c r="OCH140" s="167"/>
      <c r="OCI140" s="199"/>
      <c r="OCJ140" s="200"/>
      <c r="OCK140" s="201"/>
      <c r="OCL140" s="202"/>
      <c r="OCM140" s="202"/>
      <c r="OCN140" s="202"/>
      <c r="OCO140" s="202"/>
      <c r="OCP140" s="203"/>
      <c r="OCQ140" s="204"/>
      <c r="OCR140" s="204"/>
      <c r="OCS140" s="204"/>
      <c r="OCT140" s="205"/>
      <c r="OCU140" s="206"/>
      <c r="OCV140" s="207"/>
      <c r="OCW140" s="207"/>
      <c r="OCX140" s="208"/>
      <c r="OCY140" s="209"/>
      <c r="OCZ140" s="207"/>
      <c r="ODA140" s="210"/>
      <c r="ODB140" s="209"/>
      <c r="ODC140" s="204"/>
      <c r="ODD140" s="204"/>
      <c r="ODE140" s="204"/>
      <c r="ODF140" s="199"/>
      <c r="ODG140" s="167"/>
      <c r="ODH140" s="199"/>
      <c r="ODI140" s="200"/>
      <c r="ODJ140" s="201"/>
      <c r="ODK140" s="202"/>
      <c r="ODL140" s="202"/>
      <c r="ODM140" s="202"/>
      <c r="ODN140" s="202"/>
      <c r="ODO140" s="203"/>
      <c r="ODP140" s="204"/>
      <c r="ODQ140" s="204"/>
      <c r="ODR140" s="204"/>
      <c r="ODS140" s="205"/>
      <c r="ODT140" s="206"/>
      <c r="ODU140" s="207"/>
      <c r="ODV140" s="207"/>
      <c r="ODW140" s="208"/>
      <c r="ODX140" s="209"/>
      <c r="ODY140" s="207"/>
      <c r="ODZ140" s="210"/>
      <c r="OEA140" s="209"/>
      <c r="OEB140" s="204"/>
      <c r="OEC140" s="204"/>
      <c r="OED140" s="204"/>
      <c r="OEE140" s="199"/>
      <c r="OEF140" s="167"/>
      <c r="OEG140" s="199"/>
      <c r="OEH140" s="200"/>
      <c r="OEI140" s="201"/>
      <c r="OEJ140" s="202"/>
      <c r="OEK140" s="202"/>
      <c r="OEL140" s="202"/>
      <c r="OEM140" s="202"/>
      <c r="OEN140" s="203"/>
      <c r="OEO140" s="204"/>
      <c r="OEP140" s="204"/>
      <c r="OEQ140" s="204"/>
      <c r="OER140" s="205"/>
      <c r="OES140" s="206"/>
      <c r="OET140" s="207"/>
      <c r="OEU140" s="207"/>
      <c r="OEV140" s="208"/>
      <c r="OEW140" s="209"/>
      <c r="OEX140" s="207"/>
      <c r="OEY140" s="210"/>
      <c r="OEZ140" s="209"/>
      <c r="OFA140" s="204"/>
      <c r="OFB140" s="204"/>
      <c r="OFC140" s="204"/>
      <c r="OFD140" s="199"/>
      <c r="OFE140" s="167"/>
      <c r="OFF140" s="199"/>
      <c r="OFG140" s="200"/>
      <c r="OFH140" s="201"/>
      <c r="OFI140" s="202"/>
      <c r="OFJ140" s="202"/>
      <c r="OFK140" s="202"/>
      <c r="OFL140" s="202"/>
      <c r="OFM140" s="203"/>
      <c r="OFN140" s="204"/>
      <c r="OFO140" s="204"/>
      <c r="OFP140" s="204"/>
      <c r="OFQ140" s="205"/>
      <c r="OFR140" s="206"/>
      <c r="OFS140" s="207"/>
      <c r="OFT140" s="207"/>
      <c r="OFU140" s="208"/>
      <c r="OFV140" s="209"/>
      <c r="OFW140" s="207"/>
      <c r="OFX140" s="210"/>
      <c r="OFY140" s="209"/>
      <c r="OFZ140" s="204"/>
      <c r="OGA140" s="204"/>
      <c r="OGB140" s="204"/>
      <c r="OGC140" s="199"/>
      <c r="OGD140" s="167"/>
      <c r="OGE140" s="199"/>
      <c r="OGF140" s="200"/>
      <c r="OGG140" s="201"/>
      <c r="OGH140" s="202"/>
      <c r="OGI140" s="202"/>
      <c r="OGJ140" s="202"/>
      <c r="OGK140" s="202"/>
      <c r="OGL140" s="203"/>
      <c r="OGM140" s="204"/>
      <c r="OGN140" s="204"/>
      <c r="OGO140" s="204"/>
      <c r="OGP140" s="205"/>
      <c r="OGQ140" s="206"/>
      <c r="OGR140" s="207"/>
      <c r="OGS140" s="207"/>
      <c r="OGT140" s="208"/>
      <c r="OGU140" s="209"/>
      <c r="OGV140" s="207"/>
      <c r="OGW140" s="210"/>
      <c r="OGX140" s="209"/>
      <c r="OGY140" s="204"/>
      <c r="OGZ140" s="204"/>
      <c r="OHA140" s="204"/>
      <c r="OHB140" s="199"/>
      <c r="OHC140" s="167"/>
      <c r="OHD140" s="199"/>
      <c r="OHE140" s="200"/>
      <c r="OHF140" s="201"/>
      <c r="OHG140" s="202"/>
      <c r="OHH140" s="202"/>
      <c r="OHI140" s="202"/>
      <c r="OHJ140" s="202"/>
      <c r="OHK140" s="203"/>
      <c r="OHL140" s="204"/>
      <c r="OHM140" s="204"/>
      <c r="OHN140" s="204"/>
      <c r="OHO140" s="205"/>
      <c r="OHP140" s="206"/>
      <c r="OHQ140" s="207"/>
      <c r="OHR140" s="207"/>
      <c r="OHS140" s="208"/>
      <c r="OHT140" s="209"/>
      <c r="OHU140" s="207"/>
      <c r="OHV140" s="210"/>
      <c r="OHW140" s="209"/>
      <c r="OHX140" s="204"/>
      <c r="OHY140" s="204"/>
      <c r="OHZ140" s="204"/>
      <c r="OIA140" s="199"/>
      <c r="OIB140" s="167"/>
      <c r="OIC140" s="199"/>
      <c r="OID140" s="200"/>
      <c r="OIE140" s="201"/>
      <c r="OIF140" s="202"/>
      <c r="OIG140" s="202"/>
      <c r="OIH140" s="202"/>
      <c r="OII140" s="202"/>
      <c r="OIJ140" s="203"/>
      <c r="OIK140" s="204"/>
      <c r="OIL140" s="204"/>
      <c r="OIM140" s="204"/>
      <c r="OIN140" s="205"/>
      <c r="OIO140" s="206"/>
      <c r="OIP140" s="207"/>
      <c r="OIQ140" s="207"/>
      <c r="OIR140" s="208"/>
      <c r="OIS140" s="209"/>
      <c r="OIT140" s="207"/>
      <c r="OIU140" s="210"/>
      <c r="OIV140" s="209"/>
      <c r="OIW140" s="204"/>
      <c r="OIX140" s="204"/>
      <c r="OIY140" s="204"/>
      <c r="OIZ140" s="199"/>
      <c r="OJA140" s="167"/>
      <c r="OJB140" s="199"/>
      <c r="OJC140" s="200"/>
      <c r="OJD140" s="201"/>
      <c r="OJE140" s="202"/>
      <c r="OJF140" s="202"/>
      <c r="OJG140" s="202"/>
      <c r="OJH140" s="202"/>
      <c r="OJI140" s="203"/>
      <c r="OJJ140" s="204"/>
      <c r="OJK140" s="204"/>
      <c r="OJL140" s="204"/>
      <c r="OJM140" s="205"/>
      <c r="OJN140" s="206"/>
      <c r="OJO140" s="207"/>
      <c r="OJP140" s="207"/>
      <c r="OJQ140" s="208"/>
      <c r="OJR140" s="209"/>
      <c r="OJS140" s="207"/>
      <c r="OJT140" s="210"/>
      <c r="OJU140" s="209"/>
      <c r="OJV140" s="204"/>
      <c r="OJW140" s="204"/>
      <c r="OJX140" s="204"/>
      <c r="OJY140" s="199"/>
      <c r="OJZ140" s="167"/>
      <c r="OKA140" s="199"/>
      <c r="OKB140" s="200"/>
      <c r="OKC140" s="201"/>
      <c r="OKD140" s="202"/>
      <c r="OKE140" s="202"/>
      <c r="OKF140" s="202"/>
      <c r="OKG140" s="202"/>
      <c r="OKH140" s="203"/>
      <c r="OKI140" s="204"/>
      <c r="OKJ140" s="204"/>
      <c r="OKK140" s="204"/>
      <c r="OKL140" s="205"/>
      <c r="OKM140" s="206"/>
      <c r="OKN140" s="207"/>
      <c r="OKO140" s="207"/>
      <c r="OKP140" s="208"/>
      <c r="OKQ140" s="209"/>
      <c r="OKR140" s="207"/>
      <c r="OKS140" s="210"/>
      <c r="OKT140" s="209"/>
      <c r="OKU140" s="204"/>
      <c r="OKV140" s="204"/>
      <c r="OKW140" s="204"/>
      <c r="OKX140" s="199"/>
      <c r="OKY140" s="167"/>
      <c r="OKZ140" s="199"/>
      <c r="OLA140" s="200"/>
      <c r="OLB140" s="201"/>
      <c r="OLC140" s="202"/>
      <c r="OLD140" s="202"/>
      <c r="OLE140" s="202"/>
      <c r="OLF140" s="202"/>
      <c r="OLG140" s="203"/>
      <c r="OLH140" s="204"/>
      <c r="OLI140" s="204"/>
      <c r="OLJ140" s="204"/>
      <c r="OLK140" s="205"/>
      <c r="OLL140" s="206"/>
      <c r="OLM140" s="207"/>
      <c r="OLN140" s="207"/>
      <c r="OLO140" s="208"/>
      <c r="OLP140" s="209"/>
      <c r="OLQ140" s="207"/>
      <c r="OLR140" s="210"/>
      <c r="OLS140" s="209"/>
      <c r="OLT140" s="204"/>
      <c r="OLU140" s="204"/>
      <c r="OLV140" s="204"/>
      <c r="OLW140" s="199"/>
      <c r="OLX140" s="167"/>
      <c r="OLY140" s="199"/>
      <c r="OLZ140" s="200"/>
      <c r="OMA140" s="201"/>
      <c r="OMB140" s="202"/>
      <c r="OMC140" s="202"/>
      <c r="OMD140" s="202"/>
      <c r="OME140" s="202"/>
      <c r="OMF140" s="203"/>
      <c r="OMG140" s="204"/>
      <c r="OMH140" s="204"/>
      <c r="OMI140" s="204"/>
      <c r="OMJ140" s="205"/>
      <c r="OMK140" s="206"/>
      <c r="OML140" s="207"/>
      <c r="OMM140" s="207"/>
      <c r="OMN140" s="208"/>
      <c r="OMO140" s="209"/>
      <c r="OMP140" s="207"/>
      <c r="OMQ140" s="210"/>
      <c r="OMR140" s="209"/>
      <c r="OMS140" s="204"/>
      <c r="OMT140" s="204"/>
      <c r="OMU140" s="204"/>
      <c r="OMV140" s="199"/>
      <c r="OMW140" s="167"/>
      <c r="OMX140" s="199"/>
      <c r="OMY140" s="200"/>
      <c r="OMZ140" s="201"/>
      <c r="ONA140" s="202"/>
      <c r="ONB140" s="202"/>
      <c r="ONC140" s="202"/>
      <c r="OND140" s="202"/>
      <c r="ONE140" s="203"/>
      <c r="ONF140" s="204"/>
      <c r="ONG140" s="204"/>
      <c r="ONH140" s="204"/>
      <c r="ONI140" s="205"/>
      <c r="ONJ140" s="206"/>
      <c r="ONK140" s="207"/>
      <c r="ONL140" s="207"/>
      <c r="ONM140" s="208"/>
      <c r="ONN140" s="209"/>
      <c r="ONO140" s="207"/>
      <c r="ONP140" s="210"/>
      <c r="ONQ140" s="209"/>
      <c r="ONR140" s="204"/>
      <c r="ONS140" s="204"/>
      <c r="ONT140" s="204"/>
      <c r="ONU140" s="199"/>
      <c r="ONV140" s="167"/>
      <c r="ONW140" s="199"/>
      <c r="ONX140" s="200"/>
      <c r="ONY140" s="201"/>
      <c r="ONZ140" s="202"/>
      <c r="OOA140" s="202"/>
      <c r="OOB140" s="202"/>
      <c r="OOC140" s="202"/>
      <c r="OOD140" s="203"/>
      <c r="OOE140" s="204"/>
      <c r="OOF140" s="204"/>
      <c r="OOG140" s="204"/>
      <c r="OOH140" s="205"/>
      <c r="OOI140" s="206"/>
      <c r="OOJ140" s="207"/>
      <c r="OOK140" s="207"/>
      <c r="OOL140" s="208"/>
      <c r="OOM140" s="209"/>
      <c r="OON140" s="207"/>
      <c r="OOO140" s="210"/>
      <c r="OOP140" s="209"/>
      <c r="OOQ140" s="204"/>
      <c r="OOR140" s="204"/>
      <c r="OOS140" s="204"/>
      <c r="OOT140" s="199"/>
      <c r="OOU140" s="167"/>
      <c r="OOV140" s="199"/>
      <c r="OOW140" s="200"/>
      <c r="OOX140" s="201"/>
      <c r="OOY140" s="202"/>
      <c r="OOZ140" s="202"/>
      <c r="OPA140" s="202"/>
      <c r="OPB140" s="202"/>
      <c r="OPC140" s="203"/>
      <c r="OPD140" s="204"/>
      <c r="OPE140" s="204"/>
      <c r="OPF140" s="204"/>
      <c r="OPG140" s="205"/>
      <c r="OPH140" s="206"/>
      <c r="OPI140" s="207"/>
      <c r="OPJ140" s="207"/>
      <c r="OPK140" s="208"/>
      <c r="OPL140" s="209"/>
      <c r="OPM140" s="207"/>
      <c r="OPN140" s="210"/>
      <c r="OPO140" s="209"/>
      <c r="OPP140" s="204"/>
      <c r="OPQ140" s="204"/>
      <c r="OPR140" s="204"/>
      <c r="OPS140" s="199"/>
      <c r="OPT140" s="167"/>
      <c r="OPU140" s="199"/>
      <c r="OPV140" s="200"/>
      <c r="OPW140" s="201"/>
      <c r="OPX140" s="202"/>
      <c r="OPY140" s="202"/>
      <c r="OPZ140" s="202"/>
      <c r="OQA140" s="202"/>
      <c r="OQB140" s="203"/>
      <c r="OQC140" s="204"/>
      <c r="OQD140" s="204"/>
      <c r="OQE140" s="204"/>
      <c r="OQF140" s="205"/>
      <c r="OQG140" s="206"/>
      <c r="OQH140" s="207"/>
      <c r="OQI140" s="207"/>
      <c r="OQJ140" s="208"/>
      <c r="OQK140" s="209"/>
      <c r="OQL140" s="207"/>
      <c r="OQM140" s="210"/>
      <c r="OQN140" s="209"/>
      <c r="OQO140" s="204"/>
      <c r="OQP140" s="204"/>
      <c r="OQQ140" s="204"/>
      <c r="OQR140" s="199"/>
      <c r="OQS140" s="167"/>
      <c r="OQT140" s="199"/>
      <c r="OQU140" s="200"/>
      <c r="OQV140" s="201"/>
      <c r="OQW140" s="202"/>
      <c r="OQX140" s="202"/>
      <c r="OQY140" s="202"/>
      <c r="OQZ140" s="202"/>
      <c r="ORA140" s="203"/>
      <c r="ORB140" s="204"/>
      <c r="ORC140" s="204"/>
      <c r="ORD140" s="204"/>
      <c r="ORE140" s="205"/>
      <c r="ORF140" s="206"/>
      <c r="ORG140" s="207"/>
      <c r="ORH140" s="207"/>
      <c r="ORI140" s="208"/>
      <c r="ORJ140" s="209"/>
      <c r="ORK140" s="207"/>
      <c r="ORL140" s="210"/>
      <c r="ORM140" s="209"/>
      <c r="ORN140" s="204"/>
      <c r="ORO140" s="204"/>
      <c r="ORP140" s="204"/>
      <c r="ORQ140" s="199"/>
      <c r="ORR140" s="167"/>
      <c r="ORS140" s="199"/>
      <c r="ORT140" s="200"/>
      <c r="ORU140" s="201"/>
      <c r="ORV140" s="202"/>
      <c r="ORW140" s="202"/>
      <c r="ORX140" s="202"/>
      <c r="ORY140" s="202"/>
      <c r="ORZ140" s="203"/>
      <c r="OSA140" s="204"/>
      <c r="OSB140" s="204"/>
      <c r="OSC140" s="204"/>
      <c r="OSD140" s="205"/>
      <c r="OSE140" s="206"/>
      <c r="OSF140" s="207"/>
      <c r="OSG140" s="207"/>
      <c r="OSH140" s="208"/>
      <c r="OSI140" s="209"/>
      <c r="OSJ140" s="207"/>
      <c r="OSK140" s="210"/>
      <c r="OSL140" s="209"/>
      <c r="OSM140" s="204"/>
      <c r="OSN140" s="204"/>
      <c r="OSO140" s="204"/>
      <c r="OSP140" s="199"/>
      <c r="OSQ140" s="167"/>
      <c r="OSR140" s="199"/>
      <c r="OSS140" s="200"/>
      <c r="OST140" s="201"/>
      <c r="OSU140" s="202"/>
      <c r="OSV140" s="202"/>
      <c r="OSW140" s="202"/>
      <c r="OSX140" s="202"/>
      <c r="OSY140" s="203"/>
      <c r="OSZ140" s="204"/>
      <c r="OTA140" s="204"/>
      <c r="OTB140" s="204"/>
      <c r="OTC140" s="205"/>
      <c r="OTD140" s="206"/>
      <c r="OTE140" s="207"/>
      <c r="OTF140" s="207"/>
      <c r="OTG140" s="208"/>
      <c r="OTH140" s="209"/>
      <c r="OTI140" s="207"/>
      <c r="OTJ140" s="210"/>
      <c r="OTK140" s="209"/>
      <c r="OTL140" s="204"/>
      <c r="OTM140" s="204"/>
      <c r="OTN140" s="204"/>
      <c r="OTO140" s="199"/>
      <c r="OTP140" s="167"/>
      <c r="OTQ140" s="199"/>
      <c r="OTR140" s="200"/>
      <c r="OTS140" s="201"/>
      <c r="OTT140" s="202"/>
      <c r="OTU140" s="202"/>
      <c r="OTV140" s="202"/>
      <c r="OTW140" s="202"/>
      <c r="OTX140" s="203"/>
      <c r="OTY140" s="204"/>
      <c r="OTZ140" s="204"/>
      <c r="OUA140" s="204"/>
      <c r="OUB140" s="205"/>
      <c r="OUC140" s="206"/>
      <c r="OUD140" s="207"/>
      <c r="OUE140" s="207"/>
      <c r="OUF140" s="208"/>
      <c r="OUG140" s="209"/>
      <c r="OUH140" s="207"/>
      <c r="OUI140" s="210"/>
      <c r="OUJ140" s="209"/>
      <c r="OUK140" s="204"/>
      <c r="OUL140" s="204"/>
      <c r="OUM140" s="204"/>
      <c r="OUN140" s="199"/>
      <c r="OUO140" s="167"/>
      <c r="OUP140" s="199"/>
      <c r="OUQ140" s="200"/>
      <c r="OUR140" s="201"/>
      <c r="OUS140" s="202"/>
      <c r="OUT140" s="202"/>
      <c r="OUU140" s="202"/>
      <c r="OUV140" s="202"/>
      <c r="OUW140" s="203"/>
      <c r="OUX140" s="204"/>
      <c r="OUY140" s="204"/>
      <c r="OUZ140" s="204"/>
      <c r="OVA140" s="205"/>
      <c r="OVB140" s="206"/>
      <c r="OVC140" s="207"/>
      <c r="OVD140" s="207"/>
      <c r="OVE140" s="208"/>
      <c r="OVF140" s="209"/>
      <c r="OVG140" s="207"/>
      <c r="OVH140" s="210"/>
      <c r="OVI140" s="209"/>
      <c r="OVJ140" s="204"/>
      <c r="OVK140" s="204"/>
      <c r="OVL140" s="204"/>
      <c r="OVM140" s="199"/>
      <c r="OVN140" s="167"/>
      <c r="OVO140" s="199"/>
      <c r="OVP140" s="200"/>
      <c r="OVQ140" s="201"/>
      <c r="OVR140" s="202"/>
      <c r="OVS140" s="202"/>
      <c r="OVT140" s="202"/>
      <c r="OVU140" s="202"/>
      <c r="OVV140" s="203"/>
      <c r="OVW140" s="204"/>
      <c r="OVX140" s="204"/>
      <c r="OVY140" s="204"/>
      <c r="OVZ140" s="205"/>
      <c r="OWA140" s="206"/>
      <c r="OWB140" s="207"/>
      <c r="OWC140" s="207"/>
      <c r="OWD140" s="208"/>
      <c r="OWE140" s="209"/>
      <c r="OWF140" s="207"/>
      <c r="OWG140" s="210"/>
      <c r="OWH140" s="209"/>
      <c r="OWI140" s="204"/>
      <c r="OWJ140" s="204"/>
      <c r="OWK140" s="204"/>
      <c r="OWL140" s="199"/>
      <c r="OWM140" s="167"/>
      <c r="OWN140" s="199"/>
      <c r="OWO140" s="200"/>
      <c r="OWP140" s="201"/>
      <c r="OWQ140" s="202"/>
      <c r="OWR140" s="202"/>
      <c r="OWS140" s="202"/>
      <c r="OWT140" s="202"/>
      <c r="OWU140" s="203"/>
      <c r="OWV140" s="204"/>
      <c r="OWW140" s="204"/>
      <c r="OWX140" s="204"/>
      <c r="OWY140" s="205"/>
      <c r="OWZ140" s="206"/>
      <c r="OXA140" s="207"/>
      <c r="OXB140" s="207"/>
      <c r="OXC140" s="208"/>
      <c r="OXD140" s="209"/>
      <c r="OXE140" s="207"/>
      <c r="OXF140" s="210"/>
      <c r="OXG140" s="209"/>
      <c r="OXH140" s="204"/>
      <c r="OXI140" s="204"/>
      <c r="OXJ140" s="204"/>
      <c r="OXK140" s="199"/>
      <c r="OXL140" s="167"/>
      <c r="OXM140" s="199"/>
      <c r="OXN140" s="200"/>
      <c r="OXO140" s="201"/>
      <c r="OXP140" s="202"/>
      <c r="OXQ140" s="202"/>
      <c r="OXR140" s="202"/>
      <c r="OXS140" s="202"/>
      <c r="OXT140" s="203"/>
      <c r="OXU140" s="204"/>
      <c r="OXV140" s="204"/>
      <c r="OXW140" s="204"/>
      <c r="OXX140" s="205"/>
      <c r="OXY140" s="206"/>
      <c r="OXZ140" s="207"/>
      <c r="OYA140" s="207"/>
      <c r="OYB140" s="208"/>
      <c r="OYC140" s="209"/>
      <c r="OYD140" s="207"/>
      <c r="OYE140" s="210"/>
      <c r="OYF140" s="209"/>
      <c r="OYG140" s="204"/>
      <c r="OYH140" s="204"/>
      <c r="OYI140" s="204"/>
      <c r="OYJ140" s="199"/>
      <c r="OYK140" s="167"/>
      <c r="OYL140" s="199"/>
      <c r="OYM140" s="200"/>
      <c r="OYN140" s="201"/>
      <c r="OYO140" s="202"/>
      <c r="OYP140" s="202"/>
      <c r="OYQ140" s="202"/>
      <c r="OYR140" s="202"/>
      <c r="OYS140" s="203"/>
      <c r="OYT140" s="204"/>
      <c r="OYU140" s="204"/>
      <c r="OYV140" s="204"/>
      <c r="OYW140" s="205"/>
      <c r="OYX140" s="206"/>
      <c r="OYY140" s="207"/>
      <c r="OYZ140" s="207"/>
      <c r="OZA140" s="208"/>
      <c r="OZB140" s="209"/>
      <c r="OZC140" s="207"/>
      <c r="OZD140" s="210"/>
      <c r="OZE140" s="209"/>
      <c r="OZF140" s="204"/>
      <c r="OZG140" s="204"/>
      <c r="OZH140" s="204"/>
      <c r="OZI140" s="199"/>
      <c r="OZJ140" s="167"/>
      <c r="OZK140" s="199"/>
      <c r="OZL140" s="200"/>
      <c r="OZM140" s="201"/>
      <c r="OZN140" s="202"/>
      <c r="OZO140" s="202"/>
      <c r="OZP140" s="202"/>
      <c r="OZQ140" s="202"/>
      <c r="OZR140" s="203"/>
      <c r="OZS140" s="204"/>
      <c r="OZT140" s="204"/>
      <c r="OZU140" s="204"/>
      <c r="OZV140" s="205"/>
      <c r="OZW140" s="206"/>
      <c r="OZX140" s="207"/>
      <c r="OZY140" s="207"/>
      <c r="OZZ140" s="208"/>
      <c r="PAA140" s="209"/>
      <c r="PAB140" s="207"/>
      <c r="PAC140" s="210"/>
      <c r="PAD140" s="209"/>
      <c r="PAE140" s="204"/>
      <c r="PAF140" s="204"/>
      <c r="PAG140" s="204"/>
      <c r="PAH140" s="199"/>
      <c r="PAI140" s="167"/>
      <c r="PAJ140" s="199"/>
      <c r="PAK140" s="200"/>
      <c r="PAL140" s="201"/>
      <c r="PAM140" s="202"/>
      <c r="PAN140" s="202"/>
      <c r="PAO140" s="202"/>
      <c r="PAP140" s="202"/>
      <c r="PAQ140" s="203"/>
      <c r="PAR140" s="204"/>
      <c r="PAS140" s="204"/>
      <c r="PAT140" s="204"/>
      <c r="PAU140" s="205"/>
      <c r="PAV140" s="206"/>
      <c r="PAW140" s="207"/>
      <c r="PAX140" s="207"/>
      <c r="PAY140" s="208"/>
      <c r="PAZ140" s="209"/>
      <c r="PBA140" s="207"/>
      <c r="PBB140" s="210"/>
      <c r="PBC140" s="209"/>
      <c r="PBD140" s="204"/>
      <c r="PBE140" s="204"/>
      <c r="PBF140" s="204"/>
      <c r="PBG140" s="199"/>
      <c r="PBH140" s="167"/>
      <c r="PBI140" s="199"/>
      <c r="PBJ140" s="200"/>
      <c r="PBK140" s="201"/>
      <c r="PBL140" s="202"/>
      <c r="PBM140" s="202"/>
      <c r="PBN140" s="202"/>
      <c r="PBO140" s="202"/>
      <c r="PBP140" s="203"/>
      <c r="PBQ140" s="204"/>
      <c r="PBR140" s="204"/>
      <c r="PBS140" s="204"/>
      <c r="PBT140" s="205"/>
      <c r="PBU140" s="206"/>
      <c r="PBV140" s="207"/>
      <c r="PBW140" s="207"/>
      <c r="PBX140" s="208"/>
      <c r="PBY140" s="209"/>
      <c r="PBZ140" s="207"/>
      <c r="PCA140" s="210"/>
      <c r="PCB140" s="209"/>
      <c r="PCC140" s="204"/>
      <c r="PCD140" s="204"/>
      <c r="PCE140" s="204"/>
      <c r="PCF140" s="199"/>
      <c r="PCG140" s="167"/>
      <c r="PCH140" s="199"/>
      <c r="PCI140" s="200"/>
      <c r="PCJ140" s="201"/>
      <c r="PCK140" s="202"/>
      <c r="PCL140" s="202"/>
      <c r="PCM140" s="202"/>
      <c r="PCN140" s="202"/>
      <c r="PCO140" s="203"/>
      <c r="PCP140" s="204"/>
      <c r="PCQ140" s="204"/>
      <c r="PCR140" s="204"/>
      <c r="PCS140" s="205"/>
      <c r="PCT140" s="206"/>
      <c r="PCU140" s="207"/>
      <c r="PCV140" s="207"/>
      <c r="PCW140" s="208"/>
      <c r="PCX140" s="209"/>
      <c r="PCY140" s="207"/>
      <c r="PCZ140" s="210"/>
      <c r="PDA140" s="209"/>
      <c r="PDB140" s="204"/>
      <c r="PDC140" s="204"/>
      <c r="PDD140" s="204"/>
      <c r="PDE140" s="199"/>
      <c r="PDF140" s="167"/>
      <c r="PDG140" s="199"/>
      <c r="PDH140" s="200"/>
      <c r="PDI140" s="201"/>
      <c r="PDJ140" s="202"/>
      <c r="PDK140" s="202"/>
      <c r="PDL140" s="202"/>
      <c r="PDM140" s="202"/>
      <c r="PDN140" s="203"/>
      <c r="PDO140" s="204"/>
      <c r="PDP140" s="204"/>
      <c r="PDQ140" s="204"/>
      <c r="PDR140" s="205"/>
      <c r="PDS140" s="206"/>
      <c r="PDT140" s="207"/>
      <c r="PDU140" s="207"/>
      <c r="PDV140" s="208"/>
      <c r="PDW140" s="209"/>
      <c r="PDX140" s="207"/>
      <c r="PDY140" s="210"/>
      <c r="PDZ140" s="209"/>
      <c r="PEA140" s="204"/>
      <c r="PEB140" s="204"/>
      <c r="PEC140" s="204"/>
      <c r="PED140" s="199"/>
      <c r="PEE140" s="167"/>
      <c r="PEF140" s="199"/>
      <c r="PEG140" s="200"/>
      <c r="PEH140" s="201"/>
      <c r="PEI140" s="202"/>
      <c r="PEJ140" s="202"/>
      <c r="PEK140" s="202"/>
      <c r="PEL140" s="202"/>
      <c r="PEM140" s="203"/>
      <c r="PEN140" s="204"/>
      <c r="PEO140" s="204"/>
      <c r="PEP140" s="204"/>
      <c r="PEQ140" s="205"/>
      <c r="PER140" s="206"/>
      <c r="PES140" s="207"/>
      <c r="PET140" s="207"/>
      <c r="PEU140" s="208"/>
      <c r="PEV140" s="209"/>
      <c r="PEW140" s="207"/>
      <c r="PEX140" s="210"/>
      <c r="PEY140" s="209"/>
      <c r="PEZ140" s="204"/>
      <c r="PFA140" s="204"/>
      <c r="PFB140" s="204"/>
      <c r="PFC140" s="199"/>
      <c r="PFD140" s="167"/>
      <c r="PFE140" s="199"/>
      <c r="PFF140" s="200"/>
      <c r="PFG140" s="201"/>
      <c r="PFH140" s="202"/>
      <c r="PFI140" s="202"/>
      <c r="PFJ140" s="202"/>
      <c r="PFK140" s="202"/>
      <c r="PFL140" s="203"/>
      <c r="PFM140" s="204"/>
      <c r="PFN140" s="204"/>
      <c r="PFO140" s="204"/>
      <c r="PFP140" s="205"/>
      <c r="PFQ140" s="206"/>
      <c r="PFR140" s="207"/>
      <c r="PFS140" s="207"/>
      <c r="PFT140" s="208"/>
      <c r="PFU140" s="209"/>
      <c r="PFV140" s="207"/>
      <c r="PFW140" s="210"/>
      <c r="PFX140" s="209"/>
      <c r="PFY140" s="204"/>
      <c r="PFZ140" s="204"/>
      <c r="PGA140" s="204"/>
      <c r="PGB140" s="199"/>
      <c r="PGC140" s="167"/>
      <c r="PGD140" s="199"/>
      <c r="PGE140" s="200"/>
      <c r="PGF140" s="201"/>
      <c r="PGG140" s="202"/>
      <c r="PGH140" s="202"/>
      <c r="PGI140" s="202"/>
      <c r="PGJ140" s="202"/>
      <c r="PGK140" s="203"/>
      <c r="PGL140" s="204"/>
      <c r="PGM140" s="204"/>
      <c r="PGN140" s="204"/>
      <c r="PGO140" s="205"/>
      <c r="PGP140" s="206"/>
      <c r="PGQ140" s="207"/>
      <c r="PGR140" s="207"/>
      <c r="PGS140" s="208"/>
      <c r="PGT140" s="209"/>
      <c r="PGU140" s="207"/>
      <c r="PGV140" s="210"/>
      <c r="PGW140" s="209"/>
      <c r="PGX140" s="204"/>
      <c r="PGY140" s="204"/>
      <c r="PGZ140" s="204"/>
      <c r="PHA140" s="199"/>
      <c r="PHB140" s="167"/>
      <c r="PHC140" s="199"/>
      <c r="PHD140" s="200"/>
      <c r="PHE140" s="201"/>
      <c r="PHF140" s="202"/>
      <c r="PHG140" s="202"/>
      <c r="PHH140" s="202"/>
      <c r="PHI140" s="202"/>
      <c r="PHJ140" s="203"/>
      <c r="PHK140" s="204"/>
      <c r="PHL140" s="204"/>
      <c r="PHM140" s="204"/>
      <c r="PHN140" s="205"/>
      <c r="PHO140" s="206"/>
      <c r="PHP140" s="207"/>
      <c r="PHQ140" s="207"/>
      <c r="PHR140" s="208"/>
      <c r="PHS140" s="209"/>
      <c r="PHT140" s="207"/>
      <c r="PHU140" s="210"/>
      <c r="PHV140" s="209"/>
      <c r="PHW140" s="204"/>
      <c r="PHX140" s="204"/>
      <c r="PHY140" s="204"/>
      <c r="PHZ140" s="199"/>
      <c r="PIA140" s="167"/>
      <c r="PIB140" s="199"/>
      <c r="PIC140" s="200"/>
      <c r="PID140" s="201"/>
      <c r="PIE140" s="202"/>
      <c r="PIF140" s="202"/>
      <c r="PIG140" s="202"/>
      <c r="PIH140" s="202"/>
      <c r="PII140" s="203"/>
      <c r="PIJ140" s="204"/>
      <c r="PIK140" s="204"/>
      <c r="PIL140" s="204"/>
      <c r="PIM140" s="205"/>
      <c r="PIN140" s="206"/>
      <c r="PIO140" s="207"/>
      <c r="PIP140" s="207"/>
      <c r="PIQ140" s="208"/>
      <c r="PIR140" s="209"/>
      <c r="PIS140" s="207"/>
      <c r="PIT140" s="210"/>
      <c r="PIU140" s="209"/>
      <c r="PIV140" s="204"/>
      <c r="PIW140" s="204"/>
      <c r="PIX140" s="204"/>
      <c r="PIY140" s="199"/>
      <c r="PIZ140" s="167"/>
      <c r="PJA140" s="199"/>
      <c r="PJB140" s="200"/>
      <c r="PJC140" s="201"/>
      <c r="PJD140" s="202"/>
      <c r="PJE140" s="202"/>
      <c r="PJF140" s="202"/>
      <c r="PJG140" s="202"/>
      <c r="PJH140" s="203"/>
      <c r="PJI140" s="204"/>
      <c r="PJJ140" s="204"/>
      <c r="PJK140" s="204"/>
      <c r="PJL140" s="205"/>
      <c r="PJM140" s="206"/>
      <c r="PJN140" s="207"/>
      <c r="PJO140" s="207"/>
      <c r="PJP140" s="208"/>
      <c r="PJQ140" s="209"/>
      <c r="PJR140" s="207"/>
      <c r="PJS140" s="210"/>
      <c r="PJT140" s="209"/>
      <c r="PJU140" s="204"/>
      <c r="PJV140" s="204"/>
      <c r="PJW140" s="204"/>
      <c r="PJX140" s="199"/>
      <c r="PJY140" s="167"/>
      <c r="PJZ140" s="199"/>
      <c r="PKA140" s="200"/>
      <c r="PKB140" s="201"/>
      <c r="PKC140" s="202"/>
      <c r="PKD140" s="202"/>
      <c r="PKE140" s="202"/>
      <c r="PKF140" s="202"/>
      <c r="PKG140" s="203"/>
      <c r="PKH140" s="204"/>
      <c r="PKI140" s="204"/>
      <c r="PKJ140" s="204"/>
      <c r="PKK140" s="205"/>
      <c r="PKL140" s="206"/>
      <c r="PKM140" s="207"/>
      <c r="PKN140" s="207"/>
      <c r="PKO140" s="208"/>
      <c r="PKP140" s="209"/>
      <c r="PKQ140" s="207"/>
      <c r="PKR140" s="210"/>
      <c r="PKS140" s="209"/>
      <c r="PKT140" s="204"/>
      <c r="PKU140" s="204"/>
      <c r="PKV140" s="204"/>
      <c r="PKW140" s="199"/>
      <c r="PKX140" s="167"/>
      <c r="PKY140" s="199"/>
      <c r="PKZ140" s="200"/>
      <c r="PLA140" s="201"/>
      <c r="PLB140" s="202"/>
      <c r="PLC140" s="202"/>
      <c r="PLD140" s="202"/>
      <c r="PLE140" s="202"/>
      <c r="PLF140" s="203"/>
      <c r="PLG140" s="204"/>
      <c r="PLH140" s="204"/>
      <c r="PLI140" s="204"/>
      <c r="PLJ140" s="205"/>
      <c r="PLK140" s="206"/>
      <c r="PLL140" s="207"/>
      <c r="PLM140" s="207"/>
      <c r="PLN140" s="208"/>
      <c r="PLO140" s="209"/>
      <c r="PLP140" s="207"/>
      <c r="PLQ140" s="210"/>
      <c r="PLR140" s="209"/>
      <c r="PLS140" s="204"/>
      <c r="PLT140" s="204"/>
      <c r="PLU140" s="204"/>
      <c r="PLV140" s="199"/>
      <c r="PLW140" s="167"/>
      <c r="PLX140" s="199"/>
      <c r="PLY140" s="200"/>
      <c r="PLZ140" s="201"/>
      <c r="PMA140" s="202"/>
      <c r="PMB140" s="202"/>
      <c r="PMC140" s="202"/>
      <c r="PMD140" s="202"/>
      <c r="PME140" s="203"/>
      <c r="PMF140" s="204"/>
      <c r="PMG140" s="204"/>
      <c r="PMH140" s="204"/>
      <c r="PMI140" s="205"/>
      <c r="PMJ140" s="206"/>
      <c r="PMK140" s="207"/>
      <c r="PML140" s="207"/>
      <c r="PMM140" s="208"/>
      <c r="PMN140" s="209"/>
      <c r="PMO140" s="207"/>
      <c r="PMP140" s="210"/>
      <c r="PMQ140" s="209"/>
      <c r="PMR140" s="204"/>
      <c r="PMS140" s="204"/>
      <c r="PMT140" s="204"/>
      <c r="PMU140" s="199"/>
      <c r="PMV140" s="167"/>
      <c r="PMW140" s="199"/>
      <c r="PMX140" s="200"/>
      <c r="PMY140" s="201"/>
      <c r="PMZ140" s="202"/>
      <c r="PNA140" s="202"/>
      <c r="PNB140" s="202"/>
      <c r="PNC140" s="202"/>
      <c r="PND140" s="203"/>
      <c r="PNE140" s="204"/>
      <c r="PNF140" s="204"/>
      <c r="PNG140" s="204"/>
      <c r="PNH140" s="205"/>
      <c r="PNI140" s="206"/>
      <c r="PNJ140" s="207"/>
      <c r="PNK140" s="207"/>
      <c r="PNL140" s="208"/>
      <c r="PNM140" s="209"/>
      <c r="PNN140" s="207"/>
      <c r="PNO140" s="210"/>
      <c r="PNP140" s="209"/>
      <c r="PNQ140" s="204"/>
      <c r="PNR140" s="204"/>
      <c r="PNS140" s="204"/>
      <c r="PNT140" s="199"/>
      <c r="PNU140" s="167"/>
      <c r="PNV140" s="199"/>
      <c r="PNW140" s="200"/>
      <c r="PNX140" s="201"/>
      <c r="PNY140" s="202"/>
      <c r="PNZ140" s="202"/>
      <c r="POA140" s="202"/>
      <c r="POB140" s="202"/>
      <c r="POC140" s="203"/>
      <c r="POD140" s="204"/>
      <c r="POE140" s="204"/>
      <c r="POF140" s="204"/>
      <c r="POG140" s="205"/>
      <c r="POH140" s="206"/>
      <c r="POI140" s="207"/>
      <c r="POJ140" s="207"/>
      <c r="POK140" s="208"/>
      <c r="POL140" s="209"/>
      <c r="POM140" s="207"/>
      <c r="PON140" s="210"/>
      <c r="POO140" s="209"/>
      <c r="POP140" s="204"/>
      <c r="POQ140" s="204"/>
      <c r="POR140" s="204"/>
      <c r="POS140" s="199"/>
      <c r="POT140" s="167"/>
      <c r="POU140" s="199"/>
      <c r="POV140" s="200"/>
      <c r="POW140" s="201"/>
      <c r="POX140" s="202"/>
      <c r="POY140" s="202"/>
      <c r="POZ140" s="202"/>
      <c r="PPA140" s="202"/>
      <c r="PPB140" s="203"/>
      <c r="PPC140" s="204"/>
      <c r="PPD140" s="204"/>
      <c r="PPE140" s="204"/>
      <c r="PPF140" s="205"/>
      <c r="PPG140" s="206"/>
      <c r="PPH140" s="207"/>
      <c r="PPI140" s="207"/>
      <c r="PPJ140" s="208"/>
      <c r="PPK140" s="209"/>
      <c r="PPL140" s="207"/>
      <c r="PPM140" s="210"/>
      <c r="PPN140" s="209"/>
      <c r="PPO140" s="204"/>
      <c r="PPP140" s="204"/>
      <c r="PPQ140" s="204"/>
      <c r="PPR140" s="199"/>
      <c r="PPS140" s="167"/>
      <c r="PPT140" s="199"/>
      <c r="PPU140" s="200"/>
      <c r="PPV140" s="201"/>
      <c r="PPW140" s="202"/>
      <c r="PPX140" s="202"/>
      <c r="PPY140" s="202"/>
      <c r="PPZ140" s="202"/>
      <c r="PQA140" s="203"/>
      <c r="PQB140" s="204"/>
      <c r="PQC140" s="204"/>
      <c r="PQD140" s="204"/>
      <c r="PQE140" s="205"/>
      <c r="PQF140" s="206"/>
      <c r="PQG140" s="207"/>
      <c r="PQH140" s="207"/>
      <c r="PQI140" s="208"/>
      <c r="PQJ140" s="209"/>
      <c r="PQK140" s="207"/>
      <c r="PQL140" s="210"/>
      <c r="PQM140" s="209"/>
      <c r="PQN140" s="204"/>
      <c r="PQO140" s="204"/>
      <c r="PQP140" s="204"/>
      <c r="PQQ140" s="199"/>
      <c r="PQR140" s="167"/>
      <c r="PQS140" s="199"/>
      <c r="PQT140" s="200"/>
      <c r="PQU140" s="201"/>
      <c r="PQV140" s="202"/>
      <c r="PQW140" s="202"/>
      <c r="PQX140" s="202"/>
      <c r="PQY140" s="202"/>
      <c r="PQZ140" s="203"/>
      <c r="PRA140" s="204"/>
      <c r="PRB140" s="204"/>
      <c r="PRC140" s="204"/>
      <c r="PRD140" s="205"/>
      <c r="PRE140" s="206"/>
      <c r="PRF140" s="207"/>
      <c r="PRG140" s="207"/>
      <c r="PRH140" s="208"/>
      <c r="PRI140" s="209"/>
      <c r="PRJ140" s="207"/>
      <c r="PRK140" s="210"/>
      <c r="PRL140" s="209"/>
      <c r="PRM140" s="204"/>
      <c r="PRN140" s="204"/>
      <c r="PRO140" s="204"/>
      <c r="PRP140" s="199"/>
      <c r="PRQ140" s="167"/>
      <c r="PRR140" s="199"/>
      <c r="PRS140" s="200"/>
      <c r="PRT140" s="201"/>
      <c r="PRU140" s="202"/>
      <c r="PRV140" s="202"/>
      <c r="PRW140" s="202"/>
      <c r="PRX140" s="202"/>
      <c r="PRY140" s="203"/>
      <c r="PRZ140" s="204"/>
      <c r="PSA140" s="204"/>
      <c r="PSB140" s="204"/>
      <c r="PSC140" s="205"/>
      <c r="PSD140" s="206"/>
      <c r="PSE140" s="207"/>
      <c r="PSF140" s="207"/>
      <c r="PSG140" s="208"/>
      <c r="PSH140" s="209"/>
      <c r="PSI140" s="207"/>
      <c r="PSJ140" s="210"/>
      <c r="PSK140" s="209"/>
      <c r="PSL140" s="204"/>
      <c r="PSM140" s="204"/>
      <c r="PSN140" s="204"/>
      <c r="PSO140" s="199"/>
      <c r="PSP140" s="167"/>
      <c r="PSQ140" s="199"/>
      <c r="PSR140" s="200"/>
      <c r="PSS140" s="201"/>
      <c r="PST140" s="202"/>
      <c r="PSU140" s="202"/>
      <c r="PSV140" s="202"/>
      <c r="PSW140" s="202"/>
      <c r="PSX140" s="203"/>
      <c r="PSY140" s="204"/>
      <c r="PSZ140" s="204"/>
      <c r="PTA140" s="204"/>
      <c r="PTB140" s="205"/>
      <c r="PTC140" s="206"/>
      <c r="PTD140" s="207"/>
      <c r="PTE140" s="207"/>
      <c r="PTF140" s="208"/>
      <c r="PTG140" s="209"/>
      <c r="PTH140" s="207"/>
      <c r="PTI140" s="210"/>
      <c r="PTJ140" s="209"/>
      <c r="PTK140" s="204"/>
      <c r="PTL140" s="204"/>
      <c r="PTM140" s="204"/>
      <c r="PTN140" s="199"/>
      <c r="PTO140" s="167"/>
      <c r="PTP140" s="199"/>
      <c r="PTQ140" s="200"/>
      <c r="PTR140" s="201"/>
      <c r="PTS140" s="202"/>
      <c r="PTT140" s="202"/>
      <c r="PTU140" s="202"/>
      <c r="PTV140" s="202"/>
      <c r="PTW140" s="203"/>
      <c r="PTX140" s="204"/>
      <c r="PTY140" s="204"/>
      <c r="PTZ140" s="204"/>
      <c r="PUA140" s="205"/>
      <c r="PUB140" s="206"/>
      <c r="PUC140" s="207"/>
      <c r="PUD140" s="207"/>
      <c r="PUE140" s="208"/>
      <c r="PUF140" s="209"/>
      <c r="PUG140" s="207"/>
      <c r="PUH140" s="210"/>
      <c r="PUI140" s="209"/>
      <c r="PUJ140" s="204"/>
      <c r="PUK140" s="204"/>
      <c r="PUL140" s="204"/>
      <c r="PUM140" s="199"/>
      <c r="PUN140" s="167"/>
      <c r="PUO140" s="199"/>
      <c r="PUP140" s="200"/>
      <c r="PUQ140" s="201"/>
      <c r="PUR140" s="202"/>
      <c r="PUS140" s="202"/>
      <c r="PUT140" s="202"/>
      <c r="PUU140" s="202"/>
      <c r="PUV140" s="203"/>
      <c r="PUW140" s="204"/>
      <c r="PUX140" s="204"/>
      <c r="PUY140" s="204"/>
      <c r="PUZ140" s="205"/>
      <c r="PVA140" s="206"/>
      <c r="PVB140" s="207"/>
      <c r="PVC140" s="207"/>
      <c r="PVD140" s="208"/>
      <c r="PVE140" s="209"/>
      <c r="PVF140" s="207"/>
      <c r="PVG140" s="210"/>
      <c r="PVH140" s="209"/>
      <c r="PVI140" s="204"/>
      <c r="PVJ140" s="204"/>
      <c r="PVK140" s="204"/>
      <c r="PVL140" s="199"/>
      <c r="PVM140" s="167"/>
      <c r="PVN140" s="199"/>
      <c r="PVO140" s="200"/>
      <c r="PVP140" s="201"/>
      <c r="PVQ140" s="202"/>
      <c r="PVR140" s="202"/>
      <c r="PVS140" s="202"/>
      <c r="PVT140" s="202"/>
      <c r="PVU140" s="203"/>
      <c r="PVV140" s="204"/>
      <c r="PVW140" s="204"/>
      <c r="PVX140" s="204"/>
      <c r="PVY140" s="205"/>
      <c r="PVZ140" s="206"/>
      <c r="PWA140" s="207"/>
      <c r="PWB140" s="207"/>
      <c r="PWC140" s="208"/>
      <c r="PWD140" s="209"/>
      <c r="PWE140" s="207"/>
      <c r="PWF140" s="210"/>
      <c r="PWG140" s="209"/>
      <c r="PWH140" s="204"/>
      <c r="PWI140" s="204"/>
      <c r="PWJ140" s="204"/>
      <c r="PWK140" s="199"/>
      <c r="PWL140" s="167"/>
      <c r="PWM140" s="199"/>
      <c r="PWN140" s="200"/>
      <c r="PWO140" s="201"/>
      <c r="PWP140" s="202"/>
      <c r="PWQ140" s="202"/>
      <c r="PWR140" s="202"/>
      <c r="PWS140" s="202"/>
      <c r="PWT140" s="203"/>
      <c r="PWU140" s="204"/>
      <c r="PWV140" s="204"/>
      <c r="PWW140" s="204"/>
      <c r="PWX140" s="205"/>
      <c r="PWY140" s="206"/>
      <c r="PWZ140" s="207"/>
      <c r="PXA140" s="207"/>
      <c r="PXB140" s="208"/>
      <c r="PXC140" s="209"/>
      <c r="PXD140" s="207"/>
      <c r="PXE140" s="210"/>
      <c r="PXF140" s="209"/>
      <c r="PXG140" s="204"/>
      <c r="PXH140" s="204"/>
      <c r="PXI140" s="204"/>
      <c r="PXJ140" s="199"/>
      <c r="PXK140" s="167"/>
      <c r="PXL140" s="199"/>
      <c r="PXM140" s="200"/>
      <c r="PXN140" s="201"/>
      <c r="PXO140" s="202"/>
      <c r="PXP140" s="202"/>
      <c r="PXQ140" s="202"/>
      <c r="PXR140" s="202"/>
      <c r="PXS140" s="203"/>
      <c r="PXT140" s="204"/>
      <c r="PXU140" s="204"/>
      <c r="PXV140" s="204"/>
      <c r="PXW140" s="205"/>
      <c r="PXX140" s="206"/>
      <c r="PXY140" s="207"/>
      <c r="PXZ140" s="207"/>
      <c r="PYA140" s="208"/>
      <c r="PYB140" s="209"/>
      <c r="PYC140" s="207"/>
      <c r="PYD140" s="210"/>
      <c r="PYE140" s="209"/>
      <c r="PYF140" s="204"/>
      <c r="PYG140" s="204"/>
      <c r="PYH140" s="204"/>
      <c r="PYI140" s="199"/>
      <c r="PYJ140" s="167"/>
      <c r="PYK140" s="199"/>
      <c r="PYL140" s="200"/>
      <c r="PYM140" s="201"/>
      <c r="PYN140" s="202"/>
      <c r="PYO140" s="202"/>
      <c r="PYP140" s="202"/>
      <c r="PYQ140" s="202"/>
      <c r="PYR140" s="203"/>
      <c r="PYS140" s="204"/>
      <c r="PYT140" s="204"/>
      <c r="PYU140" s="204"/>
      <c r="PYV140" s="205"/>
      <c r="PYW140" s="206"/>
      <c r="PYX140" s="207"/>
      <c r="PYY140" s="207"/>
      <c r="PYZ140" s="208"/>
      <c r="PZA140" s="209"/>
      <c r="PZB140" s="207"/>
      <c r="PZC140" s="210"/>
      <c r="PZD140" s="209"/>
      <c r="PZE140" s="204"/>
      <c r="PZF140" s="204"/>
      <c r="PZG140" s="204"/>
      <c r="PZH140" s="199"/>
      <c r="PZI140" s="167"/>
      <c r="PZJ140" s="199"/>
      <c r="PZK140" s="200"/>
      <c r="PZL140" s="201"/>
      <c r="PZM140" s="202"/>
      <c r="PZN140" s="202"/>
      <c r="PZO140" s="202"/>
      <c r="PZP140" s="202"/>
      <c r="PZQ140" s="203"/>
      <c r="PZR140" s="204"/>
      <c r="PZS140" s="204"/>
      <c r="PZT140" s="204"/>
      <c r="PZU140" s="205"/>
      <c r="PZV140" s="206"/>
      <c r="PZW140" s="207"/>
      <c r="PZX140" s="207"/>
      <c r="PZY140" s="208"/>
      <c r="PZZ140" s="209"/>
      <c r="QAA140" s="207"/>
      <c r="QAB140" s="210"/>
      <c r="QAC140" s="209"/>
      <c r="QAD140" s="204"/>
      <c r="QAE140" s="204"/>
      <c r="QAF140" s="204"/>
      <c r="QAG140" s="199"/>
      <c r="QAH140" s="167"/>
      <c r="QAI140" s="199"/>
      <c r="QAJ140" s="200"/>
      <c r="QAK140" s="201"/>
      <c r="QAL140" s="202"/>
      <c r="QAM140" s="202"/>
      <c r="QAN140" s="202"/>
      <c r="QAO140" s="202"/>
      <c r="QAP140" s="203"/>
      <c r="QAQ140" s="204"/>
      <c r="QAR140" s="204"/>
      <c r="QAS140" s="204"/>
      <c r="QAT140" s="205"/>
      <c r="QAU140" s="206"/>
      <c r="QAV140" s="207"/>
      <c r="QAW140" s="207"/>
      <c r="QAX140" s="208"/>
      <c r="QAY140" s="209"/>
      <c r="QAZ140" s="207"/>
      <c r="QBA140" s="210"/>
      <c r="QBB140" s="209"/>
      <c r="QBC140" s="204"/>
      <c r="QBD140" s="204"/>
      <c r="QBE140" s="204"/>
      <c r="QBF140" s="199"/>
      <c r="QBG140" s="167"/>
      <c r="QBH140" s="199"/>
      <c r="QBI140" s="200"/>
      <c r="QBJ140" s="201"/>
      <c r="QBK140" s="202"/>
      <c r="QBL140" s="202"/>
      <c r="QBM140" s="202"/>
      <c r="QBN140" s="202"/>
      <c r="QBO140" s="203"/>
      <c r="QBP140" s="204"/>
      <c r="QBQ140" s="204"/>
      <c r="QBR140" s="204"/>
      <c r="QBS140" s="205"/>
      <c r="QBT140" s="206"/>
      <c r="QBU140" s="207"/>
      <c r="QBV140" s="207"/>
      <c r="QBW140" s="208"/>
      <c r="QBX140" s="209"/>
      <c r="QBY140" s="207"/>
      <c r="QBZ140" s="210"/>
      <c r="QCA140" s="209"/>
      <c r="QCB140" s="204"/>
      <c r="QCC140" s="204"/>
      <c r="QCD140" s="204"/>
      <c r="QCE140" s="199"/>
      <c r="QCF140" s="167"/>
      <c r="QCG140" s="199"/>
      <c r="QCH140" s="200"/>
      <c r="QCI140" s="201"/>
      <c r="QCJ140" s="202"/>
      <c r="QCK140" s="202"/>
      <c r="QCL140" s="202"/>
      <c r="QCM140" s="202"/>
      <c r="QCN140" s="203"/>
      <c r="QCO140" s="204"/>
      <c r="QCP140" s="204"/>
      <c r="QCQ140" s="204"/>
      <c r="QCR140" s="205"/>
      <c r="QCS140" s="206"/>
      <c r="QCT140" s="207"/>
      <c r="QCU140" s="207"/>
      <c r="QCV140" s="208"/>
      <c r="QCW140" s="209"/>
      <c r="QCX140" s="207"/>
      <c r="QCY140" s="210"/>
      <c r="QCZ140" s="209"/>
      <c r="QDA140" s="204"/>
      <c r="QDB140" s="204"/>
      <c r="QDC140" s="204"/>
      <c r="QDD140" s="199"/>
      <c r="QDE140" s="167"/>
      <c r="QDF140" s="199"/>
      <c r="QDG140" s="200"/>
      <c r="QDH140" s="201"/>
      <c r="QDI140" s="202"/>
      <c r="QDJ140" s="202"/>
      <c r="QDK140" s="202"/>
      <c r="QDL140" s="202"/>
      <c r="QDM140" s="203"/>
      <c r="QDN140" s="204"/>
      <c r="QDO140" s="204"/>
      <c r="QDP140" s="204"/>
      <c r="QDQ140" s="205"/>
      <c r="QDR140" s="206"/>
      <c r="QDS140" s="207"/>
      <c r="QDT140" s="207"/>
      <c r="QDU140" s="208"/>
      <c r="QDV140" s="209"/>
      <c r="QDW140" s="207"/>
      <c r="QDX140" s="210"/>
      <c r="QDY140" s="209"/>
      <c r="QDZ140" s="204"/>
      <c r="QEA140" s="204"/>
      <c r="QEB140" s="204"/>
      <c r="QEC140" s="199"/>
      <c r="QED140" s="167"/>
      <c r="QEE140" s="199"/>
      <c r="QEF140" s="200"/>
      <c r="QEG140" s="201"/>
      <c r="QEH140" s="202"/>
      <c r="QEI140" s="202"/>
      <c r="QEJ140" s="202"/>
      <c r="QEK140" s="202"/>
      <c r="QEL140" s="203"/>
      <c r="QEM140" s="204"/>
      <c r="QEN140" s="204"/>
      <c r="QEO140" s="204"/>
      <c r="QEP140" s="205"/>
      <c r="QEQ140" s="206"/>
      <c r="QER140" s="207"/>
      <c r="QES140" s="207"/>
      <c r="QET140" s="208"/>
      <c r="QEU140" s="209"/>
      <c r="QEV140" s="207"/>
      <c r="QEW140" s="210"/>
      <c r="QEX140" s="209"/>
      <c r="QEY140" s="204"/>
      <c r="QEZ140" s="204"/>
      <c r="QFA140" s="204"/>
      <c r="QFB140" s="199"/>
      <c r="QFC140" s="167"/>
      <c r="QFD140" s="199"/>
      <c r="QFE140" s="200"/>
      <c r="QFF140" s="201"/>
      <c r="QFG140" s="202"/>
      <c r="QFH140" s="202"/>
      <c r="QFI140" s="202"/>
      <c r="QFJ140" s="202"/>
      <c r="QFK140" s="203"/>
      <c r="QFL140" s="204"/>
      <c r="QFM140" s="204"/>
      <c r="QFN140" s="204"/>
      <c r="QFO140" s="205"/>
      <c r="QFP140" s="206"/>
      <c r="QFQ140" s="207"/>
      <c r="QFR140" s="207"/>
      <c r="QFS140" s="208"/>
      <c r="QFT140" s="209"/>
      <c r="QFU140" s="207"/>
      <c r="QFV140" s="210"/>
      <c r="QFW140" s="209"/>
      <c r="QFX140" s="204"/>
      <c r="QFY140" s="204"/>
      <c r="QFZ140" s="204"/>
      <c r="QGA140" s="199"/>
      <c r="QGB140" s="167"/>
      <c r="QGC140" s="199"/>
      <c r="QGD140" s="200"/>
      <c r="QGE140" s="201"/>
      <c r="QGF140" s="202"/>
      <c r="QGG140" s="202"/>
      <c r="QGH140" s="202"/>
      <c r="QGI140" s="202"/>
      <c r="QGJ140" s="203"/>
      <c r="QGK140" s="204"/>
      <c r="QGL140" s="204"/>
      <c r="QGM140" s="204"/>
      <c r="QGN140" s="205"/>
      <c r="QGO140" s="206"/>
      <c r="QGP140" s="207"/>
      <c r="QGQ140" s="207"/>
      <c r="QGR140" s="208"/>
      <c r="QGS140" s="209"/>
      <c r="QGT140" s="207"/>
      <c r="QGU140" s="210"/>
      <c r="QGV140" s="209"/>
      <c r="QGW140" s="204"/>
      <c r="QGX140" s="204"/>
      <c r="QGY140" s="204"/>
      <c r="QGZ140" s="199"/>
      <c r="QHA140" s="167"/>
      <c r="QHB140" s="199"/>
      <c r="QHC140" s="200"/>
      <c r="QHD140" s="201"/>
      <c r="QHE140" s="202"/>
      <c r="QHF140" s="202"/>
      <c r="QHG140" s="202"/>
      <c r="QHH140" s="202"/>
      <c r="QHI140" s="203"/>
      <c r="QHJ140" s="204"/>
      <c r="QHK140" s="204"/>
      <c r="QHL140" s="204"/>
      <c r="QHM140" s="205"/>
      <c r="QHN140" s="206"/>
      <c r="QHO140" s="207"/>
      <c r="QHP140" s="207"/>
      <c r="QHQ140" s="208"/>
      <c r="QHR140" s="209"/>
      <c r="QHS140" s="207"/>
      <c r="QHT140" s="210"/>
      <c r="QHU140" s="209"/>
      <c r="QHV140" s="204"/>
      <c r="QHW140" s="204"/>
      <c r="QHX140" s="204"/>
      <c r="QHY140" s="199"/>
      <c r="QHZ140" s="167"/>
      <c r="QIA140" s="199"/>
      <c r="QIB140" s="200"/>
      <c r="QIC140" s="201"/>
      <c r="QID140" s="202"/>
      <c r="QIE140" s="202"/>
      <c r="QIF140" s="202"/>
      <c r="QIG140" s="202"/>
      <c r="QIH140" s="203"/>
      <c r="QII140" s="204"/>
      <c r="QIJ140" s="204"/>
      <c r="QIK140" s="204"/>
      <c r="QIL140" s="205"/>
      <c r="QIM140" s="206"/>
      <c r="QIN140" s="207"/>
      <c r="QIO140" s="207"/>
      <c r="QIP140" s="208"/>
      <c r="QIQ140" s="209"/>
      <c r="QIR140" s="207"/>
      <c r="QIS140" s="210"/>
      <c r="QIT140" s="209"/>
      <c r="QIU140" s="204"/>
      <c r="QIV140" s="204"/>
      <c r="QIW140" s="204"/>
      <c r="QIX140" s="199"/>
      <c r="QIY140" s="167"/>
      <c r="QIZ140" s="199"/>
      <c r="QJA140" s="200"/>
      <c r="QJB140" s="201"/>
      <c r="QJC140" s="202"/>
      <c r="QJD140" s="202"/>
      <c r="QJE140" s="202"/>
      <c r="QJF140" s="202"/>
      <c r="QJG140" s="203"/>
      <c r="QJH140" s="204"/>
      <c r="QJI140" s="204"/>
      <c r="QJJ140" s="204"/>
      <c r="QJK140" s="205"/>
      <c r="QJL140" s="206"/>
      <c r="QJM140" s="207"/>
      <c r="QJN140" s="207"/>
      <c r="QJO140" s="208"/>
      <c r="QJP140" s="209"/>
      <c r="QJQ140" s="207"/>
      <c r="QJR140" s="210"/>
      <c r="QJS140" s="209"/>
      <c r="QJT140" s="204"/>
      <c r="QJU140" s="204"/>
      <c r="QJV140" s="204"/>
      <c r="QJW140" s="199"/>
      <c r="QJX140" s="167"/>
      <c r="QJY140" s="199"/>
      <c r="QJZ140" s="200"/>
      <c r="QKA140" s="201"/>
      <c r="QKB140" s="202"/>
      <c r="QKC140" s="202"/>
      <c r="QKD140" s="202"/>
      <c r="QKE140" s="202"/>
      <c r="QKF140" s="203"/>
      <c r="QKG140" s="204"/>
      <c r="QKH140" s="204"/>
      <c r="QKI140" s="204"/>
      <c r="QKJ140" s="205"/>
      <c r="QKK140" s="206"/>
      <c r="QKL140" s="207"/>
      <c r="QKM140" s="207"/>
      <c r="QKN140" s="208"/>
      <c r="QKO140" s="209"/>
      <c r="QKP140" s="207"/>
      <c r="QKQ140" s="210"/>
      <c r="QKR140" s="209"/>
      <c r="QKS140" s="204"/>
      <c r="QKT140" s="204"/>
      <c r="QKU140" s="204"/>
      <c r="QKV140" s="199"/>
      <c r="QKW140" s="167"/>
      <c r="QKX140" s="199"/>
      <c r="QKY140" s="200"/>
      <c r="QKZ140" s="201"/>
      <c r="QLA140" s="202"/>
      <c r="QLB140" s="202"/>
      <c r="QLC140" s="202"/>
      <c r="QLD140" s="202"/>
      <c r="QLE140" s="203"/>
      <c r="QLF140" s="204"/>
      <c r="QLG140" s="204"/>
      <c r="QLH140" s="204"/>
      <c r="QLI140" s="205"/>
      <c r="QLJ140" s="206"/>
      <c r="QLK140" s="207"/>
      <c r="QLL140" s="207"/>
      <c r="QLM140" s="208"/>
      <c r="QLN140" s="209"/>
      <c r="QLO140" s="207"/>
      <c r="QLP140" s="210"/>
      <c r="QLQ140" s="209"/>
      <c r="QLR140" s="204"/>
      <c r="QLS140" s="204"/>
      <c r="QLT140" s="204"/>
      <c r="QLU140" s="199"/>
      <c r="QLV140" s="167"/>
      <c r="QLW140" s="199"/>
      <c r="QLX140" s="200"/>
      <c r="QLY140" s="201"/>
      <c r="QLZ140" s="202"/>
      <c r="QMA140" s="202"/>
      <c r="QMB140" s="202"/>
      <c r="QMC140" s="202"/>
      <c r="QMD140" s="203"/>
      <c r="QME140" s="204"/>
      <c r="QMF140" s="204"/>
      <c r="QMG140" s="204"/>
      <c r="QMH140" s="205"/>
      <c r="QMI140" s="206"/>
      <c r="QMJ140" s="207"/>
      <c r="QMK140" s="207"/>
      <c r="QML140" s="208"/>
      <c r="QMM140" s="209"/>
      <c r="QMN140" s="207"/>
      <c r="QMO140" s="210"/>
      <c r="QMP140" s="209"/>
      <c r="QMQ140" s="204"/>
      <c r="QMR140" s="204"/>
      <c r="QMS140" s="204"/>
      <c r="QMT140" s="199"/>
      <c r="QMU140" s="167"/>
      <c r="QMV140" s="199"/>
      <c r="QMW140" s="200"/>
      <c r="QMX140" s="201"/>
      <c r="QMY140" s="202"/>
      <c r="QMZ140" s="202"/>
      <c r="QNA140" s="202"/>
      <c r="QNB140" s="202"/>
      <c r="QNC140" s="203"/>
      <c r="QND140" s="204"/>
      <c r="QNE140" s="204"/>
      <c r="QNF140" s="204"/>
      <c r="QNG140" s="205"/>
      <c r="QNH140" s="206"/>
      <c r="QNI140" s="207"/>
      <c r="QNJ140" s="207"/>
      <c r="QNK140" s="208"/>
      <c r="QNL140" s="209"/>
      <c r="QNM140" s="207"/>
      <c r="QNN140" s="210"/>
      <c r="QNO140" s="209"/>
      <c r="QNP140" s="204"/>
      <c r="QNQ140" s="204"/>
      <c r="QNR140" s="204"/>
      <c r="QNS140" s="199"/>
      <c r="QNT140" s="167"/>
      <c r="QNU140" s="199"/>
      <c r="QNV140" s="200"/>
      <c r="QNW140" s="201"/>
      <c r="QNX140" s="202"/>
      <c r="QNY140" s="202"/>
      <c r="QNZ140" s="202"/>
      <c r="QOA140" s="202"/>
      <c r="QOB140" s="203"/>
      <c r="QOC140" s="204"/>
      <c r="QOD140" s="204"/>
      <c r="QOE140" s="204"/>
      <c r="QOF140" s="205"/>
      <c r="QOG140" s="206"/>
      <c r="QOH140" s="207"/>
      <c r="QOI140" s="207"/>
      <c r="QOJ140" s="208"/>
      <c r="QOK140" s="209"/>
      <c r="QOL140" s="207"/>
      <c r="QOM140" s="210"/>
      <c r="QON140" s="209"/>
      <c r="QOO140" s="204"/>
      <c r="QOP140" s="204"/>
      <c r="QOQ140" s="204"/>
      <c r="QOR140" s="199"/>
      <c r="QOS140" s="167"/>
      <c r="QOT140" s="199"/>
      <c r="QOU140" s="200"/>
      <c r="QOV140" s="201"/>
      <c r="QOW140" s="202"/>
      <c r="QOX140" s="202"/>
      <c r="QOY140" s="202"/>
      <c r="QOZ140" s="202"/>
      <c r="QPA140" s="203"/>
      <c r="QPB140" s="204"/>
      <c r="QPC140" s="204"/>
      <c r="QPD140" s="204"/>
      <c r="QPE140" s="205"/>
      <c r="QPF140" s="206"/>
      <c r="QPG140" s="207"/>
      <c r="QPH140" s="207"/>
      <c r="QPI140" s="208"/>
      <c r="QPJ140" s="209"/>
      <c r="QPK140" s="207"/>
      <c r="QPL140" s="210"/>
      <c r="QPM140" s="209"/>
      <c r="QPN140" s="204"/>
      <c r="QPO140" s="204"/>
      <c r="QPP140" s="204"/>
      <c r="QPQ140" s="199"/>
      <c r="QPR140" s="167"/>
      <c r="QPS140" s="199"/>
      <c r="QPT140" s="200"/>
      <c r="QPU140" s="201"/>
      <c r="QPV140" s="202"/>
      <c r="QPW140" s="202"/>
      <c r="QPX140" s="202"/>
      <c r="QPY140" s="202"/>
      <c r="QPZ140" s="203"/>
      <c r="QQA140" s="204"/>
      <c r="QQB140" s="204"/>
      <c r="QQC140" s="204"/>
      <c r="QQD140" s="205"/>
      <c r="QQE140" s="206"/>
      <c r="QQF140" s="207"/>
      <c r="QQG140" s="207"/>
      <c r="QQH140" s="208"/>
      <c r="QQI140" s="209"/>
      <c r="QQJ140" s="207"/>
      <c r="QQK140" s="210"/>
      <c r="QQL140" s="209"/>
      <c r="QQM140" s="204"/>
      <c r="QQN140" s="204"/>
      <c r="QQO140" s="204"/>
      <c r="QQP140" s="199"/>
      <c r="QQQ140" s="167"/>
      <c r="QQR140" s="199"/>
      <c r="QQS140" s="200"/>
      <c r="QQT140" s="201"/>
      <c r="QQU140" s="202"/>
      <c r="QQV140" s="202"/>
      <c r="QQW140" s="202"/>
      <c r="QQX140" s="202"/>
      <c r="QQY140" s="203"/>
      <c r="QQZ140" s="204"/>
      <c r="QRA140" s="204"/>
      <c r="QRB140" s="204"/>
      <c r="QRC140" s="205"/>
      <c r="QRD140" s="206"/>
      <c r="QRE140" s="207"/>
      <c r="QRF140" s="207"/>
      <c r="QRG140" s="208"/>
      <c r="QRH140" s="209"/>
      <c r="QRI140" s="207"/>
      <c r="QRJ140" s="210"/>
      <c r="QRK140" s="209"/>
      <c r="QRL140" s="204"/>
      <c r="QRM140" s="204"/>
      <c r="QRN140" s="204"/>
      <c r="QRO140" s="199"/>
      <c r="QRP140" s="167"/>
      <c r="QRQ140" s="199"/>
      <c r="QRR140" s="200"/>
      <c r="QRS140" s="201"/>
      <c r="QRT140" s="202"/>
      <c r="QRU140" s="202"/>
      <c r="QRV140" s="202"/>
      <c r="QRW140" s="202"/>
      <c r="QRX140" s="203"/>
      <c r="QRY140" s="204"/>
      <c r="QRZ140" s="204"/>
      <c r="QSA140" s="204"/>
      <c r="QSB140" s="205"/>
      <c r="QSC140" s="206"/>
      <c r="QSD140" s="207"/>
      <c r="QSE140" s="207"/>
      <c r="QSF140" s="208"/>
      <c r="QSG140" s="209"/>
      <c r="QSH140" s="207"/>
      <c r="QSI140" s="210"/>
      <c r="QSJ140" s="209"/>
      <c r="QSK140" s="204"/>
      <c r="QSL140" s="204"/>
      <c r="QSM140" s="204"/>
      <c r="QSN140" s="199"/>
      <c r="QSO140" s="167"/>
      <c r="QSP140" s="199"/>
      <c r="QSQ140" s="200"/>
      <c r="QSR140" s="201"/>
      <c r="QSS140" s="202"/>
      <c r="QST140" s="202"/>
      <c r="QSU140" s="202"/>
      <c r="QSV140" s="202"/>
      <c r="QSW140" s="203"/>
      <c r="QSX140" s="204"/>
      <c r="QSY140" s="204"/>
      <c r="QSZ140" s="204"/>
      <c r="QTA140" s="205"/>
      <c r="QTB140" s="206"/>
      <c r="QTC140" s="207"/>
      <c r="QTD140" s="207"/>
      <c r="QTE140" s="208"/>
      <c r="QTF140" s="209"/>
      <c r="QTG140" s="207"/>
      <c r="QTH140" s="210"/>
      <c r="QTI140" s="209"/>
      <c r="QTJ140" s="204"/>
      <c r="QTK140" s="204"/>
      <c r="QTL140" s="204"/>
      <c r="QTM140" s="199"/>
      <c r="QTN140" s="167"/>
      <c r="QTO140" s="199"/>
      <c r="QTP140" s="200"/>
      <c r="QTQ140" s="201"/>
      <c r="QTR140" s="202"/>
      <c r="QTS140" s="202"/>
      <c r="QTT140" s="202"/>
      <c r="QTU140" s="202"/>
      <c r="QTV140" s="203"/>
      <c r="QTW140" s="204"/>
      <c r="QTX140" s="204"/>
      <c r="QTY140" s="204"/>
      <c r="QTZ140" s="205"/>
      <c r="QUA140" s="206"/>
      <c r="QUB140" s="207"/>
      <c r="QUC140" s="207"/>
      <c r="QUD140" s="208"/>
      <c r="QUE140" s="209"/>
      <c r="QUF140" s="207"/>
      <c r="QUG140" s="210"/>
      <c r="QUH140" s="209"/>
      <c r="QUI140" s="204"/>
      <c r="QUJ140" s="204"/>
      <c r="QUK140" s="204"/>
      <c r="QUL140" s="199"/>
      <c r="QUM140" s="167"/>
      <c r="QUN140" s="199"/>
      <c r="QUO140" s="200"/>
      <c r="QUP140" s="201"/>
      <c r="QUQ140" s="202"/>
      <c r="QUR140" s="202"/>
      <c r="QUS140" s="202"/>
      <c r="QUT140" s="202"/>
      <c r="QUU140" s="203"/>
      <c r="QUV140" s="204"/>
      <c r="QUW140" s="204"/>
      <c r="QUX140" s="204"/>
      <c r="QUY140" s="205"/>
      <c r="QUZ140" s="206"/>
      <c r="QVA140" s="207"/>
      <c r="QVB140" s="207"/>
      <c r="QVC140" s="208"/>
      <c r="QVD140" s="209"/>
      <c r="QVE140" s="207"/>
      <c r="QVF140" s="210"/>
      <c r="QVG140" s="209"/>
      <c r="QVH140" s="204"/>
      <c r="QVI140" s="204"/>
      <c r="QVJ140" s="204"/>
      <c r="QVK140" s="199"/>
      <c r="QVL140" s="167"/>
      <c r="QVM140" s="199"/>
      <c r="QVN140" s="200"/>
      <c r="QVO140" s="201"/>
      <c r="QVP140" s="202"/>
      <c r="QVQ140" s="202"/>
      <c r="QVR140" s="202"/>
      <c r="QVS140" s="202"/>
      <c r="QVT140" s="203"/>
      <c r="QVU140" s="204"/>
      <c r="QVV140" s="204"/>
      <c r="QVW140" s="204"/>
      <c r="QVX140" s="205"/>
      <c r="QVY140" s="206"/>
      <c r="QVZ140" s="207"/>
      <c r="QWA140" s="207"/>
      <c r="QWB140" s="208"/>
      <c r="QWC140" s="209"/>
      <c r="QWD140" s="207"/>
      <c r="QWE140" s="210"/>
      <c r="QWF140" s="209"/>
      <c r="QWG140" s="204"/>
      <c r="QWH140" s="204"/>
      <c r="QWI140" s="204"/>
      <c r="QWJ140" s="199"/>
      <c r="QWK140" s="167"/>
      <c r="QWL140" s="199"/>
      <c r="QWM140" s="200"/>
      <c r="QWN140" s="201"/>
      <c r="QWO140" s="202"/>
      <c r="QWP140" s="202"/>
      <c r="QWQ140" s="202"/>
      <c r="QWR140" s="202"/>
      <c r="QWS140" s="203"/>
      <c r="QWT140" s="204"/>
      <c r="QWU140" s="204"/>
      <c r="QWV140" s="204"/>
      <c r="QWW140" s="205"/>
      <c r="QWX140" s="206"/>
      <c r="QWY140" s="207"/>
      <c r="QWZ140" s="207"/>
      <c r="QXA140" s="208"/>
      <c r="QXB140" s="209"/>
      <c r="QXC140" s="207"/>
      <c r="QXD140" s="210"/>
      <c r="QXE140" s="209"/>
      <c r="QXF140" s="204"/>
      <c r="QXG140" s="204"/>
      <c r="QXH140" s="204"/>
      <c r="QXI140" s="199"/>
      <c r="QXJ140" s="167"/>
      <c r="QXK140" s="199"/>
      <c r="QXL140" s="200"/>
      <c r="QXM140" s="201"/>
      <c r="QXN140" s="202"/>
      <c r="QXO140" s="202"/>
      <c r="QXP140" s="202"/>
      <c r="QXQ140" s="202"/>
      <c r="QXR140" s="203"/>
      <c r="QXS140" s="204"/>
      <c r="QXT140" s="204"/>
      <c r="QXU140" s="204"/>
      <c r="QXV140" s="205"/>
      <c r="QXW140" s="206"/>
      <c r="QXX140" s="207"/>
      <c r="QXY140" s="207"/>
      <c r="QXZ140" s="208"/>
      <c r="QYA140" s="209"/>
      <c r="QYB140" s="207"/>
      <c r="QYC140" s="210"/>
      <c r="QYD140" s="209"/>
      <c r="QYE140" s="204"/>
      <c r="QYF140" s="204"/>
      <c r="QYG140" s="204"/>
      <c r="QYH140" s="199"/>
      <c r="QYI140" s="167"/>
      <c r="QYJ140" s="199"/>
      <c r="QYK140" s="200"/>
      <c r="QYL140" s="201"/>
      <c r="QYM140" s="202"/>
      <c r="QYN140" s="202"/>
      <c r="QYO140" s="202"/>
      <c r="QYP140" s="202"/>
      <c r="QYQ140" s="203"/>
      <c r="QYR140" s="204"/>
      <c r="QYS140" s="204"/>
      <c r="QYT140" s="204"/>
      <c r="QYU140" s="205"/>
      <c r="QYV140" s="206"/>
      <c r="QYW140" s="207"/>
      <c r="QYX140" s="207"/>
      <c r="QYY140" s="208"/>
      <c r="QYZ140" s="209"/>
      <c r="QZA140" s="207"/>
      <c r="QZB140" s="210"/>
      <c r="QZC140" s="209"/>
      <c r="QZD140" s="204"/>
      <c r="QZE140" s="204"/>
      <c r="QZF140" s="204"/>
      <c r="QZG140" s="199"/>
      <c r="QZH140" s="167"/>
      <c r="QZI140" s="199"/>
      <c r="QZJ140" s="200"/>
      <c r="QZK140" s="201"/>
      <c r="QZL140" s="202"/>
      <c r="QZM140" s="202"/>
      <c r="QZN140" s="202"/>
      <c r="QZO140" s="202"/>
      <c r="QZP140" s="203"/>
      <c r="QZQ140" s="204"/>
      <c r="QZR140" s="204"/>
      <c r="QZS140" s="204"/>
      <c r="QZT140" s="205"/>
      <c r="QZU140" s="206"/>
      <c r="QZV140" s="207"/>
      <c r="QZW140" s="207"/>
      <c r="QZX140" s="208"/>
      <c r="QZY140" s="209"/>
      <c r="QZZ140" s="207"/>
      <c r="RAA140" s="210"/>
      <c r="RAB140" s="209"/>
      <c r="RAC140" s="204"/>
      <c r="RAD140" s="204"/>
      <c r="RAE140" s="204"/>
      <c r="RAF140" s="199"/>
      <c r="RAG140" s="167"/>
      <c r="RAH140" s="199"/>
      <c r="RAI140" s="200"/>
      <c r="RAJ140" s="201"/>
      <c r="RAK140" s="202"/>
      <c r="RAL140" s="202"/>
      <c r="RAM140" s="202"/>
      <c r="RAN140" s="202"/>
      <c r="RAO140" s="203"/>
      <c r="RAP140" s="204"/>
      <c r="RAQ140" s="204"/>
      <c r="RAR140" s="204"/>
      <c r="RAS140" s="205"/>
      <c r="RAT140" s="206"/>
      <c r="RAU140" s="207"/>
      <c r="RAV140" s="207"/>
      <c r="RAW140" s="208"/>
      <c r="RAX140" s="209"/>
      <c r="RAY140" s="207"/>
      <c r="RAZ140" s="210"/>
      <c r="RBA140" s="209"/>
      <c r="RBB140" s="204"/>
      <c r="RBC140" s="204"/>
      <c r="RBD140" s="204"/>
      <c r="RBE140" s="199"/>
      <c r="RBF140" s="167"/>
      <c r="RBG140" s="199"/>
      <c r="RBH140" s="200"/>
      <c r="RBI140" s="201"/>
      <c r="RBJ140" s="202"/>
      <c r="RBK140" s="202"/>
      <c r="RBL140" s="202"/>
      <c r="RBM140" s="202"/>
      <c r="RBN140" s="203"/>
      <c r="RBO140" s="204"/>
      <c r="RBP140" s="204"/>
      <c r="RBQ140" s="204"/>
      <c r="RBR140" s="205"/>
      <c r="RBS140" s="206"/>
      <c r="RBT140" s="207"/>
      <c r="RBU140" s="207"/>
      <c r="RBV140" s="208"/>
      <c r="RBW140" s="209"/>
      <c r="RBX140" s="207"/>
      <c r="RBY140" s="210"/>
      <c r="RBZ140" s="209"/>
      <c r="RCA140" s="204"/>
      <c r="RCB140" s="204"/>
      <c r="RCC140" s="204"/>
      <c r="RCD140" s="199"/>
      <c r="RCE140" s="167"/>
      <c r="RCF140" s="199"/>
      <c r="RCG140" s="200"/>
      <c r="RCH140" s="201"/>
      <c r="RCI140" s="202"/>
      <c r="RCJ140" s="202"/>
      <c r="RCK140" s="202"/>
      <c r="RCL140" s="202"/>
      <c r="RCM140" s="203"/>
      <c r="RCN140" s="204"/>
      <c r="RCO140" s="204"/>
      <c r="RCP140" s="204"/>
      <c r="RCQ140" s="205"/>
      <c r="RCR140" s="206"/>
      <c r="RCS140" s="207"/>
      <c r="RCT140" s="207"/>
      <c r="RCU140" s="208"/>
      <c r="RCV140" s="209"/>
      <c r="RCW140" s="207"/>
      <c r="RCX140" s="210"/>
      <c r="RCY140" s="209"/>
      <c r="RCZ140" s="204"/>
      <c r="RDA140" s="204"/>
      <c r="RDB140" s="204"/>
      <c r="RDC140" s="199"/>
      <c r="RDD140" s="167"/>
      <c r="RDE140" s="199"/>
      <c r="RDF140" s="200"/>
      <c r="RDG140" s="201"/>
      <c r="RDH140" s="202"/>
      <c r="RDI140" s="202"/>
      <c r="RDJ140" s="202"/>
      <c r="RDK140" s="202"/>
      <c r="RDL140" s="203"/>
      <c r="RDM140" s="204"/>
      <c r="RDN140" s="204"/>
      <c r="RDO140" s="204"/>
      <c r="RDP140" s="205"/>
      <c r="RDQ140" s="206"/>
      <c r="RDR140" s="207"/>
      <c r="RDS140" s="207"/>
      <c r="RDT140" s="208"/>
      <c r="RDU140" s="209"/>
      <c r="RDV140" s="207"/>
      <c r="RDW140" s="210"/>
      <c r="RDX140" s="209"/>
      <c r="RDY140" s="204"/>
      <c r="RDZ140" s="204"/>
      <c r="REA140" s="204"/>
      <c r="REB140" s="199"/>
      <c r="REC140" s="167"/>
      <c r="RED140" s="199"/>
      <c r="REE140" s="200"/>
      <c r="REF140" s="201"/>
      <c r="REG140" s="202"/>
      <c r="REH140" s="202"/>
      <c r="REI140" s="202"/>
      <c r="REJ140" s="202"/>
      <c r="REK140" s="203"/>
      <c r="REL140" s="204"/>
      <c r="REM140" s="204"/>
      <c r="REN140" s="204"/>
      <c r="REO140" s="205"/>
      <c r="REP140" s="206"/>
      <c r="REQ140" s="207"/>
      <c r="RER140" s="207"/>
      <c r="RES140" s="208"/>
      <c r="RET140" s="209"/>
      <c r="REU140" s="207"/>
      <c r="REV140" s="210"/>
      <c r="REW140" s="209"/>
      <c r="REX140" s="204"/>
      <c r="REY140" s="204"/>
      <c r="REZ140" s="204"/>
      <c r="RFA140" s="199"/>
      <c r="RFB140" s="167"/>
      <c r="RFC140" s="199"/>
      <c r="RFD140" s="200"/>
      <c r="RFE140" s="201"/>
      <c r="RFF140" s="202"/>
      <c r="RFG140" s="202"/>
      <c r="RFH140" s="202"/>
      <c r="RFI140" s="202"/>
      <c r="RFJ140" s="203"/>
      <c r="RFK140" s="204"/>
      <c r="RFL140" s="204"/>
      <c r="RFM140" s="204"/>
      <c r="RFN140" s="205"/>
      <c r="RFO140" s="206"/>
      <c r="RFP140" s="207"/>
      <c r="RFQ140" s="207"/>
      <c r="RFR140" s="208"/>
      <c r="RFS140" s="209"/>
      <c r="RFT140" s="207"/>
      <c r="RFU140" s="210"/>
      <c r="RFV140" s="209"/>
      <c r="RFW140" s="204"/>
      <c r="RFX140" s="204"/>
      <c r="RFY140" s="204"/>
      <c r="RFZ140" s="199"/>
      <c r="RGA140" s="167"/>
      <c r="RGB140" s="199"/>
      <c r="RGC140" s="200"/>
      <c r="RGD140" s="201"/>
      <c r="RGE140" s="202"/>
      <c r="RGF140" s="202"/>
      <c r="RGG140" s="202"/>
      <c r="RGH140" s="202"/>
      <c r="RGI140" s="203"/>
      <c r="RGJ140" s="204"/>
      <c r="RGK140" s="204"/>
      <c r="RGL140" s="204"/>
      <c r="RGM140" s="205"/>
      <c r="RGN140" s="206"/>
      <c r="RGO140" s="207"/>
      <c r="RGP140" s="207"/>
      <c r="RGQ140" s="208"/>
      <c r="RGR140" s="209"/>
      <c r="RGS140" s="207"/>
      <c r="RGT140" s="210"/>
      <c r="RGU140" s="209"/>
      <c r="RGV140" s="204"/>
      <c r="RGW140" s="204"/>
      <c r="RGX140" s="204"/>
      <c r="RGY140" s="199"/>
      <c r="RGZ140" s="167"/>
      <c r="RHA140" s="199"/>
      <c r="RHB140" s="200"/>
      <c r="RHC140" s="201"/>
      <c r="RHD140" s="202"/>
      <c r="RHE140" s="202"/>
      <c r="RHF140" s="202"/>
      <c r="RHG140" s="202"/>
      <c r="RHH140" s="203"/>
      <c r="RHI140" s="204"/>
      <c r="RHJ140" s="204"/>
      <c r="RHK140" s="204"/>
      <c r="RHL140" s="205"/>
      <c r="RHM140" s="206"/>
      <c r="RHN140" s="207"/>
      <c r="RHO140" s="207"/>
      <c r="RHP140" s="208"/>
      <c r="RHQ140" s="209"/>
      <c r="RHR140" s="207"/>
      <c r="RHS140" s="210"/>
      <c r="RHT140" s="209"/>
      <c r="RHU140" s="204"/>
      <c r="RHV140" s="204"/>
      <c r="RHW140" s="204"/>
      <c r="RHX140" s="199"/>
      <c r="RHY140" s="167"/>
      <c r="RHZ140" s="199"/>
      <c r="RIA140" s="200"/>
      <c r="RIB140" s="201"/>
      <c r="RIC140" s="202"/>
      <c r="RID140" s="202"/>
      <c r="RIE140" s="202"/>
      <c r="RIF140" s="202"/>
      <c r="RIG140" s="203"/>
      <c r="RIH140" s="204"/>
      <c r="RII140" s="204"/>
      <c r="RIJ140" s="204"/>
      <c r="RIK140" s="205"/>
      <c r="RIL140" s="206"/>
      <c r="RIM140" s="207"/>
      <c r="RIN140" s="207"/>
      <c r="RIO140" s="208"/>
      <c r="RIP140" s="209"/>
      <c r="RIQ140" s="207"/>
      <c r="RIR140" s="210"/>
      <c r="RIS140" s="209"/>
      <c r="RIT140" s="204"/>
      <c r="RIU140" s="204"/>
      <c r="RIV140" s="204"/>
      <c r="RIW140" s="199"/>
      <c r="RIX140" s="167"/>
      <c r="RIY140" s="199"/>
      <c r="RIZ140" s="200"/>
      <c r="RJA140" s="201"/>
      <c r="RJB140" s="202"/>
      <c r="RJC140" s="202"/>
      <c r="RJD140" s="202"/>
      <c r="RJE140" s="202"/>
      <c r="RJF140" s="203"/>
      <c r="RJG140" s="204"/>
      <c r="RJH140" s="204"/>
      <c r="RJI140" s="204"/>
      <c r="RJJ140" s="205"/>
      <c r="RJK140" s="206"/>
      <c r="RJL140" s="207"/>
      <c r="RJM140" s="207"/>
      <c r="RJN140" s="208"/>
      <c r="RJO140" s="209"/>
      <c r="RJP140" s="207"/>
      <c r="RJQ140" s="210"/>
      <c r="RJR140" s="209"/>
      <c r="RJS140" s="204"/>
      <c r="RJT140" s="204"/>
      <c r="RJU140" s="204"/>
      <c r="RJV140" s="199"/>
      <c r="RJW140" s="167"/>
      <c r="RJX140" s="199"/>
      <c r="RJY140" s="200"/>
      <c r="RJZ140" s="201"/>
      <c r="RKA140" s="202"/>
      <c r="RKB140" s="202"/>
      <c r="RKC140" s="202"/>
      <c r="RKD140" s="202"/>
      <c r="RKE140" s="203"/>
      <c r="RKF140" s="204"/>
      <c r="RKG140" s="204"/>
      <c r="RKH140" s="204"/>
      <c r="RKI140" s="205"/>
      <c r="RKJ140" s="206"/>
      <c r="RKK140" s="207"/>
      <c r="RKL140" s="207"/>
      <c r="RKM140" s="208"/>
      <c r="RKN140" s="209"/>
      <c r="RKO140" s="207"/>
      <c r="RKP140" s="210"/>
      <c r="RKQ140" s="209"/>
      <c r="RKR140" s="204"/>
      <c r="RKS140" s="204"/>
      <c r="RKT140" s="204"/>
      <c r="RKU140" s="199"/>
      <c r="RKV140" s="167"/>
      <c r="RKW140" s="199"/>
      <c r="RKX140" s="200"/>
      <c r="RKY140" s="201"/>
      <c r="RKZ140" s="202"/>
      <c r="RLA140" s="202"/>
      <c r="RLB140" s="202"/>
      <c r="RLC140" s="202"/>
      <c r="RLD140" s="203"/>
      <c r="RLE140" s="204"/>
      <c r="RLF140" s="204"/>
      <c r="RLG140" s="204"/>
      <c r="RLH140" s="205"/>
      <c r="RLI140" s="206"/>
      <c r="RLJ140" s="207"/>
      <c r="RLK140" s="207"/>
      <c r="RLL140" s="208"/>
      <c r="RLM140" s="209"/>
      <c r="RLN140" s="207"/>
      <c r="RLO140" s="210"/>
      <c r="RLP140" s="209"/>
      <c r="RLQ140" s="204"/>
      <c r="RLR140" s="204"/>
      <c r="RLS140" s="204"/>
      <c r="RLT140" s="199"/>
      <c r="RLU140" s="167"/>
      <c r="RLV140" s="199"/>
      <c r="RLW140" s="200"/>
      <c r="RLX140" s="201"/>
      <c r="RLY140" s="202"/>
      <c r="RLZ140" s="202"/>
      <c r="RMA140" s="202"/>
      <c r="RMB140" s="202"/>
      <c r="RMC140" s="203"/>
      <c r="RMD140" s="204"/>
      <c r="RME140" s="204"/>
      <c r="RMF140" s="204"/>
      <c r="RMG140" s="205"/>
      <c r="RMH140" s="206"/>
      <c r="RMI140" s="207"/>
      <c r="RMJ140" s="207"/>
      <c r="RMK140" s="208"/>
      <c r="RML140" s="209"/>
      <c r="RMM140" s="207"/>
      <c r="RMN140" s="210"/>
      <c r="RMO140" s="209"/>
      <c r="RMP140" s="204"/>
      <c r="RMQ140" s="204"/>
      <c r="RMR140" s="204"/>
      <c r="RMS140" s="199"/>
      <c r="RMT140" s="167"/>
      <c r="RMU140" s="199"/>
      <c r="RMV140" s="200"/>
      <c r="RMW140" s="201"/>
      <c r="RMX140" s="202"/>
      <c r="RMY140" s="202"/>
      <c r="RMZ140" s="202"/>
      <c r="RNA140" s="202"/>
      <c r="RNB140" s="203"/>
      <c r="RNC140" s="204"/>
      <c r="RND140" s="204"/>
      <c r="RNE140" s="204"/>
      <c r="RNF140" s="205"/>
      <c r="RNG140" s="206"/>
      <c r="RNH140" s="207"/>
      <c r="RNI140" s="207"/>
      <c r="RNJ140" s="208"/>
      <c r="RNK140" s="209"/>
      <c r="RNL140" s="207"/>
      <c r="RNM140" s="210"/>
      <c r="RNN140" s="209"/>
      <c r="RNO140" s="204"/>
      <c r="RNP140" s="204"/>
      <c r="RNQ140" s="204"/>
      <c r="RNR140" s="199"/>
      <c r="RNS140" s="167"/>
      <c r="RNT140" s="199"/>
      <c r="RNU140" s="200"/>
      <c r="RNV140" s="201"/>
      <c r="RNW140" s="202"/>
      <c r="RNX140" s="202"/>
      <c r="RNY140" s="202"/>
      <c r="RNZ140" s="202"/>
      <c r="ROA140" s="203"/>
      <c r="ROB140" s="204"/>
      <c r="ROC140" s="204"/>
      <c r="ROD140" s="204"/>
      <c r="ROE140" s="205"/>
      <c r="ROF140" s="206"/>
      <c r="ROG140" s="207"/>
      <c r="ROH140" s="207"/>
      <c r="ROI140" s="208"/>
      <c r="ROJ140" s="209"/>
      <c r="ROK140" s="207"/>
      <c r="ROL140" s="210"/>
      <c r="ROM140" s="209"/>
      <c r="RON140" s="204"/>
      <c r="ROO140" s="204"/>
      <c r="ROP140" s="204"/>
      <c r="ROQ140" s="199"/>
      <c r="ROR140" s="167"/>
      <c r="ROS140" s="199"/>
      <c r="ROT140" s="200"/>
      <c r="ROU140" s="201"/>
      <c r="ROV140" s="202"/>
      <c r="ROW140" s="202"/>
      <c r="ROX140" s="202"/>
      <c r="ROY140" s="202"/>
      <c r="ROZ140" s="203"/>
      <c r="RPA140" s="204"/>
      <c r="RPB140" s="204"/>
      <c r="RPC140" s="204"/>
      <c r="RPD140" s="205"/>
      <c r="RPE140" s="206"/>
      <c r="RPF140" s="207"/>
      <c r="RPG140" s="207"/>
      <c r="RPH140" s="208"/>
      <c r="RPI140" s="209"/>
      <c r="RPJ140" s="207"/>
      <c r="RPK140" s="210"/>
      <c r="RPL140" s="209"/>
      <c r="RPM140" s="204"/>
      <c r="RPN140" s="204"/>
      <c r="RPO140" s="204"/>
      <c r="RPP140" s="199"/>
      <c r="RPQ140" s="167"/>
      <c r="RPR140" s="199"/>
      <c r="RPS140" s="200"/>
      <c r="RPT140" s="201"/>
      <c r="RPU140" s="202"/>
      <c r="RPV140" s="202"/>
      <c r="RPW140" s="202"/>
      <c r="RPX140" s="202"/>
      <c r="RPY140" s="203"/>
      <c r="RPZ140" s="204"/>
      <c r="RQA140" s="204"/>
      <c r="RQB140" s="204"/>
      <c r="RQC140" s="205"/>
      <c r="RQD140" s="206"/>
      <c r="RQE140" s="207"/>
      <c r="RQF140" s="207"/>
      <c r="RQG140" s="208"/>
      <c r="RQH140" s="209"/>
      <c r="RQI140" s="207"/>
      <c r="RQJ140" s="210"/>
      <c r="RQK140" s="209"/>
      <c r="RQL140" s="204"/>
      <c r="RQM140" s="204"/>
      <c r="RQN140" s="204"/>
      <c r="RQO140" s="199"/>
      <c r="RQP140" s="167"/>
      <c r="RQQ140" s="199"/>
      <c r="RQR140" s="200"/>
      <c r="RQS140" s="201"/>
      <c r="RQT140" s="202"/>
      <c r="RQU140" s="202"/>
      <c r="RQV140" s="202"/>
      <c r="RQW140" s="202"/>
      <c r="RQX140" s="203"/>
      <c r="RQY140" s="204"/>
      <c r="RQZ140" s="204"/>
      <c r="RRA140" s="204"/>
      <c r="RRB140" s="205"/>
      <c r="RRC140" s="206"/>
      <c r="RRD140" s="207"/>
      <c r="RRE140" s="207"/>
      <c r="RRF140" s="208"/>
      <c r="RRG140" s="209"/>
      <c r="RRH140" s="207"/>
      <c r="RRI140" s="210"/>
      <c r="RRJ140" s="209"/>
      <c r="RRK140" s="204"/>
      <c r="RRL140" s="204"/>
      <c r="RRM140" s="204"/>
      <c r="RRN140" s="199"/>
      <c r="RRO140" s="167"/>
      <c r="RRP140" s="199"/>
      <c r="RRQ140" s="200"/>
      <c r="RRR140" s="201"/>
      <c r="RRS140" s="202"/>
      <c r="RRT140" s="202"/>
      <c r="RRU140" s="202"/>
      <c r="RRV140" s="202"/>
      <c r="RRW140" s="203"/>
      <c r="RRX140" s="204"/>
      <c r="RRY140" s="204"/>
      <c r="RRZ140" s="204"/>
      <c r="RSA140" s="205"/>
      <c r="RSB140" s="206"/>
      <c r="RSC140" s="207"/>
      <c r="RSD140" s="207"/>
      <c r="RSE140" s="208"/>
      <c r="RSF140" s="209"/>
      <c r="RSG140" s="207"/>
      <c r="RSH140" s="210"/>
      <c r="RSI140" s="209"/>
      <c r="RSJ140" s="204"/>
      <c r="RSK140" s="204"/>
      <c r="RSL140" s="204"/>
      <c r="RSM140" s="199"/>
      <c r="RSN140" s="167"/>
      <c r="RSO140" s="199"/>
      <c r="RSP140" s="200"/>
      <c r="RSQ140" s="201"/>
      <c r="RSR140" s="202"/>
      <c r="RSS140" s="202"/>
      <c r="RST140" s="202"/>
      <c r="RSU140" s="202"/>
      <c r="RSV140" s="203"/>
      <c r="RSW140" s="204"/>
      <c r="RSX140" s="204"/>
      <c r="RSY140" s="204"/>
      <c r="RSZ140" s="205"/>
      <c r="RTA140" s="206"/>
      <c r="RTB140" s="207"/>
      <c r="RTC140" s="207"/>
      <c r="RTD140" s="208"/>
      <c r="RTE140" s="209"/>
      <c r="RTF140" s="207"/>
      <c r="RTG140" s="210"/>
      <c r="RTH140" s="209"/>
      <c r="RTI140" s="204"/>
      <c r="RTJ140" s="204"/>
      <c r="RTK140" s="204"/>
      <c r="RTL140" s="199"/>
      <c r="RTM140" s="167"/>
      <c r="RTN140" s="199"/>
      <c r="RTO140" s="200"/>
      <c r="RTP140" s="201"/>
      <c r="RTQ140" s="202"/>
      <c r="RTR140" s="202"/>
      <c r="RTS140" s="202"/>
      <c r="RTT140" s="202"/>
      <c r="RTU140" s="203"/>
      <c r="RTV140" s="204"/>
      <c r="RTW140" s="204"/>
      <c r="RTX140" s="204"/>
      <c r="RTY140" s="205"/>
      <c r="RTZ140" s="206"/>
      <c r="RUA140" s="207"/>
      <c r="RUB140" s="207"/>
      <c r="RUC140" s="208"/>
      <c r="RUD140" s="209"/>
      <c r="RUE140" s="207"/>
      <c r="RUF140" s="210"/>
      <c r="RUG140" s="209"/>
      <c r="RUH140" s="204"/>
      <c r="RUI140" s="204"/>
      <c r="RUJ140" s="204"/>
      <c r="RUK140" s="199"/>
      <c r="RUL140" s="167"/>
      <c r="RUM140" s="199"/>
      <c r="RUN140" s="200"/>
      <c r="RUO140" s="201"/>
      <c r="RUP140" s="202"/>
      <c r="RUQ140" s="202"/>
      <c r="RUR140" s="202"/>
      <c r="RUS140" s="202"/>
      <c r="RUT140" s="203"/>
      <c r="RUU140" s="204"/>
      <c r="RUV140" s="204"/>
      <c r="RUW140" s="204"/>
      <c r="RUX140" s="205"/>
      <c r="RUY140" s="206"/>
      <c r="RUZ140" s="207"/>
      <c r="RVA140" s="207"/>
      <c r="RVB140" s="208"/>
      <c r="RVC140" s="209"/>
      <c r="RVD140" s="207"/>
      <c r="RVE140" s="210"/>
      <c r="RVF140" s="209"/>
      <c r="RVG140" s="204"/>
      <c r="RVH140" s="204"/>
      <c r="RVI140" s="204"/>
      <c r="RVJ140" s="199"/>
      <c r="RVK140" s="167"/>
      <c r="RVL140" s="199"/>
      <c r="RVM140" s="200"/>
      <c r="RVN140" s="201"/>
      <c r="RVO140" s="202"/>
      <c r="RVP140" s="202"/>
      <c r="RVQ140" s="202"/>
      <c r="RVR140" s="202"/>
      <c r="RVS140" s="203"/>
      <c r="RVT140" s="204"/>
      <c r="RVU140" s="204"/>
      <c r="RVV140" s="204"/>
      <c r="RVW140" s="205"/>
      <c r="RVX140" s="206"/>
      <c r="RVY140" s="207"/>
      <c r="RVZ140" s="207"/>
      <c r="RWA140" s="208"/>
      <c r="RWB140" s="209"/>
      <c r="RWC140" s="207"/>
      <c r="RWD140" s="210"/>
      <c r="RWE140" s="209"/>
      <c r="RWF140" s="204"/>
      <c r="RWG140" s="204"/>
      <c r="RWH140" s="204"/>
      <c r="RWI140" s="199"/>
      <c r="RWJ140" s="167"/>
      <c r="RWK140" s="199"/>
      <c r="RWL140" s="200"/>
      <c r="RWM140" s="201"/>
      <c r="RWN140" s="202"/>
      <c r="RWO140" s="202"/>
      <c r="RWP140" s="202"/>
      <c r="RWQ140" s="202"/>
      <c r="RWR140" s="203"/>
      <c r="RWS140" s="204"/>
      <c r="RWT140" s="204"/>
      <c r="RWU140" s="204"/>
      <c r="RWV140" s="205"/>
      <c r="RWW140" s="206"/>
      <c r="RWX140" s="207"/>
      <c r="RWY140" s="207"/>
      <c r="RWZ140" s="208"/>
      <c r="RXA140" s="209"/>
      <c r="RXB140" s="207"/>
      <c r="RXC140" s="210"/>
      <c r="RXD140" s="209"/>
      <c r="RXE140" s="204"/>
      <c r="RXF140" s="204"/>
      <c r="RXG140" s="204"/>
      <c r="RXH140" s="199"/>
      <c r="RXI140" s="167"/>
      <c r="RXJ140" s="199"/>
      <c r="RXK140" s="200"/>
      <c r="RXL140" s="201"/>
      <c r="RXM140" s="202"/>
      <c r="RXN140" s="202"/>
      <c r="RXO140" s="202"/>
      <c r="RXP140" s="202"/>
      <c r="RXQ140" s="203"/>
      <c r="RXR140" s="204"/>
      <c r="RXS140" s="204"/>
      <c r="RXT140" s="204"/>
      <c r="RXU140" s="205"/>
      <c r="RXV140" s="206"/>
      <c r="RXW140" s="207"/>
      <c r="RXX140" s="207"/>
      <c r="RXY140" s="208"/>
      <c r="RXZ140" s="209"/>
      <c r="RYA140" s="207"/>
      <c r="RYB140" s="210"/>
      <c r="RYC140" s="209"/>
      <c r="RYD140" s="204"/>
      <c r="RYE140" s="204"/>
      <c r="RYF140" s="204"/>
      <c r="RYG140" s="199"/>
      <c r="RYH140" s="167"/>
      <c r="RYI140" s="199"/>
      <c r="RYJ140" s="200"/>
      <c r="RYK140" s="201"/>
      <c r="RYL140" s="202"/>
      <c r="RYM140" s="202"/>
      <c r="RYN140" s="202"/>
      <c r="RYO140" s="202"/>
      <c r="RYP140" s="203"/>
      <c r="RYQ140" s="204"/>
      <c r="RYR140" s="204"/>
      <c r="RYS140" s="204"/>
      <c r="RYT140" s="205"/>
      <c r="RYU140" s="206"/>
      <c r="RYV140" s="207"/>
      <c r="RYW140" s="207"/>
      <c r="RYX140" s="208"/>
      <c r="RYY140" s="209"/>
      <c r="RYZ140" s="207"/>
      <c r="RZA140" s="210"/>
      <c r="RZB140" s="209"/>
      <c r="RZC140" s="204"/>
      <c r="RZD140" s="204"/>
      <c r="RZE140" s="204"/>
      <c r="RZF140" s="199"/>
      <c r="RZG140" s="167"/>
      <c r="RZH140" s="199"/>
      <c r="RZI140" s="200"/>
      <c r="RZJ140" s="201"/>
      <c r="RZK140" s="202"/>
      <c r="RZL140" s="202"/>
      <c r="RZM140" s="202"/>
      <c r="RZN140" s="202"/>
      <c r="RZO140" s="203"/>
      <c r="RZP140" s="204"/>
      <c r="RZQ140" s="204"/>
      <c r="RZR140" s="204"/>
      <c r="RZS140" s="205"/>
      <c r="RZT140" s="206"/>
      <c r="RZU140" s="207"/>
      <c r="RZV140" s="207"/>
      <c r="RZW140" s="208"/>
      <c r="RZX140" s="209"/>
      <c r="RZY140" s="207"/>
      <c r="RZZ140" s="210"/>
      <c r="SAA140" s="209"/>
      <c r="SAB140" s="204"/>
      <c r="SAC140" s="204"/>
      <c r="SAD140" s="204"/>
      <c r="SAE140" s="199"/>
      <c r="SAF140" s="167"/>
      <c r="SAG140" s="199"/>
      <c r="SAH140" s="200"/>
      <c r="SAI140" s="201"/>
      <c r="SAJ140" s="202"/>
      <c r="SAK140" s="202"/>
      <c r="SAL140" s="202"/>
      <c r="SAM140" s="202"/>
      <c r="SAN140" s="203"/>
      <c r="SAO140" s="204"/>
      <c r="SAP140" s="204"/>
      <c r="SAQ140" s="204"/>
      <c r="SAR140" s="205"/>
      <c r="SAS140" s="206"/>
      <c r="SAT140" s="207"/>
      <c r="SAU140" s="207"/>
      <c r="SAV140" s="208"/>
      <c r="SAW140" s="209"/>
      <c r="SAX140" s="207"/>
      <c r="SAY140" s="210"/>
      <c r="SAZ140" s="209"/>
      <c r="SBA140" s="204"/>
      <c r="SBB140" s="204"/>
      <c r="SBC140" s="204"/>
      <c r="SBD140" s="199"/>
      <c r="SBE140" s="167"/>
      <c r="SBF140" s="199"/>
      <c r="SBG140" s="200"/>
      <c r="SBH140" s="201"/>
      <c r="SBI140" s="202"/>
      <c r="SBJ140" s="202"/>
      <c r="SBK140" s="202"/>
      <c r="SBL140" s="202"/>
      <c r="SBM140" s="203"/>
      <c r="SBN140" s="204"/>
      <c r="SBO140" s="204"/>
      <c r="SBP140" s="204"/>
      <c r="SBQ140" s="205"/>
      <c r="SBR140" s="206"/>
      <c r="SBS140" s="207"/>
      <c r="SBT140" s="207"/>
      <c r="SBU140" s="208"/>
      <c r="SBV140" s="209"/>
      <c r="SBW140" s="207"/>
      <c r="SBX140" s="210"/>
      <c r="SBY140" s="209"/>
      <c r="SBZ140" s="204"/>
      <c r="SCA140" s="204"/>
      <c r="SCB140" s="204"/>
      <c r="SCC140" s="199"/>
      <c r="SCD140" s="167"/>
      <c r="SCE140" s="199"/>
      <c r="SCF140" s="200"/>
      <c r="SCG140" s="201"/>
      <c r="SCH140" s="202"/>
      <c r="SCI140" s="202"/>
      <c r="SCJ140" s="202"/>
      <c r="SCK140" s="202"/>
      <c r="SCL140" s="203"/>
      <c r="SCM140" s="204"/>
      <c r="SCN140" s="204"/>
      <c r="SCO140" s="204"/>
      <c r="SCP140" s="205"/>
      <c r="SCQ140" s="206"/>
      <c r="SCR140" s="207"/>
      <c r="SCS140" s="207"/>
      <c r="SCT140" s="208"/>
      <c r="SCU140" s="209"/>
      <c r="SCV140" s="207"/>
      <c r="SCW140" s="210"/>
      <c r="SCX140" s="209"/>
      <c r="SCY140" s="204"/>
      <c r="SCZ140" s="204"/>
      <c r="SDA140" s="204"/>
      <c r="SDB140" s="199"/>
      <c r="SDC140" s="167"/>
      <c r="SDD140" s="199"/>
      <c r="SDE140" s="200"/>
      <c r="SDF140" s="201"/>
      <c r="SDG140" s="202"/>
      <c r="SDH140" s="202"/>
      <c r="SDI140" s="202"/>
      <c r="SDJ140" s="202"/>
      <c r="SDK140" s="203"/>
      <c r="SDL140" s="204"/>
      <c r="SDM140" s="204"/>
      <c r="SDN140" s="204"/>
      <c r="SDO140" s="205"/>
      <c r="SDP140" s="206"/>
      <c r="SDQ140" s="207"/>
      <c r="SDR140" s="207"/>
      <c r="SDS140" s="208"/>
      <c r="SDT140" s="209"/>
      <c r="SDU140" s="207"/>
      <c r="SDV140" s="210"/>
      <c r="SDW140" s="209"/>
      <c r="SDX140" s="204"/>
      <c r="SDY140" s="204"/>
      <c r="SDZ140" s="204"/>
      <c r="SEA140" s="199"/>
      <c r="SEB140" s="167"/>
      <c r="SEC140" s="199"/>
      <c r="SED140" s="200"/>
      <c r="SEE140" s="201"/>
      <c r="SEF140" s="202"/>
      <c r="SEG140" s="202"/>
      <c r="SEH140" s="202"/>
      <c r="SEI140" s="202"/>
      <c r="SEJ140" s="203"/>
      <c r="SEK140" s="204"/>
      <c r="SEL140" s="204"/>
      <c r="SEM140" s="204"/>
      <c r="SEN140" s="205"/>
      <c r="SEO140" s="206"/>
      <c r="SEP140" s="207"/>
      <c r="SEQ140" s="207"/>
      <c r="SER140" s="208"/>
      <c r="SES140" s="209"/>
      <c r="SET140" s="207"/>
      <c r="SEU140" s="210"/>
      <c r="SEV140" s="209"/>
      <c r="SEW140" s="204"/>
      <c r="SEX140" s="204"/>
      <c r="SEY140" s="204"/>
      <c r="SEZ140" s="199"/>
      <c r="SFA140" s="167"/>
      <c r="SFB140" s="199"/>
      <c r="SFC140" s="200"/>
      <c r="SFD140" s="201"/>
      <c r="SFE140" s="202"/>
      <c r="SFF140" s="202"/>
      <c r="SFG140" s="202"/>
      <c r="SFH140" s="202"/>
      <c r="SFI140" s="203"/>
      <c r="SFJ140" s="204"/>
      <c r="SFK140" s="204"/>
      <c r="SFL140" s="204"/>
      <c r="SFM140" s="205"/>
      <c r="SFN140" s="206"/>
      <c r="SFO140" s="207"/>
      <c r="SFP140" s="207"/>
      <c r="SFQ140" s="208"/>
      <c r="SFR140" s="209"/>
      <c r="SFS140" s="207"/>
      <c r="SFT140" s="210"/>
      <c r="SFU140" s="209"/>
      <c r="SFV140" s="204"/>
      <c r="SFW140" s="204"/>
      <c r="SFX140" s="204"/>
      <c r="SFY140" s="199"/>
      <c r="SFZ140" s="167"/>
      <c r="SGA140" s="199"/>
      <c r="SGB140" s="200"/>
      <c r="SGC140" s="201"/>
      <c r="SGD140" s="202"/>
      <c r="SGE140" s="202"/>
      <c r="SGF140" s="202"/>
      <c r="SGG140" s="202"/>
      <c r="SGH140" s="203"/>
      <c r="SGI140" s="204"/>
      <c r="SGJ140" s="204"/>
      <c r="SGK140" s="204"/>
      <c r="SGL140" s="205"/>
      <c r="SGM140" s="206"/>
      <c r="SGN140" s="207"/>
      <c r="SGO140" s="207"/>
      <c r="SGP140" s="208"/>
      <c r="SGQ140" s="209"/>
      <c r="SGR140" s="207"/>
      <c r="SGS140" s="210"/>
      <c r="SGT140" s="209"/>
      <c r="SGU140" s="204"/>
      <c r="SGV140" s="204"/>
      <c r="SGW140" s="204"/>
      <c r="SGX140" s="199"/>
      <c r="SGY140" s="167"/>
      <c r="SGZ140" s="199"/>
      <c r="SHA140" s="200"/>
      <c r="SHB140" s="201"/>
      <c r="SHC140" s="202"/>
      <c r="SHD140" s="202"/>
      <c r="SHE140" s="202"/>
      <c r="SHF140" s="202"/>
      <c r="SHG140" s="203"/>
      <c r="SHH140" s="204"/>
      <c r="SHI140" s="204"/>
      <c r="SHJ140" s="204"/>
      <c r="SHK140" s="205"/>
      <c r="SHL140" s="206"/>
      <c r="SHM140" s="207"/>
      <c r="SHN140" s="207"/>
      <c r="SHO140" s="208"/>
      <c r="SHP140" s="209"/>
      <c r="SHQ140" s="207"/>
      <c r="SHR140" s="210"/>
      <c r="SHS140" s="209"/>
      <c r="SHT140" s="204"/>
      <c r="SHU140" s="204"/>
      <c r="SHV140" s="204"/>
      <c r="SHW140" s="199"/>
      <c r="SHX140" s="167"/>
      <c r="SHY140" s="199"/>
      <c r="SHZ140" s="200"/>
      <c r="SIA140" s="201"/>
      <c r="SIB140" s="202"/>
      <c r="SIC140" s="202"/>
      <c r="SID140" s="202"/>
      <c r="SIE140" s="202"/>
      <c r="SIF140" s="203"/>
      <c r="SIG140" s="204"/>
      <c r="SIH140" s="204"/>
      <c r="SII140" s="204"/>
      <c r="SIJ140" s="205"/>
      <c r="SIK140" s="206"/>
      <c r="SIL140" s="207"/>
      <c r="SIM140" s="207"/>
      <c r="SIN140" s="208"/>
      <c r="SIO140" s="209"/>
      <c r="SIP140" s="207"/>
      <c r="SIQ140" s="210"/>
      <c r="SIR140" s="209"/>
      <c r="SIS140" s="204"/>
      <c r="SIT140" s="204"/>
      <c r="SIU140" s="204"/>
      <c r="SIV140" s="199"/>
      <c r="SIW140" s="167"/>
      <c r="SIX140" s="199"/>
      <c r="SIY140" s="200"/>
      <c r="SIZ140" s="201"/>
      <c r="SJA140" s="202"/>
      <c r="SJB140" s="202"/>
      <c r="SJC140" s="202"/>
      <c r="SJD140" s="202"/>
      <c r="SJE140" s="203"/>
      <c r="SJF140" s="204"/>
      <c r="SJG140" s="204"/>
      <c r="SJH140" s="204"/>
      <c r="SJI140" s="205"/>
      <c r="SJJ140" s="206"/>
      <c r="SJK140" s="207"/>
      <c r="SJL140" s="207"/>
      <c r="SJM140" s="208"/>
      <c r="SJN140" s="209"/>
      <c r="SJO140" s="207"/>
      <c r="SJP140" s="210"/>
      <c r="SJQ140" s="209"/>
      <c r="SJR140" s="204"/>
      <c r="SJS140" s="204"/>
      <c r="SJT140" s="204"/>
      <c r="SJU140" s="199"/>
      <c r="SJV140" s="167"/>
      <c r="SJW140" s="199"/>
      <c r="SJX140" s="200"/>
      <c r="SJY140" s="201"/>
      <c r="SJZ140" s="202"/>
      <c r="SKA140" s="202"/>
      <c r="SKB140" s="202"/>
      <c r="SKC140" s="202"/>
      <c r="SKD140" s="203"/>
      <c r="SKE140" s="204"/>
      <c r="SKF140" s="204"/>
      <c r="SKG140" s="204"/>
      <c r="SKH140" s="205"/>
      <c r="SKI140" s="206"/>
      <c r="SKJ140" s="207"/>
      <c r="SKK140" s="207"/>
      <c r="SKL140" s="208"/>
      <c r="SKM140" s="209"/>
      <c r="SKN140" s="207"/>
      <c r="SKO140" s="210"/>
      <c r="SKP140" s="209"/>
      <c r="SKQ140" s="204"/>
      <c r="SKR140" s="204"/>
      <c r="SKS140" s="204"/>
      <c r="SKT140" s="199"/>
      <c r="SKU140" s="167"/>
      <c r="SKV140" s="199"/>
      <c r="SKW140" s="200"/>
      <c r="SKX140" s="201"/>
      <c r="SKY140" s="202"/>
      <c r="SKZ140" s="202"/>
      <c r="SLA140" s="202"/>
      <c r="SLB140" s="202"/>
      <c r="SLC140" s="203"/>
      <c r="SLD140" s="204"/>
      <c r="SLE140" s="204"/>
      <c r="SLF140" s="204"/>
      <c r="SLG140" s="205"/>
      <c r="SLH140" s="206"/>
      <c r="SLI140" s="207"/>
      <c r="SLJ140" s="207"/>
      <c r="SLK140" s="208"/>
      <c r="SLL140" s="209"/>
      <c r="SLM140" s="207"/>
      <c r="SLN140" s="210"/>
      <c r="SLO140" s="209"/>
      <c r="SLP140" s="204"/>
      <c r="SLQ140" s="204"/>
      <c r="SLR140" s="204"/>
      <c r="SLS140" s="199"/>
      <c r="SLT140" s="167"/>
      <c r="SLU140" s="199"/>
      <c r="SLV140" s="200"/>
      <c r="SLW140" s="201"/>
      <c r="SLX140" s="202"/>
      <c r="SLY140" s="202"/>
      <c r="SLZ140" s="202"/>
      <c r="SMA140" s="202"/>
      <c r="SMB140" s="203"/>
      <c r="SMC140" s="204"/>
      <c r="SMD140" s="204"/>
      <c r="SME140" s="204"/>
      <c r="SMF140" s="205"/>
      <c r="SMG140" s="206"/>
      <c r="SMH140" s="207"/>
      <c r="SMI140" s="207"/>
      <c r="SMJ140" s="208"/>
      <c r="SMK140" s="209"/>
      <c r="SML140" s="207"/>
      <c r="SMM140" s="210"/>
      <c r="SMN140" s="209"/>
      <c r="SMO140" s="204"/>
      <c r="SMP140" s="204"/>
      <c r="SMQ140" s="204"/>
      <c r="SMR140" s="199"/>
      <c r="SMS140" s="167"/>
      <c r="SMT140" s="199"/>
      <c r="SMU140" s="200"/>
      <c r="SMV140" s="201"/>
      <c r="SMW140" s="202"/>
      <c r="SMX140" s="202"/>
      <c r="SMY140" s="202"/>
      <c r="SMZ140" s="202"/>
      <c r="SNA140" s="203"/>
      <c r="SNB140" s="204"/>
      <c r="SNC140" s="204"/>
      <c r="SND140" s="204"/>
      <c r="SNE140" s="205"/>
      <c r="SNF140" s="206"/>
      <c r="SNG140" s="207"/>
      <c r="SNH140" s="207"/>
      <c r="SNI140" s="208"/>
      <c r="SNJ140" s="209"/>
      <c r="SNK140" s="207"/>
      <c r="SNL140" s="210"/>
      <c r="SNM140" s="209"/>
      <c r="SNN140" s="204"/>
      <c r="SNO140" s="204"/>
      <c r="SNP140" s="204"/>
      <c r="SNQ140" s="199"/>
      <c r="SNR140" s="167"/>
      <c r="SNS140" s="199"/>
      <c r="SNT140" s="200"/>
      <c r="SNU140" s="201"/>
      <c r="SNV140" s="202"/>
      <c r="SNW140" s="202"/>
      <c r="SNX140" s="202"/>
      <c r="SNY140" s="202"/>
      <c r="SNZ140" s="203"/>
      <c r="SOA140" s="204"/>
      <c r="SOB140" s="204"/>
      <c r="SOC140" s="204"/>
      <c r="SOD140" s="205"/>
      <c r="SOE140" s="206"/>
      <c r="SOF140" s="207"/>
      <c r="SOG140" s="207"/>
      <c r="SOH140" s="208"/>
      <c r="SOI140" s="209"/>
      <c r="SOJ140" s="207"/>
      <c r="SOK140" s="210"/>
      <c r="SOL140" s="209"/>
      <c r="SOM140" s="204"/>
      <c r="SON140" s="204"/>
      <c r="SOO140" s="204"/>
      <c r="SOP140" s="199"/>
      <c r="SOQ140" s="167"/>
      <c r="SOR140" s="199"/>
      <c r="SOS140" s="200"/>
      <c r="SOT140" s="201"/>
      <c r="SOU140" s="202"/>
      <c r="SOV140" s="202"/>
      <c r="SOW140" s="202"/>
      <c r="SOX140" s="202"/>
      <c r="SOY140" s="203"/>
      <c r="SOZ140" s="204"/>
      <c r="SPA140" s="204"/>
      <c r="SPB140" s="204"/>
      <c r="SPC140" s="205"/>
      <c r="SPD140" s="206"/>
      <c r="SPE140" s="207"/>
      <c r="SPF140" s="207"/>
      <c r="SPG140" s="208"/>
      <c r="SPH140" s="209"/>
      <c r="SPI140" s="207"/>
      <c r="SPJ140" s="210"/>
      <c r="SPK140" s="209"/>
      <c r="SPL140" s="204"/>
      <c r="SPM140" s="204"/>
      <c r="SPN140" s="204"/>
      <c r="SPO140" s="199"/>
      <c r="SPP140" s="167"/>
      <c r="SPQ140" s="199"/>
      <c r="SPR140" s="200"/>
      <c r="SPS140" s="201"/>
      <c r="SPT140" s="202"/>
      <c r="SPU140" s="202"/>
      <c r="SPV140" s="202"/>
      <c r="SPW140" s="202"/>
      <c r="SPX140" s="203"/>
      <c r="SPY140" s="204"/>
      <c r="SPZ140" s="204"/>
      <c r="SQA140" s="204"/>
      <c r="SQB140" s="205"/>
      <c r="SQC140" s="206"/>
      <c r="SQD140" s="207"/>
      <c r="SQE140" s="207"/>
      <c r="SQF140" s="208"/>
      <c r="SQG140" s="209"/>
      <c r="SQH140" s="207"/>
      <c r="SQI140" s="210"/>
      <c r="SQJ140" s="209"/>
      <c r="SQK140" s="204"/>
      <c r="SQL140" s="204"/>
      <c r="SQM140" s="204"/>
      <c r="SQN140" s="199"/>
      <c r="SQO140" s="167"/>
      <c r="SQP140" s="199"/>
      <c r="SQQ140" s="200"/>
      <c r="SQR140" s="201"/>
      <c r="SQS140" s="202"/>
      <c r="SQT140" s="202"/>
      <c r="SQU140" s="202"/>
      <c r="SQV140" s="202"/>
      <c r="SQW140" s="203"/>
      <c r="SQX140" s="204"/>
      <c r="SQY140" s="204"/>
      <c r="SQZ140" s="204"/>
      <c r="SRA140" s="205"/>
      <c r="SRB140" s="206"/>
      <c r="SRC140" s="207"/>
      <c r="SRD140" s="207"/>
      <c r="SRE140" s="208"/>
      <c r="SRF140" s="209"/>
      <c r="SRG140" s="207"/>
      <c r="SRH140" s="210"/>
      <c r="SRI140" s="209"/>
      <c r="SRJ140" s="204"/>
      <c r="SRK140" s="204"/>
      <c r="SRL140" s="204"/>
      <c r="SRM140" s="199"/>
      <c r="SRN140" s="167"/>
      <c r="SRO140" s="199"/>
      <c r="SRP140" s="200"/>
      <c r="SRQ140" s="201"/>
      <c r="SRR140" s="202"/>
      <c r="SRS140" s="202"/>
      <c r="SRT140" s="202"/>
      <c r="SRU140" s="202"/>
      <c r="SRV140" s="203"/>
      <c r="SRW140" s="204"/>
      <c r="SRX140" s="204"/>
      <c r="SRY140" s="204"/>
      <c r="SRZ140" s="205"/>
      <c r="SSA140" s="206"/>
      <c r="SSB140" s="207"/>
      <c r="SSC140" s="207"/>
      <c r="SSD140" s="208"/>
      <c r="SSE140" s="209"/>
      <c r="SSF140" s="207"/>
      <c r="SSG140" s="210"/>
      <c r="SSH140" s="209"/>
      <c r="SSI140" s="204"/>
      <c r="SSJ140" s="204"/>
      <c r="SSK140" s="204"/>
      <c r="SSL140" s="199"/>
      <c r="SSM140" s="167"/>
      <c r="SSN140" s="199"/>
      <c r="SSO140" s="200"/>
      <c r="SSP140" s="201"/>
      <c r="SSQ140" s="202"/>
      <c r="SSR140" s="202"/>
      <c r="SSS140" s="202"/>
      <c r="SST140" s="202"/>
      <c r="SSU140" s="203"/>
      <c r="SSV140" s="204"/>
      <c r="SSW140" s="204"/>
      <c r="SSX140" s="204"/>
      <c r="SSY140" s="205"/>
      <c r="SSZ140" s="206"/>
      <c r="STA140" s="207"/>
      <c r="STB140" s="207"/>
      <c r="STC140" s="208"/>
      <c r="STD140" s="209"/>
      <c r="STE140" s="207"/>
      <c r="STF140" s="210"/>
      <c r="STG140" s="209"/>
      <c r="STH140" s="204"/>
      <c r="STI140" s="204"/>
      <c r="STJ140" s="204"/>
      <c r="STK140" s="199"/>
      <c r="STL140" s="167"/>
      <c r="STM140" s="199"/>
      <c r="STN140" s="200"/>
      <c r="STO140" s="201"/>
      <c r="STP140" s="202"/>
      <c r="STQ140" s="202"/>
      <c r="STR140" s="202"/>
      <c r="STS140" s="202"/>
      <c r="STT140" s="203"/>
      <c r="STU140" s="204"/>
      <c r="STV140" s="204"/>
      <c r="STW140" s="204"/>
      <c r="STX140" s="205"/>
      <c r="STY140" s="206"/>
      <c r="STZ140" s="207"/>
      <c r="SUA140" s="207"/>
      <c r="SUB140" s="208"/>
      <c r="SUC140" s="209"/>
      <c r="SUD140" s="207"/>
      <c r="SUE140" s="210"/>
      <c r="SUF140" s="209"/>
      <c r="SUG140" s="204"/>
      <c r="SUH140" s="204"/>
      <c r="SUI140" s="204"/>
      <c r="SUJ140" s="199"/>
      <c r="SUK140" s="167"/>
      <c r="SUL140" s="199"/>
      <c r="SUM140" s="200"/>
      <c r="SUN140" s="201"/>
      <c r="SUO140" s="202"/>
      <c r="SUP140" s="202"/>
      <c r="SUQ140" s="202"/>
      <c r="SUR140" s="202"/>
      <c r="SUS140" s="203"/>
      <c r="SUT140" s="204"/>
      <c r="SUU140" s="204"/>
      <c r="SUV140" s="204"/>
      <c r="SUW140" s="205"/>
      <c r="SUX140" s="206"/>
      <c r="SUY140" s="207"/>
      <c r="SUZ140" s="207"/>
      <c r="SVA140" s="208"/>
      <c r="SVB140" s="209"/>
      <c r="SVC140" s="207"/>
      <c r="SVD140" s="210"/>
      <c r="SVE140" s="209"/>
      <c r="SVF140" s="204"/>
      <c r="SVG140" s="204"/>
      <c r="SVH140" s="204"/>
      <c r="SVI140" s="199"/>
      <c r="SVJ140" s="167"/>
      <c r="SVK140" s="199"/>
      <c r="SVL140" s="200"/>
      <c r="SVM140" s="201"/>
      <c r="SVN140" s="202"/>
      <c r="SVO140" s="202"/>
      <c r="SVP140" s="202"/>
      <c r="SVQ140" s="202"/>
      <c r="SVR140" s="203"/>
      <c r="SVS140" s="204"/>
      <c r="SVT140" s="204"/>
      <c r="SVU140" s="204"/>
      <c r="SVV140" s="205"/>
      <c r="SVW140" s="206"/>
      <c r="SVX140" s="207"/>
      <c r="SVY140" s="207"/>
      <c r="SVZ140" s="208"/>
      <c r="SWA140" s="209"/>
      <c r="SWB140" s="207"/>
      <c r="SWC140" s="210"/>
      <c r="SWD140" s="209"/>
      <c r="SWE140" s="204"/>
      <c r="SWF140" s="204"/>
      <c r="SWG140" s="204"/>
      <c r="SWH140" s="199"/>
      <c r="SWI140" s="167"/>
      <c r="SWJ140" s="199"/>
      <c r="SWK140" s="200"/>
      <c r="SWL140" s="201"/>
      <c r="SWM140" s="202"/>
      <c r="SWN140" s="202"/>
      <c r="SWO140" s="202"/>
      <c r="SWP140" s="202"/>
      <c r="SWQ140" s="203"/>
      <c r="SWR140" s="204"/>
      <c r="SWS140" s="204"/>
      <c r="SWT140" s="204"/>
      <c r="SWU140" s="205"/>
      <c r="SWV140" s="206"/>
      <c r="SWW140" s="207"/>
      <c r="SWX140" s="207"/>
      <c r="SWY140" s="208"/>
      <c r="SWZ140" s="209"/>
      <c r="SXA140" s="207"/>
      <c r="SXB140" s="210"/>
      <c r="SXC140" s="209"/>
      <c r="SXD140" s="204"/>
      <c r="SXE140" s="204"/>
      <c r="SXF140" s="204"/>
      <c r="SXG140" s="199"/>
      <c r="SXH140" s="167"/>
      <c r="SXI140" s="199"/>
      <c r="SXJ140" s="200"/>
      <c r="SXK140" s="201"/>
      <c r="SXL140" s="202"/>
      <c r="SXM140" s="202"/>
      <c r="SXN140" s="202"/>
      <c r="SXO140" s="202"/>
      <c r="SXP140" s="203"/>
      <c r="SXQ140" s="204"/>
      <c r="SXR140" s="204"/>
      <c r="SXS140" s="204"/>
      <c r="SXT140" s="205"/>
      <c r="SXU140" s="206"/>
      <c r="SXV140" s="207"/>
      <c r="SXW140" s="207"/>
      <c r="SXX140" s="208"/>
      <c r="SXY140" s="209"/>
      <c r="SXZ140" s="207"/>
      <c r="SYA140" s="210"/>
      <c r="SYB140" s="209"/>
      <c r="SYC140" s="204"/>
      <c r="SYD140" s="204"/>
      <c r="SYE140" s="204"/>
      <c r="SYF140" s="199"/>
      <c r="SYG140" s="167"/>
      <c r="SYH140" s="199"/>
      <c r="SYI140" s="200"/>
      <c r="SYJ140" s="201"/>
      <c r="SYK140" s="202"/>
      <c r="SYL140" s="202"/>
      <c r="SYM140" s="202"/>
      <c r="SYN140" s="202"/>
      <c r="SYO140" s="203"/>
      <c r="SYP140" s="204"/>
      <c r="SYQ140" s="204"/>
      <c r="SYR140" s="204"/>
      <c r="SYS140" s="205"/>
      <c r="SYT140" s="206"/>
      <c r="SYU140" s="207"/>
      <c r="SYV140" s="207"/>
      <c r="SYW140" s="208"/>
      <c r="SYX140" s="209"/>
      <c r="SYY140" s="207"/>
      <c r="SYZ140" s="210"/>
      <c r="SZA140" s="209"/>
      <c r="SZB140" s="204"/>
      <c r="SZC140" s="204"/>
      <c r="SZD140" s="204"/>
      <c r="SZE140" s="199"/>
      <c r="SZF140" s="167"/>
      <c r="SZG140" s="199"/>
      <c r="SZH140" s="200"/>
      <c r="SZI140" s="201"/>
      <c r="SZJ140" s="202"/>
      <c r="SZK140" s="202"/>
      <c r="SZL140" s="202"/>
      <c r="SZM140" s="202"/>
      <c r="SZN140" s="203"/>
      <c r="SZO140" s="204"/>
      <c r="SZP140" s="204"/>
      <c r="SZQ140" s="204"/>
      <c r="SZR140" s="205"/>
      <c r="SZS140" s="206"/>
      <c r="SZT140" s="207"/>
      <c r="SZU140" s="207"/>
      <c r="SZV140" s="208"/>
      <c r="SZW140" s="209"/>
      <c r="SZX140" s="207"/>
      <c r="SZY140" s="210"/>
      <c r="SZZ140" s="209"/>
      <c r="TAA140" s="204"/>
      <c r="TAB140" s="204"/>
      <c r="TAC140" s="204"/>
      <c r="TAD140" s="199"/>
      <c r="TAE140" s="167"/>
      <c r="TAF140" s="199"/>
      <c r="TAG140" s="200"/>
      <c r="TAH140" s="201"/>
      <c r="TAI140" s="202"/>
      <c r="TAJ140" s="202"/>
      <c r="TAK140" s="202"/>
      <c r="TAL140" s="202"/>
      <c r="TAM140" s="203"/>
      <c r="TAN140" s="204"/>
      <c r="TAO140" s="204"/>
      <c r="TAP140" s="204"/>
      <c r="TAQ140" s="205"/>
      <c r="TAR140" s="206"/>
      <c r="TAS140" s="207"/>
      <c r="TAT140" s="207"/>
      <c r="TAU140" s="208"/>
      <c r="TAV140" s="209"/>
      <c r="TAW140" s="207"/>
      <c r="TAX140" s="210"/>
      <c r="TAY140" s="209"/>
      <c r="TAZ140" s="204"/>
      <c r="TBA140" s="204"/>
      <c r="TBB140" s="204"/>
      <c r="TBC140" s="199"/>
      <c r="TBD140" s="167"/>
      <c r="TBE140" s="199"/>
      <c r="TBF140" s="200"/>
      <c r="TBG140" s="201"/>
      <c r="TBH140" s="202"/>
      <c r="TBI140" s="202"/>
      <c r="TBJ140" s="202"/>
      <c r="TBK140" s="202"/>
      <c r="TBL140" s="203"/>
      <c r="TBM140" s="204"/>
      <c r="TBN140" s="204"/>
      <c r="TBO140" s="204"/>
      <c r="TBP140" s="205"/>
      <c r="TBQ140" s="206"/>
      <c r="TBR140" s="207"/>
      <c r="TBS140" s="207"/>
      <c r="TBT140" s="208"/>
      <c r="TBU140" s="209"/>
      <c r="TBV140" s="207"/>
      <c r="TBW140" s="210"/>
      <c r="TBX140" s="209"/>
      <c r="TBY140" s="204"/>
      <c r="TBZ140" s="204"/>
      <c r="TCA140" s="204"/>
      <c r="TCB140" s="199"/>
      <c r="TCC140" s="167"/>
      <c r="TCD140" s="199"/>
      <c r="TCE140" s="200"/>
      <c r="TCF140" s="201"/>
      <c r="TCG140" s="202"/>
      <c r="TCH140" s="202"/>
      <c r="TCI140" s="202"/>
      <c r="TCJ140" s="202"/>
      <c r="TCK140" s="203"/>
      <c r="TCL140" s="204"/>
      <c r="TCM140" s="204"/>
      <c r="TCN140" s="204"/>
      <c r="TCO140" s="205"/>
      <c r="TCP140" s="206"/>
      <c r="TCQ140" s="207"/>
      <c r="TCR140" s="207"/>
      <c r="TCS140" s="208"/>
      <c r="TCT140" s="209"/>
      <c r="TCU140" s="207"/>
      <c r="TCV140" s="210"/>
      <c r="TCW140" s="209"/>
      <c r="TCX140" s="204"/>
      <c r="TCY140" s="204"/>
      <c r="TCZ140" s="204"/>
      <c r="TDA140" s="199"/>
      <c r="TDB140" s="167"/>
      <c r="TDC140" s="199"/>
      <c r="TDD140" s="200"/>
      <c r="TDE140" s="201"/>
      <c r="TDF140" s="202"/>
      <c r="TDG140" s="202"/>
      <c r="TDH140" s="202"/>
      <c r="TDI140" s="202"/>
      <c r="TDJ140" s="203"/>
      <c r="TDK140" s="204"/>
      <c r="TDL140" s="204"/>
      <c r="TDM140" s="204"/>
      <c r="TDN140" s="205"/>
      <c r="TDO140" s="206"/>
      <c r="TDP140" s="207"/>
      <c r="TDQ140" s="207"/>
      <c r="TDR140" s="208"/>
      <c r="TDS140" s="209"/>
      <c r="TDT140" s="207"/>
      <c r="TDU140" s="210"/>
      <c r="TDV140" s="209"/>
      <c r="TDW140" s="204"/>
      <c r="TDX140" s="204"/>
      <c r="TDY140" s="204"/>
      <c r="TDZ140" s="199"/>
      <c r="TEA140" s="167"/>
      <c r="TEB140" s="199"/>
      <c r="TEC140" s="200"/>
      <c r="TED140" s="201"/>
      <c r="TEE140" s="202"/>
      <c r="TEF140" s="202"/>
      <c r="TEG140" s="202"/>
      <c r="TEH140" s="202"/>
      <c r="TEI140" s="203"/>
      <c r="TEJ140" s="204"/>
      <c r="TEK140" s="204"/>
      <c r="TEL140" s="204"/>
      <c r="TEM140" s="205"/>
      <c r="TEN140" s="206"/>
      <c r="TEO140" s="207"/>
      <c r="TEP140" s="207"/>
      <c r="TEQ140" s="208"/>
      <c r="TER140" s="209"/>
      <c r="TES140" s="207"/>
      <c r="TET140" s="210"/>
      <c r="TEU140" s="209"/>
      <c r="TEV140" s="204"/>
      <c r="TEW140" s="204"/>
      <c r="TEX140" s="204"/>
      <c r="TEY140" s="199"/>
      <c r="TEZ140" s="167"/>
      <c r="TFA140" s="199"/>
      <c r="TFB140" s="200"/>
      <c r="TFC140" s="201"/>
      <c r="TFD140" s="202"/>
      <c r="TFE140" s="202"/>
      <c r="TFF140" s="202"/>
      <c r="TFG140" s="202"/>
      <c r="TFH140" s="203"/>
      <c r="TFI140" s="204"/>
      <c r="TFJ140" s="204"/>
      <c r="TFK140" s="204"/>
      <c r="TFL140" s="205"/>
      <c r="TFM140" s="206"/>
      <c r="TFN140" s="207"/>
      <c r="TFO140" s="207"/>
      <c r="TFP140" s="208"/>
      <c r="TFQ140" s="209"/>
      <c r="TFR140" s="207"/>
      <c r="TFS140" s="210"/>
      <c r="TFT140" s="209"/>
      <c r="TFU140" s="204"/>
      <c r="TFV140" s="204"/>
      <c r="TFW140" s="204"/>
      <c r="TFX140" s="199"/>
      <c r="TFY140" s="167"/>
      <c r="TFZ140" s="199"/>
      <c r="TGA140" s="200"/>
      <c r="TGB140" s="201"/>
      <c r="TGC140" s="202"/>
      <c r="TGD140" s="202"/>
      <c r="TGE140" s="202"/>
      <c r="TGF140" s="202"/>
      <c r="TGG140" s="203"/>
      <c r="TGH140" s="204"/>
      <c r="TGI140" s="204"/>
      <c r="TGJ140" s="204"/>
      <c r="TGK140" s="205"/>
      <c r="TGL140" s="206"/>
      <c r="TGM140" s="207"/>
      <c r="TGN140" s="207"/>
      <c r="TGO140" s="208"/>
      <c r="TGP140" s="209"/>
      <c r="TGQ140" s="207"/>
      <c r="TGR140" s="210"/>
      <c r="TGS140" s="209"/>
      <c r="TGT140" s="204"/>
      <c r="TGU140" s="204"/>
      <c r="TGV140" s="204"/>
      <c r="TGW140" s="199"/>
      <c r="TGX140" s="167"/>
      <c r="TGY140" s="199"/>
      <c r="TGZ140" s="200"/>
      <c r="THA140" s="201"/>
      <c r="THB140" s="202"/>
      <c r="THC140" s="202"/>
      <c r="THD140" s="202"/>
      <c r="THE140" s="202"/>
      <c r="THF140" s="203"/>
      <c r="THG140" s="204"/>
      <c r="THH140" s="204"/>
      <c r="THI140" s="204"/>
      <c r="THJ140" s="205"/>
      <c r="THK140" s="206"/>
      <c r="THL140" s="207"/>
      <c r="THM140" s="207"/>
      <c r="THN140" s="208"/>
      <c r="THO140" s="209"/>
      <c r="THP140" s="207"/>
      <c r="THQ140" s="210"/>
      <c r="THR140" s="209"/>
      <c r="THS140" s="204"/>
      <c r="THT140" s="204"/>
      <c r="THU140" s="204"/>
      <c r="THV140" s="199"/>
      <c r="THW140" s="167"/>
      <c r="THX140" s="199"/>
      <c r="THY140" s="200"/>
      <c r="THZ140" s="201"/>
      <c r="TIA140" s="202"/>
      <c r="TIB140" s="202"/>
      <c r="TIC140" s="202"/>
      <c r="TID140" s="202"/>
      <c r="TIE140" s="203"/>
      <c r="TIF140" s="204"/>
      <c r="TIG140" s="204"/>
      <c r="TIH140" s="204"/>
      <c r="TII140" s="205"/>
      <c r="TIJ140" s="206"/>
      <c r="TIK140" s="207"/>
      <c r="TIL140" s="207"/>
      <c r="TIM140" s="208"/>
      <c r="TIN140" s="209"/>
      <c r="TIO140" s="207"/>
      <c r="TIP140" s="210"/>
      <c r="TIQ140" s="209"/>
      <c r="TIR140" s="204"/>
      <c r="TIS140" s="204"/>
      <c r="TIT140" s="204"/>
      <c r="TIU140" s="199"/>
      <c r="TIV140" s="167"/>
      <c r="TIW140" s="199"/>
      <c r="TIX140" s="200"/>
      <c r="TIY140" s="201"/>
      <c r="TIZ140" s="202"/>
      <c r="TJA140" s="202"/>
      <c r="TJB140" s="202"/>
      <c r="TJC140" s="202"/>
      <c r="TJD140" s="203"/>
      <c r="TJE140" s="204"/>
      <c r="TJF140" s="204"/>
      <c r="TJG140" s="204"/>
      <c r="TJH140" s="205"/>
      <c r="TJI140" s="206"/>
      <c r="TJJ140" s="207"/>
      <c r="TJK140" s="207"/>
      <c r="TJL140" s="208"/>
      <c r="TJM140" s="209"/>
      <c r="TJN140" s="207"/>
      <c r="TJO140" s="210"/>
      <c r="TJP140" s="209"/>
      <c r="TJQ140" s="204"/>
      <c r="TJR140" s="204"/>
      <c r="TJS140" s="204"/>
      <c r="TJT140" s="199"/>
      <c r="TJU140" s="167"/>
      <c r="TJV140" s="199"/>
      <c r="TJW140" s="200"/>
      <c r="TJX140" s="201"/>
      <c r="TJY140" s="202"/>
      <c r="TJZ140" s="202"/>
      <c r="TKA140" s="202"/>
      <c r="TKB140" s="202"/>
      <c r="TKC140" s="203"/>
      <c r="TKD140" s="204"/>
      <c r="TKE140" s="204"/>
      <c r="TKF140" s="204"/>
      <c r="TKG140" s="205"/>
      <c r="TKH140" s="206"/>
      <c r="TKI140" s="207"/>
      <c r="TKJ140" s="207"/>
      <c r="TKK140" s="208"/>
      <c r="TKL140" s="209"/>
      <c r="TKM140" s="207"/>
      <c r="TKN140" s="210"/>
      <c r="TKO140" s="209"/>
      <c r="TKP140" s="204"/>
      <c r="TKQ140" s="204"/>
      <c r="TKR140" s="204"/>
      <c r="TKS140" s="199"/>
      <c r="TKT140" s="167"/>
      <c r="TKU140" s="199"/>
      <c r="TKV140" s="200"/>
      <c r="TKW140" s="201"/>
      <c r="TKX140" s="202"/>
      <c r="TKY140" s="202"/>
      <c r="TKZ140" s="202"/>
      <c r="TLA140" s="202"/>
      <c r="TLB140" s="203"/>
      <c r="TLC140" s="204"/>
      <c r="TLD140" s="204"/>
      <c r="TLE140" s="204"/>
      <c r="TLF140" s="205"/>
      <c r="TLG140" s="206"/>
      <c r="TLH140" s="207"/>
      <c r="TLI140" s="207"/>
      <c r="TLJ140" s="208"/>
      <c r="TLK140" s="209"/>
      <c r="TLL140" s="207"/>
      <c r="TLM140" s="210"/>
      <c r="TLN140" s="209"/>
      <c r="TLO140" s="204"/>
      <c r="TLP140" s="204"/>
      <c r="TLQ140" s="204"/>
      <c r="TLR140" s="199"/>
      <c r="TLS140" s="167"/>
      <c r="TLT140" s="199"/>
      <c r="TLU140" s="200"/>
      <c r="TLV140" s="201"/>
      <c r="TLW140" s="202"/>
      <c r="TLX140" s="202"/>
      <c r="TLY140" s="202"/>
      <c r="TLZ140" s="202"/>
      <c r="TMA140" s="203"/>
      <c r="TMB140" s="204"/>
      <c r="TMC140" s="204"/>
      <c r="TMD140" s="204"/>
      <c r="TME140" s="205"/>
      <c r="TMF140" s="206"/>
      <c r="TMG140" s="207"/>
      <c r="TMH140" s="207"/>
      <c r="TMI140" s="208"/>
      <c r="TMJ140" s="209"/>
      <c r="TMK140" s="207"/>
      <c r="TML140" s="210"/>
      <c r="TMM140" s="209"/>
      <c r="TMN140" s="204"/>
      <c r="TMO140" s="204"/>
      <c r="TMP140" s="204"/>
      <c r="TMQ140" s="199"/>
      <c r="TMR140" s="167"/>
      <c r="TMS140" s="199"/>
      <c r="TMT140" s="200"/>
      <c r="TMU140" s="201"/>
      <c r="TMV140" s="202"/>
      <c r="TMW140" s="202"/>
      <c r="TMX140" s="202"/>
      <c r="TMY140" s="202"/>
      <c r="TMZ140" s="203"/>
      <c r="TNA140" s="204"/>
      <c r="TNB140" s="204"/>
      <c r="TNC140" s="204"/>
      <c r="TND140" s="205"/>
      <c r="TNE140" s="206"/>
      <c r="TNF140" s="207"/>
      <c r="TNG140" s="207"/>
      <c r="TNH140" s="208"/>
      <c r="TNI140" s="209"/>
      <c r="TNJ140" s="207"/>
      <c r="TNK140" s="210"/>
      <c r="TNL140" s="209"/>
      <c r="TNM140" s="204"/>
      <c r="TNN140" s="204"/>
      <c r="TNO140" s="204"/>
      <c r="TNP140" s="199"/>
      <c r="TNQ140" s="167"/>
      <c r="TNR140" s="199"/>
      <c r="TNS140" s="200"/>
      <c r="TNT140" s="201"/>
      <c r="TNU140" s="202"/>
      <c r="TNV140" s="202"/>
      <c r="TNW140" s="202"/>
      <c r="TNX140" s="202"/>
      <c r="TNY140" s="203"/>
      <c r="TNZ140" s="204"/>
      <c r="TOA140" s="204"/>
      <c r="TOB140" s="204"/>
      <c r="TOC140" s="205"/>
      <c r="TOD140" s="206"/>
      <c r="TOE140" s="207"/>
      <c r="TOF140" s="207"/>
      <c r="TOG140" s="208"/>
      <c r="TOH140" s="209"/>
      <c r="TOI140" s="207"/>
      <c r="TOJ140" s="210"/>
      <c r="TOK140" s="209"/>
      <c r="TOL140" s="204"/>
      <c r="TOM140" s="204"/>
      <c r="TON140" s="204"/>
      <c r="TOO140" s="199"/>
      <c r="TOP140" s="167"/>
      <c r="TOQ140" s="199"/>
      <c r="TOR140" s="200"/>
      <c r="TOS140" s="201"/>
      <c r="TOT140" s="202"/>
      <c r="TOU140" s="202"/>
      <c r="TOV140" s="202"/>
      <c r="TOW140" s="202"/>
      <c r="TOX140" s="203"/>
      <c r="TOY140" s="204"/>
      <c r="TOZ140" s="204"/>
      <c r="TPA140" s="204"/>
      <c r="TPB140" s="205"/>
      <c r="TPC140" s="206"/>
      <c r="TPD140" s="207"/>
      <c r="TPE140" s="207"/>
      <c r="TPF140" s="208"/>
      <c r="TPG140" s="209"/>
      <c r="TPH140" s="207"/>
      <c r="TPI140" s="210"/>
      <c r="TPJ140" s="209"/>
      <c r="TPK140" s="204"/>
      <c r="TPL140" s="204"/>
      <c r="TPM140" s="204"/>
      <c r="TPN140" s="199"/>
      <c r="TPO140" s="167"/>
      <c r="TPP140" s="199"/>
      <c r="TPQ140" s="200"/>
      <c r="TPR140" s="201"/>
      <c r="TPS140" s="202"/>
      <c r="TPT140" s="202"/>
      <c r="TPU140" s="202"/>
      <c r="TPV140" s="202"/>
      <c r="TPW140" s="203"/>
      <c r="TPX140" s="204"/>
      <c r="TPY140" s="204"/>
      <c r="TPZ140" s="204"/>
      <c r="TQA140" s="205"/>
      <c r="TQB140" s="206"/>
      <c r="TQC140" s="207"/>
      <c r="TQD140" s="207"/>
      <c r="TQE140" s="208"/>
      <c r="TQF140" s="209"/>
      <c r="TQG140" s="207"/>
      <c r="TQH140" s="210"/>
      <c r="TQI140" s="209"/>
      <c r="TQJ140" s="204"/>
      <c r="TQK140" s="204"/>
      <c r="TQL140" s="204"/>
      <c r="TQM140" s="199"/>
      <c r="TQN140" s="167"/>
      <c r="TQO140" s="199"/>
      <c r="TQP140" s="200"/>
      <c r="TQQ140" s="201"/>
      <c r="TQR140" s="202"/>
      <c r="TQS140" s="202"/>
      <c r="TQT140" s="202"/>
      <c r="TQU140" s="202"/>
      <c r="TQV140" s="203"/>
      <c r="TQW140" s="204"/>
      <c r="TQX140" s="204"/>
      <c r="TQY140" s="204"/>
      <c r="TQZ140" s="205"/>
      <c r="TRA140" s="206"/>
      <c r="TRB140" s="207"/>
      <c r="TRC140" s="207"/>
      <c r="TRD140" s="208"/>
      <c r="TRE140" s="209"/>
      <c r="TRF140" s="207"/>
      <c r="TRG140" s="210"/>
      <c r="TRH140" s="209"/>
      <c r="TRI140" s="204"/>
      <c r="TRJ140" s="204"/>
      <c r="TRK140" s="204"/>
      <c r="TRL140" s="199"/>
      <c r="TRM140" s="167"/>
      <c r="TRN140" s="199"/>
      <c r="TRO140" s="200"/>
      <c r="TRP140" s="201"/>
      <c r="TRQ140" s="202"/>
      <c r="TRR140" s="202"/>
      <c r="TRS140" s="202"/>
      <c r="TRT140" s="202"/>
      <c r="TRU140" s="203"/>
      <c r="TRV140" s="204"/>
      <c r="TRW140" s="204"/>
      <c r="TRX140" s="204"/>
      <c r="TRY140" s="205"/>
      <c r="TRZ140" s="206"/>
      <c r="TSA140" s="207"/>
      <c r="TSB140" s="207"/>
      <c r="TSC140" s="208"/>
      <c r="TSD140" s="209"/>
      <c r="TSE140" s="207"/>
      <c r="TSF140" s="210"/>
      <c r="TSG140" s="209"/>
      <c r="TSH140" s="204"/>
      <c r="TSI140" s="204"/>
      <c r="TSJ140" s="204"/>
      <c r="TSK140" s="199"/>
      <c r="TSL140" s="167"/>
      <c r="TSM140" s="199"/>
      <c r="TSN140" s="200"/>
      <c r="TSO140" s="201"/>
      <c r="TSP140" s="202"/>
      <c r="TSQ140" s="202"/>
      <c r="TSR140" s="202"/>
      <c r="TSS140" s="202"/>
      <c r="TST140" s="203"/>
      <c r="TSU140" s="204"/>
      <c r="TSV140" s="204"/>
      <c r="TSW140" s="204"/>
      <c r="TSX140" s="205"/>
      <c r="TSY140" s="206"/>
      <c r="TSZ140" s="207"/>
      <c r="TTA140" s="207"/>
      <c r="TTB140" s="208"/>
      <c r="TTC140" s="209"/>
      <c r="TTD140" s="207"/>
      <c r="TTE140" s="210"/>
      <c r="TTF140" s="209"/>
      <c r="TTG140" s="204"/>
      <c r="TTH140" s="204"/>
      <c r="TTI140" s="204"/>
      <c r="TTJ140" s="199"/>
      <c r="TTK140" s="167"/>
      <c r="TTL140" s="199"/>
      <c r="TTM140" s="200"/>
      <c r="TTN140" s="201"/>
      <c r="TTO140" s="202"/>
      <c r="TTP140" s="202"/>
      <c r="TTQ140" s="202"/>
      <c r="TTR140" s="202"/>
      <c r="TTS140" s="203"/>
      <c r="TTT140" s="204"/>
      <c r="TTU140" s="204"/>
      <c r="TTV140" s="204"/>
      <c r="TTW140" s="205"/>
      <c r="TTX140" s="206"/>
      <c r="TTY140" s="207"/>
      <c r="TTZ140" s="207"/>
      <c r="TUA140" s="208"/>
      <c r="TUB140" s="209"/>
      <c r="TUC140" s="207"/>
      <c r="TUD140" s="210"/>
      <c r="TUE140" s="209"/>
      <c r="TUF140" s="204"/>
      <c r="TUG140" s="204"/>
      <c r="TUH140" s="204"/>
      <c r="TUI140" s="199"/>
      <c r="TUJ140" s="167"/>
      <c r="TUK140" s="199"/>
      <c r="TUL140" s="200"/>
      <c r="TUM140" s="201"/>
      <c r="TUN140" s="202"/>
      <c r="TUO140" s="202"/>
      <c r="TUP140" s="202"/>
      <c r="TUQ140" s="202"/>
      <c r="TUR140" s="203"/>
      <c r="TUS140" s="204"/>
      <c r="TUT140" s="204"/>
      <c r="TUU140" s="204"/>
      <c r="TUV140" s="205"/>
      <c r="TUW140" s="206"/>
      <c r="TUX140" s="207"/>
      <c r="TUY140" s="207"/>
      <c r="TUZ140" s="208"/>
      <c r="TVA140" s="209"/>
      <c r="TVB140" s="207"/>
      <c r="TVC140" s="210"/>
      <c r="TVD140" s="209"/>
      <c r="TVE140" s="204"/>
      <c r="TVF140" s="204"/>
      <c r="TVG140" s="204"/>
      <c r="TVH140" s="199"/>
      <c r="TVI140" s="167"/>
      <c r="TVJ140" s="199"/>
      <c r="TVK140" s="200"/>
      <c r="TVL140" s="201"/>
      <c r="TVM140" s="202"/>
      <c r="TVN140" s="202"/>
      <c r="TVO140" s="202"/>
      <c r="TVP140" s="202"/>
      <c r="TVQ140" s="203"/>
      <c r="TVR140" s="204"/>
      <c r="TVS140" s="204"/>
      <c r="TVT140" s="204"/>
      <c r="TVU140" s="205"/>
      <c r="TVV140" s="206"/>
      <c r="TVW140" s="207"/>
      <c r="TVX140" s="207"/>
      <c r="TVY140" s="208"/>
      <c r="TVZ140" s="209"/>
      <c r="TWA140" s="207"/>
      <c r="TWB140" s="210"/>
      <c r="TWC140" s="209"/>
      <c r="TWD140" s="204"/>
      <c r="TWE140" s="204"/>
      <c r="TWF140" s="204"/>
      <c r="TWG140" s="199"/>
      <c r="TWH140" s="167"/>
      <c r="TWI140" s="199"/>
      <c r="TWJ140" s="200"/>
      <c r="TWK140" s="201"/>
      <c r="TWL140" s="202"/>
      <c r="TWM140" s="202"/>
      <c r="TWN140" s="202"/>
      <c r="TWO140" s="202"/>
      <c r="TWP140" s="203"/>
      <c r="TWQ140" s="204"/>
      <c r="TWR140" s="204"/>
      <c r="TWS140" s="204"/>
      <c r="TWT140" s="205"/>
      <c r="TWU140" s="206"/>
      <c r="TWV140" s="207"/>
      <c r="TWW140" s="207"/>
      <c r="TWX140" s="208"/>
      <c r="TWY140" s="209"/>
      <c r="TWZ140" s="207"/>
      <c r="TXA140" s="210"/>
      <c r="TXB140" s="209"/>
      <c r="TXC140" s="204"/>
      <c r="TXD140" s="204"/>
      <c r="TXE140" s="204"/>
      <c r="TXF140" s="199"/>
      <c r="TXG140" s="167"/>
      <c r="TXH140" s="199"/>
      <c r="TXI140" s="200"/>
      <c r="TXJ140" s="201"/>
      <c r="TXK140" s="202"/>
      <c r="TXL140" s="202"/>
      <c r="TXM140" s="202"/>
      <c r="TXN140" s="202"/>
      <c r="TXO140" s="203"/>
      <c r="TXP140" s="204"/>
      <c r="TXQ140" s="204"/>
      <c r="TXR140" s="204"/>
      <c r="TXS140" s="205"/>
      <c r="TXT140" s="206"/>
      <c r="TXU140" s="207"/>
      <c r="TXV140" s="207"/>
      <c r="TXW140" s="208"/>
      <c r="TXX140" s="209"/>
      <c r="TXY140" s="207"/>
      <c r="TXZ140" s="210"/>
      <c r="TYA140" s="209"/>
      <c r="TYB140" s="204"/>
      <c r="TYC140" s="204"/>
      <c r="TYD140" s="204"/>
      <c r="TYE140" s="199"/>
      <c r="TYF140" s="167"/>
      <c r="TYG140" s="199"/>
      <c r="TYH140" s="200"/>
      <c r="TYI140" s="201"/>
      <c r="TYJ140" s="202"/>
      <c r="TYK140" s="202"/>
      <c r="TYL140" s="202"/>
      <c r="TYM140" s="202"/>
      <c r="TYN140" s="203"/>
      <c r="TYO140" s="204"/>
      <c r="TYP140" s="204"/>
      <c r="TYQ140" s="204"/>
      <c r="TYR140" s="205"/>
      <c r="TYS140" s="206"/>
      <c r="TYT140" s="207"/>
      <c r="TYU140" s="207"/>
      <c r="TYV140" s="208"/>
      <c r="TYW140" s="209"/>
      <c r="TYX140" s="207"/>
      <c r="TYY140" s="210"/>
      <c r="TYZ140" s="209"/>
      <c r="TZA140" s="204"/>
      <c r="TZB140" s="204"/>
      <c r="TZC140" s="204"/>
      <c r="TZD140" s="199"/>
      <c r="TZE140" s="167"/>
      <c r="TZF140" s="199"/>
      <c r="TZG140" s="200"/>
      <c r="TZH140" s="201"/>
      <c r="TZI140" s="202"/>
      <c r="TZJ140" s="202"/>
      <c r="TZK140" s="202"/>
      <c r="TZL140" s="202"/>
      <c r="TZM140" s="203"/>
      <c r="TZN140" s="204"/>
      <c r="TZO140" s="204"/>
      <c r="TZP140" s="204"/>
      <c r="TZQ140" s="205"/>
      <c r="TZR140" s="206"/>
      <c r="TZS140" s="207"/>
      <c r="TZT140" s="207"/>
      <c r="TZU140" s="208"/>
      <c r="TZV140" s="209"/>
      <c r="TZW140" s="207"/>
      <c r="TZX140" s="210"/>
      <c r="TZY140" s="209"/>
      <c r="TZZ140" s="204"/>
      <c r="UAA140" s="204"/>
      <c r="UAB140" s="204"/>
      <c r="UAC140" s="199"/>
      <c r="UAD140" s="167"/>
      <c r="UAE140" s="199"/>
      <c r="UAF140" s="200"/>
      <c r="UAG140" s="201"/>
      <c r="UAH140" s="202"/>
      <c r="UAI140" s="202"/>
      <c r="UAJ140" s="202"/>
      <c r="UAK140" s="202"/>
      <c r="UAL140" s="203"/>
      <c r="UAM140" s="204"/>
      <c r="UAN140" s="204"/>
      <c r="UAO140" s="204"/>
      <c r="UAP140" s="205"/>
      <c r="UAQ140" s="206"/>
      <c r="UAR140" s="207"/>
      <c r="UAS140" s="207"/>
      <c r="UAT140" s="208"/>
      <c r="UAU140" s="209"/>
      <c r="UAV140" s="207"/>
      <c r="UAW140" s="210"/>
      <c r="UAX140" s="209"/>
      <c r="UAY140" s="204"/>
      <c r="UAZ140" s="204"/>
      <c r="UBA140" s="204"/>
      <c r="UBB140" s="199"/>
      <c r="UBC140" s="167"/>
      <c r="UBD140" s="199"/>
      <c r="UBE140" s="200"/>
      <c r="UBF140" s="201"/>
      <c r="UBG140" s="202"/>
      <c r="UBH140" s="202"/>
      <c r="UBI140" s="202"/>
      <c r="UBJ140" s="202"/>
      <c r="UBK140" s="203"/>
      <c r="UBL140" s="204"/>
      <c r="UBM140" s="204"/>
      <c r="UBN140" s="204"/>
      <c r="UBO140" s="205"/>
      <c r="UBP140" s="206"/>
      <c r="UBQ140" s="207"/>
      <c r="UBR140" s="207"/>
      <c r="UBS140" s="208"/>
      <c r="UBT140" s="209"/>
      <c r="UBU140" s="207"/>
      <c r="UBV140" s="210"/>
      <c r="UBW140" s="209"/>
      <c r="UBX140" s="204"/>
      <c r="UBY140" s="204"/>
      <c r="UBZ140" s="204"/>
      <c r="UCA140" s="199"/>
      <c r="UCB140" s="167"/>
      <c r="UCC140" s="199"/>
      <c r="UCD140" s="200"/>
      <c r="UCE140" s="201"/>
      <c r="UCF140" s="202"/>
      <c r="UCG140" s="202"/>
      <c r="UCH140" s="202"/>
      <c r="UCI140" s="202"/>
      <c r="UCJ140" s="203"/>
      <c r="UCK140" s="204"/>
      <c r="UCL140" s="204"/>
      <c r="UCM140" s="204"/>
      <c r="UCN140" s="205"/>
      <c r="UCO140" s="206"/>
      <c r="UCP140" s="207"/>
      <c r="UCQ140" s="207"/>
      <c r="UCR140" s="208"/>
      <c r="UCS140" s="209"/>
      <c r="UCT140" s="207"/>
      <c r="UCU140" s="210"/>
      <c r="UCV140" s="209"/>
      <c r="UCW140" s="204"/>
      <c r="UCX140" s="204"/>
      <c r="UCY140" s="204"/>
      <c r="UCZ140" s="199"/>
      <c r="UDA140" s="167"/>
      <c r="UDB140" s="199"/>
      <c r="UDC140" s="200"/>
      <c r="UDD140" s="201"/>
      <c r="UDE140" s="202"/>
      <c r="UDF140" s="202"/>
      <c r="UDG140" s="202"/>
      <c r="UDH140" s="202"/>
      <c r="UDI140" s="203"/>
      <c r="UDJ140" s="204"/>
      <c r="UDK140" s="204"/>
      <c r="UDL140" s="204"/>
      <c r="UDM140" s="205"/>
      <c r="UDN140" s="206"/>
      <c r="UDO140" s="207"/>
      <c r="UDP140" s="207"/>
      <c r="UDQ140" s="208"/>
      <c r="UDR140" s="209"/>
      <c r="UDS140" s="207"/>
      <c r="UDT140" s="210"/>
      <c r="UDU140" s="209"/>
      <c r="UDV140" s="204"/>
      <c r="UDW140" s="204"/>
      <c r="UDX140" s="204"/>
      <c r="UDY140" s="199"/>
      <c r="UDZ140" s="167"/>
      <c r="UEA140" s="199"/>
      <c r="UEB140" s="200"/>
      <c r="UEC140" s="201"/>
      <c r="UED140" s="202"/>
      <c r="UEE140" s="202"/>
      <c r="UEF140" s="202"/>
      <c r="UEG140" s="202"/>
      <c r="UEH140" s="203"/>
      <c r="UEI140" s="204"/>
      <c r="UEJ140" s="204"/>
      <c r="UEK140" s="204"/>
      <c r="UEL140" s="205"/>
      <c r="UEM140" s="206"/>
      <c r="UEN140" s="207"/>
      <c r="UEO140" s="207"/>
      <c r="UEP140" s="208"/>
      <c r="UEQ140" s="209"/>
      <c r="UER140" s="207"/>
      <c r="UES140" s="210"/>
      <c r="UET140" s="209"/>
      <c r="UEU140" s="204"/>
      <c r="UEV140" s="204"/>
      <c r="UEW140" s="204"/>
      <c r="UEX140" s="199"/>
      <c r="UEY140" s="167"/>
      <c r="UEZ140" s="199"/>
      <c r="UFA140" s="200"/>
      <c r="UFB140" s="201"/>
      <c r="UFC140" s="202"/>
      <c r="UFD140" s="202"/>
      <c r="UFE140" s="202"/>
      <c r="UFF140" s="202"/>
      <c r="UFG140" s="203"/>
      <c r="UFH140" s="204"/>
      <c r="UFI140" s="204"/>
      <c r="UFJ140" s="204"/>
      <c r="UFK140" s="205"/>
      <c r="UFL140" s="206"/>
      <c r="UFM140" s="207"/>
      <c r="UFN140" s="207"/>
      <c r="UFO140" s="208"/>
      <c r="UFP140" s="209"/>
      <c r="UFQ140" s="207"/>
      <c r="UFR140" s="210"/>
      <c r="UFS140" s="209"/>
      <c r="UFT140" s="204"/>
      <c r="UFU140" s="204"/>
      <c r="UFV140" s="204"/>
      <c r="UFW140" s="199"/>
      <c r="UFX140" s="167"/>
      <c r="UFY140" s="199"/>
      <c r="UFZ140" s="200"/>
      <c r="UGA140" s="201"/>
      <c r="UGB140" s="202"/>
      <c r="UGC140" s="202"/>
      <c r="UGD140" s="202"/>
      <c r="UGE140" s="202"/>
      <c r="UGF140" s="203"/>
      <c r="UGG140" s="204"/>
      <c r="UGH140" s="204"/>
      <c r="UGI140" s="204"/>
      <c r="UGJ140" s="205"/>
      <c r="UGK140" s="206"/>
      <c r="UGL140" s="207"/>
      <c r="UGM140" s="207"/>
      <c r="UGN140" s="208"/>
      <c r="UGO140" s="209"/>
      <c r="UGP140" s="207"/>
      <c r="UGQ140" s="210"/>
      <c r="UGR140" s="209"/>
      <c r="UGS140" s="204"/>
      <c r="UGT140" s="204"/>
      <c r="UGU140" s="204"/>
      <c r="UGV140" s="199"/>
      <c r="UGW140" s="167"/>
      <c r="UGX140" s="199"/>
      <c r="UGY140" s="200"/>
      <c r="UGZ140" s="201"/>
      <c r="UHA140" s="202"/>
      <c r="UHB140" s="202"/>
      <c r="UHC140" s="202"/>
      <c r="UHD140" s="202"/>
      <c r="UHE140" s="203"/>
      <c r="UHF140" s="204"/>
      <c r="UHG140" s="204"/>
      <c r="UHH140" s="204"/>
      <c r="UHI140" s="205"/>
      <c r="UHJ140" s="206"/>
      <c r="UHK140" s="207"/>
      <c r="UHL140" s="207"/>
      <c r="UHM140" s="208"/>
      <c r="UHN140" s="209"/>
      <c r="UHO140" s="207"/>
      <c r="UHP140" s="210"/>
      <c r="UHQ140" s="209"/>
      <c r="UHR140" s="204"/>
      <c r="UHS140" s="204"/>
      <c r="UHT140" s="204"/>
      <c r="UHU140" s="199"/>
      <c r="UHV140" s="167"/>
      <c r="UHW140" s="199"/>
      <c r="UHX140" s="200"/>
      <c r="UHY140" s="201"/>
      <c r="UHZ140" s="202"/>
      <c r="UIA140" s="202"/>
      <c r="UIB140" s="202"/>
      <c r="UIC140" s="202"/>
      <c r="UID140" s="203"/>
      <c r="UIE140" s="204"/>
      <c r="UIF140" s="204"/>
      <c r="UIG140" s="204"/>
      <c r="UIH140" s="205"/>
      <c r="UII140" s="206"/>
      <c r="UIJ140" s="207"/>
      <c r="UIK140" s="207"/>
      <c r="UIL140" s="208"/>
      <c r="UIM140" s="209"/>
      <c r="UIN140" s="207"/>
      <c r="UIO140" s="210"/>
      <c r="UIP140" s="209"/>
      <c r="UIQ140" s="204"/>
      <c r="UIR140" s="204"/>
      <c r="UIS140" s="204"/>
      <c r="UIT140" s="199"/>
      <c r="UIU140" s="167"/>
      <c r="UIV140" s="199"/>
      <c r="UIW140" s="200"/>
      <c r="UIX140" s="201"/>
      <c r="UIY140" s="202"/>
      <c r="UIZ140" s="202"/>
      <c r="UJA140" s="202"/>
      <c r="UJB140" s="202"/>
      <c r="UJC140" s="203"/>
      <c r="UJD140" s="204"/>
      <c r="UJE140" s="204"/>
      <c r="UJF140" s="204"/>
      <c r="UJG140" s="205"/>
      <c r="UJH140" s="206"/>
      <c r="UJI140" s="207"/>
      <c r="UJJ140" s="207"/>
      <c r="UJK140" s="208"/>
      <c r="UJL140" s="209"/>
      <c r="UJM140" s="207"/>
      <c r="UJN140" s="210"/>
      <c r="UJO140" s="209"/>
      <c r="UJP140" s="204"/>
      <c r="UJQ140" s="204"/>
      <c r="UJR140" s="204"/>
      <c r="UJS140" s="199"/>
      <c r="UJT140" s="167"/>
      <c r="UJU140" s="199"/>
      <c r="UJV140" s="200"/>
      <c r="UJW140" s="201"/>
      <c r="UJX140" s="202"/>
      <c r="UJY140" s="202"/>
      <c r="UJZ140" s="202"/>
      <c r="UKA140" s="202"/>
      <c r="UKB140" s="203"/>
      <c r="UKC140" s="204"/>
      <c r="UKD140" s="204"/>
      <c r="UKE140" s="204"/>
      <c r="UKF140" s="205"/>
      <c r="UKG140" s="206"/>
      <c r="UKH140" s="207"/>
      <c r="UKI140" s="207"/>
      <c r="UKJ140" s="208"/>
      <c r="UKK140" s="209"/>
      <c r="UKL140" s="207"/>
      <c r="UKM140" s="210"/>
      <c r="UKN140" s="209"/>
      <c r="UKO140" s="204"/>
      <c r="UKP140" s="204"/>
      <c r="UKQ140" s="204"/>
      <c r="UKR140" s="199"/>
      <c r="UKS140" s="167"/>
      <c r="UKT140" s="199"/>
      <c r="UKU140" s="200"/>
      <c r="UKV140" s="201"/>
      <c r="UKW140" s="202"/>
      <c r="UKX140" s="202"/>
      <c r="UKY140" s="202"/>
      <c r="UKZ140" s="202"/>
      <c r="ULA140" s="203"/>
      <c r="ULB140" s="204"/>
      <c r="ULC140" s="204"/>
      <c r="ULD140" s="204"/>
      <c r="ULE140" s="205"/>
      <c r="ULF140" s="206"/>
      <c r="ULG140" s="207"/>
      <c r="ULH140" s="207"/>
      <c r="ULI140" s="208"/>
      <c r="ULJ140" s="209"/>
      <c r="ULK140" s="207"/>
      <c r="ULL140" s="210"/>
      <c r="ULM140" s="209"/>
      <c r="ULN140" s="204"/>
      <c r="ULO140" s="204"/>
      <c r="ULP140" s="204"/>
      <c r="ULQ140" s="199"/>
      <c r="ULR140" s="167"/>
      <c r="ULS140" s="199"/>
      <c r="ULT140" s="200"/>
      <c r="ULU140" s="201"/>
      <c r="ULV140" s="202"/>
      <c r="ULW140" s="202"/>
      <c r="ULX140" s="202"/>
      <c r="ULY140" s="202"/>
      <c r="ULZ140" s="203"/>
      <c r="UMA140" s="204"/>
      <c r="UMB140" s="204"/>
      <c r="UMC140" s="204"/>
      <c r="UMD140" s="205"/>
      <c r="UME140" s="206"/>
      <c r="UMF140" s="207"/>
      <c r="UMG140" s="207"/>
      <c r="UMH140" s="208"/>
      <c r="UMI140" s="209"/>
      <c r="UMJ140" s="207"/>
      <c r="UMK140" s="210"/>
      <c r="UML140" s="209"/>
      <c r="UMM140" s="204"/>
      <c r="UMN140" s="204"/>
      <c r="UMO140" s="204"/>
      <c r="UMP140" s="199"/>
      <c r="UMQ140" s="167"/>
      <c r="UMR140" s="199"/>
      <c r="UMS140" s="200"/>
      <c r="UMT140" s="201"/>
      <c r="UMU140" s="202"/>
      <c r="UMV140" s="202"/>
      <c r="UMW140" s="202"/>
      <c r="UMX140" s="202"/>
      <c r="UMY140" s="203"/>
      <c r="UMZ140" s="204"/>
      <c r="UNA140" s="204"/>
      <c r="UNB140" s="204"/>
      <c r="UNC140" s="205"/>
      <c r="UND140" s="206"/>
      <c r="UNE140" s="207"/>
      <c r="UNF140" s="207"/>
      <c r="UNG140" s="208"/>
      <c r="UNH140" s="209"/>
      <c r="UNI140" s="207"/>
      <c r="UNJ140" s="210"/>
      <c r="UNK140" s="209"/>
      <c r="UNL140" s="204"/>
      <c r="UNM140" s="204"/>
      <c r="UNN140" s="204"/>
      <c r="UNO140" s="199"/>
      <c r="UNP140" s="167"/>
      <c r="UNQ140" s="199"/>
      <c r="UNR140" s="200"/>
      <c r="UNS140" s="201"/>
      <c r="UNT140" s="202"/>
      <c r="UNU140" s="202"/>
      <c r="UNV140" s="202"/>
      <c r="UNW140" s="202"/>
      <c r="UNX140" s="203"/>
      <c r="UNY140" s="204"/>
      <c r="UNZ140" s="204"/>
      <c r="UOA140" s="204"/>
      <c r="UOB140" s="205"/>
      <c r="UOC140" s="206"/>
      <c r="UOD140" s="207"/>
      <c r="UOE140" s="207"/>
      <c r="UOF140" s="208"/>
      <c r="UOG140" s="209"/>
      <c r="UOH140" s="207"/>
      <c r="UOI140" s="210"/>
      <c r="UOJ140" s="209"/>
      <c r="UOK140" s="204"/>
      <c r="UOL140" s="204"/>
      <c r="UOM140" s="204"/>
      <c r="UON140" s="199"/>
      <c r="UOO140" s="167"/>
      <c r="UOP140" s="199"/>
      <c r="UOQ140" s="200"/>
      <c r="UOR140" s="201"/>
      <c r="UOS140" s="202"/>
      <c r="UOT140" s="202"/>
      <c r="UOU140" s="202"/>
      <c r="UOV140" s="202"/>
      <c r="UOW140" s="203"/>
      <c r="UOX140" s="204"/>
      <c r="UOY140" s="204"/>
      <c r="UOZ140" s="204"/>
      <c r="UPA140" s="205"/>
      <c r="UPB140" s="206"/>
      <c r="UPC140" s="207"/>
      <c r="UPD140" s="207"/>
      <c r="UPE140" s="208"/>
      <c r="UPF140" s="209"/>
      <c r="UPG140" s="207"/>
      <c r="UPH140" s="210"/>
      <c r="UPI140" s="209"/>
      <c r="UPJ140" s="204"/>
      <c r="UPK140" s="204"/>
      <c r="UPL140" s="204"/>
      <c r="UPM140" s="199"/>
      <c r="UPN140" s="167"/>
      <c r="UPO140" s="199"/>
      <c r="UPP140" s="200"/>
      <c r="UPQ140" s="201"/>
      <c r="UPR140" s="202"/>
      <c r="UPS140" s="202"/>
      <c r="UPT140" s="202"/>
      <c r="UPU140" s="202"/>
      <c r="UPV140" s="203"/>
      <c r="UPW140" s="204"/>
      <c r="UPX140" s="204"/>
      <c r="UPY140" s="204"/>
      <c r="UPZ140" s="205"/>
      <c r="UQA140" s="206"/>
      <c r="UQB140" s="207"/>
      <c r="UQC140" s="207"/>
      <c r="UQD140" s="208"/>
      <c r="UQE140" s="209"/>
      <c r="UQF140" s="207"/>
      <c r="UQG140" s="210"/>
      <c r="UQH140" s="209"/>
      <c r="UQI140" s="204"/>
      <c r="UQJ140" s="204"/>
      <c r="UQK140" s="204"/>
      <c r="UQL140" s="199"/>
      <c r="UQM140" s="167"/>
      <c r="UQN140" s="199"/>
      <c r="UQO140" s="200"/>
      <c r="UQP140" s="201"/>
      <c r="UQQ140" s="202"/>
      <c r="UQR140" s="202"/>
      <c r="UQS140" s="202"/>
      <c r="UQT140" s="202"/>
      <c r="UQU140" s="203"/>
      <c r="UQV140" s="204"/>
      <c r="UQW140" s="204"/>
      <c r="UQX140" s="204"/>
      <c r="UQY140" s="205"/>
      <c r="UQZ140" s="206"/>
      <c r="URA140" s="207"/>
      <c r="URB140" s="207"/>
      <c r="URC140" s="208"/>
      <c r="URD140" s="209"/>
      <c r="URE140" s="207"/>
      <c r="URF140" s="210"/>
      <c r="URG140" s="209"/>
      <c r="URH140" s="204"/>
      <c r="URI140" s="204"/>
      <c r="URJ140" s="204"/>
      <c r="URK140" s="199"/>
      <c r="URL140" s="167"/>
      <c r="URM140" s="199"/>
      <c r="URN140" s="200"/>
      <c r="URO140" s="201"/>
      <c r="URP140" s="202"/>
      <c r="URQ140" s="202"/>
      <c r="URR140" s="202"/>
      <c r="URS140" s="202"/>
      <c r="URT140" s="203"/>
      <c r="URU140" s="204"/>
      <c r="URV140" s="204"/>
      <c r="URW140" s="204"/>
      <c r="URX140" s="205"/>
      <c r="URY140" s="206"/>
      <c r="URZ140" s="207"/>
      <c r="USA140" s="207"/>
      <c r="USB140" s="208"/>
      <c r="USC140" s="209"/>
      <c r="USD140" s="207"/>
      <c r="USE140" s="210"/>
      <c r="USF140" s="209"/>
      <c r="USG140" s="204"/>
      <c r="USH140" s="204"/>
      <c r="USI140" s="204"/>
      <c r="USJ140" s="199"/>
      <c r="USK140" s="167"/>
      <c r="USL140" s="199"/>
      <c r="USM140" s="200"/>
      <c r="USN140" s="201"/>
      <c r="USO140" s="202"/>
      <c r="USP140" s="202"/>
      <c r="USQ140" s="202"/>
      <c r="USR140" s="202"/>
      <c r="USS140" s="203"/>
      <c r="UST140" s="204"/>
      <c r="USU140" s="204"/>
      <c r="USV140" s="204"/>
      <c r="USW140" s="205"/>
      <c r="USX140" s="206"/>
      <c r="USY140" s="207"/>
      <c r="USZ140" s="207"/>
      <c r="UTA140" s="208"/>
      <c r="UTB140" s="209"/>
      <c r="UTC140" s="207"/>
      <c r="UTD140" s="210"/>
      <c r="UTE140" s="209"/>
      <c r="UTF140" s="204"/>
      <c r="UTG140" s="204"/>
      <c r="UTH140" s="204"/>
      <c r="UTI140" s="199"/>
      <c r="UTJ140" s="167"/>
      <c r="UTK140" s="199"/>
      <c r="UTL140" s="200"/>
      <c r="UTM140" s="201"/>
      <c r="UTN140" s="202"/>
      <c r="UTO140" s="202"/>
      <c r="UTP140" s="202"/>
      <c r="UTQ140" s="202"/>
      <c r="UTR140" s="203"/>
      <c r="UTS140" s="204"/>
      <c r="UTT140" s="204"/>
      <c r="UTU140" s="204"/>
      <c r="UTV140" s="205"/>
      <c r="UTW140" s="206"/>
      <c r="UTX140" s="207"/>
      <c r="UTY140" s="207"/>
      <c r="UTZ140" s="208"/>
      <c r="UUA140" s="209"/>
      <c r="UUB140" s="207"/>
      <c r="UUC140" s="210"/>
      <c r="UUD140" s="209"/>
      <c r="UUE140" s="204"/>
      <c r="UUF140" s="204"/>
      <c r="UUG140" s="204"/>
      <c r="UUH140" s="199"/>
      <c r="UUI140" s="167"/>
      <c r="UUJ140" s="199"/>
      <c r="UUK140" s="200"/>
      <c r="UUL140" s="201"/>
      <c r="UUM140" s="202"/>
      <c r="UUN140" s="202"/>
      <c r="UUO140" s="202"/>
      <c r="UUP140" s="202"/>
      <c r="UUQ140" s="203"/>
      <c r="UUR140" s="204"/>
      <c r="UUS140" s="204"/>
      <c r="UUT140" s="204"/>
      <c r="UUU140" s="205"/>
      <c r="UUV140" s="206"/>
      <c r="UUW140" s="207"/>
      <c r="UUX140" s="207"/>
      <c r="UUY140" s="208"/>
      <c r="UUZ140" s="209"/>
      <c r="UVA140" s="207"/>
      <c r="UVB140" s="210"/>
      <c r="UVC140" s="209"/>
      <c r="UVD140" s="204"/>
      <c r="UVE140" s="204"/>
      <c r="UVF140" s="204"/>
      <c r="UVG140" s="199"/>
      <c r="UVH140" s="167"/>
      <c r="UVI140" s="199"/>
      <c r="UVJ140" s="200"/>
      <c r="UVK140" s="201"/>
      <c r="UVL140" s="202"/>
      <c r="UVM140" s="202"/>
      <c r="UVN140" s="202"/>
      <c r="UVO140" s="202"/>
      <c r="UVP140" s="203"/>
      <c r="UVQ140" s="204"/>
      <c r="UVR140" s="204"/>
      <c r="UVS140" s="204"/>
      <c r="UVT140" s="205"/>
      <c r="UVU140" s="206"/>
      <c r="UVV140" s="207"/>
      <c r="UVW140" s="207"/>
      <c r="UVX140" s="208"/>
      <c r="UVY140" s="209"/>
      <c r="UVZ140" s="207"/>
      <c r="UWA140" s="210"/>
      <c r="UWB140" s="209"/>
      <c r="UWC140" s="204"/>
      <c r="UWD140" s="204"/>
      <c r="UWE140" s="204"/>
      <c r="UWF140" s="199"/>
      <c r="UWG140" s="167"/>
      <c r="UWH140" s="199"/>
      <c r="UWI140" s="200"/>
      <c r="UWJ140" s="201"/>
      <c r="UWK140" s="202"/>
      <c r="UWL140" s="202"/>
      <c r="UWM140" s="202"/>
      <c r="UWN140" s="202"/>
      <c r="UWO140" s="203"/>
      <c r="UWP140" s="204"/>
      <c r="UWQ140" s="204"/>
      <c r="UWR140" s="204"/>
      <c r="UWS140" s="205"/>
      <c r="UWT140" s="206"/>
      <c r="UWU140" s="207"/>
      <c r="UWV140" s="207"/>
      <c r="UWW140" s="208"/>
      <c r="UWX140" s="209"/>
      <c r="UWY140" s="207"/>
      <c r="UWZ140" s="210"/>
      <c r="UXA140" s="209"/>
      <c r="UXB140" s="204"/>
      <c r="UXC140" s="204"/>
      <c r="UXD140" s="204"/>
      <c r="UXE140" s="199"/>
      <c r="UXF140" s="167"/>
      <c r="UXG140" s="199"/>
      <c r="UXH140" s="200"/>
      <c r="UXI140" s="201"/>
      <c r="UXJ140" s="202"/>
      <c r="UXK140" s="202"/>
      <c r="UXL140" s="202"/>
      <c r="UXM140" s="202"/>
      <c r="UXN140" s="203"/>
      <c r="UXO140" s="204"/>
      <c r="UXP140" s="204"/>
      <c r="UXQ140" s="204"/>
      <c r="UXR140" s="205"/>
      <c r="UXS140" s="206"/>
      <c r="UXT140" s="207"/>
      <c r="UXU140" s="207"/>
      <c r="UXV140" s="208"/>
      <c r="UXW140" s="209"/>
      <c r="UXX140" s="207"/>
      <c r="UXY140" s="210"/>
      <c r="UXZ140" s="209"/>
      <c r="UYA140" s="204"/>
      <c r="UYB140" s="204"/>
      <c r="UYC140" s="204"/>
      <c r="UYD140" s="199"/>
      <c r="UYE140" s="167"/>
      <c r="UYF140" s="199"/>
      <c r="UYG140" s="200"/>
      <c r="UYH140" s="201"/>
      <c r="UYI140" s="202"/>
      <c r="UYJ140" s="202"/>
      <c r="UYK140" s="202"/>
      <c r="UYL140" s="202"/>
      <c r="UYM140" s="203"/>
      <c r="UYN140" s="204"/>
      <c r="UYO140" s="204"/>
      <c r="UYP140" s="204"/>
      <c r="UYQ140" s="205"/>
      <c r="UYR140" s="206"/>
      <c r="UYS140" s="207"/>
      <c r="UYT140" s="207"/>
      <c r="UYU140" s="208"/>
      <c r="UYV140" s="209"/>
      <c r="UYW140" s="207"/>
      <c r="UYX140" s="210"/>
      <c r="UYY140" s="209"/>
      <c r="UYZ140" s="204"/>
      <c r="UZA140" s="204"/>
      <c r="UZB140" s="204"/>
      <c r="UZC140" s="199"/>
      <c r="UZD140" s="167"/>
      <c r="UZE140" s="199"/>
      <c r="UZF140" s="200"/>
      <c r="UZG140" s="201"/>
      <c r="UZH140" s="202"/>
      <c r="UZI140" s="202"/>
      <c r="UZJ140" s="202"/>
      <c r="UZK140" s="202"/>
      <c r="UZL140" s="203"/>
      <c r="UZM140" s="204"/>
      <c r="UZN140" s="204"/>
      <c r="UZO140" s="204"/>
      <c r="UZP140" s="205"/>
      <c r="UZQ140" s="206"/>
      <c r="UZR140" s="207"/>
      <c r="UZS140" s="207"/>
      <c r="UZT140" s="208"/>
      <c r="UZU140" s="209"/>
      <c r="UZV140" s="207"/>
      <c r="UZW140" s="210"/>
      <c r="UZX140" s="209"/>
      <c r="UZY140" s="204"/>
      <c r="UZZ140" s="204"/>
      <c r="VAA140" s="204"/>
      <c r="VAB140" s="199"/>
      <c r="VAC140" s="167"/>
      <c r="VAD140" s="199"/>
      <c r="VAE140" s="200"/>
      <c r="VAF140" s="201"/>
      <c r="VAG140" s="202"/>
      <c r="VAH140" s="202"/>
      <c r="VAI140" s="202"/>
      <c r="VAJ140" s="202"/>
      <c r="VAK140" s="203"/>
      <c r="VAL140" s="204"/>
      <c r="VAM140" s="204"/>
      <c r="VAN140" s="204"/>
      <c r="VAO140" s="205"/>
      <c r="VAP140" s="206"/>
      <c r="VAQ140" s="207"/>
      <c r="VAR140" s="207"/>
      <c r="VAS140" s="208"/>
      <c r="VAT140" s="209"/>
      <c r="VAU140" s="207"/>
      <c r="VAV140" s="210"/>
      <c r="VAW140" s="209"/>
      <c r="VAX140" s="204"/>
      <c r="VAY140" s="204"/>
      <c r="VAZ140" s="204"/>
      <c r="VBA140" s="199"/>
      <c r="VBB140" s="167"/>
      <c r="VBC140" s="199"/>
      <c r="VBD140" s="200"/>
      <c r="VBE140" s="201"/>
      <c r="VBF140" s="202"/>
      <c r="VBG140" s="202"/>
      <c r="VBH140" s="202"/>
      <c r="VBI140" s="202"/>
      <c r="VBJ140" s="203"/>
      <c r="VBK140" s="204"/>
      <c r="VBL140" s="204"/>
      <c r="VBM140" s="204"/>
      <c r="VBN140" s="205"/>
      <c r="VBO140" s="206"/>
      <c r="VBP140" s="207"/>
      <c r="VBQ140" s="207"/>
      <c r="VBR140" s="208"/>
      <c r="VBS140" s="209"/>
      <c r="VBT140" s="207"/>
      <c r="VBU140" s="210"/>
      <c r="VBV140" s="209"/>
      <c r="VBW140" s="204"/>
      <c r="VBX140" s="204"/>
      <c r="VBY140" s="204"/>
      <c r="VBZ140" s="199"/>
      <c r="VCA140" s="167"/>
      <c r="VCB140" s="199"/>
      <c r="VCC140" s="200"/>
      <c r="VCD140" s="201"/>
      <c r="VCE140" s="202"/>
      <c r="VCF140" s="202"/>
      <c r="VCG140" s="202"/>
      <c r="VCH140" s="202"/>
      <c r="VCI140" s="203"/>
      <c r="VCJ140" s="204"/>
      <c r="VCK140" s="204"/>
      <c r="VCL140" s="204"/>
      <c r="VCM140" s="205"/>
      <c r="VCN140" s="206"/>
      <c r="VCO140" s="207"/>
      <c r="VCP140" s="207"/>
      <c r="VCQ140" s="208"/>
      <c r="VCR140" s="209"/>
      <c r="VCS140" s="207"/>
      <c r="VCT140" s="210"/>
      <c r="VCU140" s="209"/>
      <c r="VCV140" s="204"/>
      <c r="VCW140" s="204"/>
      <c r="VCX140" s="204"/>
      <c r="VCY140" s="199"/>
      <c r="VCZ140" s="167"/>
      <c r="VDA140" s="199"/>
      <c r="VDB140" s="200"/>
      <c r="VDC140" s="201"/>
      <c r="VDD140" s="202"/>
      <c r="VDE140" s="202"/>
      <c r="VDF140" s="202"/>
      <c r="VDG140" s="202"/>
      <c r="VDH140" s="203"/>
      <c r="VDI140" s="204"/>
      <c r="VDJ140" s="204"/>
      <c r="VDK140" s="204"/>
      <c r="VDL140" s="205"/>
      <c r="VDM140" s="206"/>
      <c r="VDN140" s="207"/>
      <c r="VDO140" s="207"/>
      <c r="VDP140" s="208"/>
      <c r="VDQ140" s="209"/>
      <c r="VDR140" s="207"/>
      <c r="VDS140" s="210"/>
      <c r="VDT140" s="209"/>
      <c r="VDU140" s="204"/>
      <c r="VDV140" s="204"/>
      <c r="VDW140" s="204"/>
      <c r="VDX140" s="199"/>
      <c r="VDY140" s="167"/>
      <c r="VDZ140" s="199"/>
      <c r="VEA140" s="200"/>
      <c r="VEB140" s="201"/>
      <c r="VEC140" s="202"/>
      <c r="VED140" s="202"/>
      <c r="VEE140" s="202"/>
      <c r="VEF140" s="202"/>
      <c r="VEG140" s="203"/>
      <c r="VEH140" s="204"/>
      <c r="VEI140" s="204"/>
      <c r="VEJ140" s="204"/>
      <c r="VEK140" s="205"/>
      <c r="VEL140" s="206"/>
      <c r="VEM140" s="207"/>
      <c r="VEN140" s="207"/>
      <c r="VEO140" s="208"/>
      <c r="VEP140" s="209"/>
      <c r="VEQ140" s="207"/>
      <c r="VER140" s="210"/>
      <c r="VES140" s="209"/>
      <c r="VET140" s="204"/>
      <c r="VEU140" s="204"/>
      <c r="VEV140" s="204"/>
      <c r="VEW140" s="199"/>
      <c r="VEX140" s="167"/>
      <c r="VEY140" s="199"/>
      <c r="VEZ140" s="200"/>
      <c r="VFA140" s="201"/>
      <c r="VFB140" s="202"/>
      <c r="VFC140" s="202"/>
      <c r="VFD140" s="202"/>
      <c r="VFE140" s="202"/>
      <c r="VFF140" s="203"/>
      <c r="VFG140" s="204"/>
      <c r="VFH140" s="204"/>
      <c r="VFI140" s="204"/>
      <c r="VFJ140" s="205"/>
      <c r="VFK140" s="206"/>
      <c r="VFL140" s="207"/>
      <c r="VFM140" s="207"/>
      <c r="VFN140" s="208"/>
      <c r="VFO140" s="209"/>
      <c r="VFP140" s="207"/>
      <c r="VFQ140" s="210"/>
      <c r="VFR140" s="209"/>
      <c r="VFS140" s="204"/>
      <c r="VFT140" s="204"/>
      <c r="VFU140" s="204"/>
      <c r="VFV140" s="199"/>
      <c r="VFW140" s="167"/>
      <c r="VFX140" s="199"/>
      <c r="VFY140" s="200"/>
      <c r="VFZ140" s="201"/>
      <c r="VGA140" s="202"/>
      <c r="VGB140" s="202"/>
      <c r="VGC140" s="202"/>
      <c r="VGD140" s="202"/>
      <c r="VGE140" s="203"/>
      <c r="VGF140" s="204"/>
      <c r="VGG140" s="204"/>
      <c r="VGH140" s="204"/>
      <c r="VGI140" s="205"/>
      <c r="VGJ140" s="206"/>
      <c r="VGK140" s="207"/>
      <c r="VGL140" s="207"/>
      <c r="VGM140" s="208"/>
      <c r="VGN140" s="209"/>
      <c r="VGO140" s="207"/>
      <c r="VGP140" s="210"/>
      <c r="VGQ140" s="209"/>
      <c r="VGR140" s="204"/>
      <c r="VGS140" s="204"/>
      <c r="VGT140" s="204"/>
      <c r="VGU140" s="199"/>
      <c r="VGV140" s="167"/>
      <c r="VGW140" s="199"/>
      <c r="VGX140" s="200"/>
      <c r="VGY140" s="201"/>
      <c r="VGZ140" s="202"/>
      <c r="VHA140" s="202"/>
      <c r="VHB140" s="202"/>
      <c r="VHC140" s="202"/>
      <c r="VHD140" s="203"/>
      <c r="VHE140" s="204"/>
      <c r="VHF140" s="204"/>
      <c r="VHG140" s="204"/>
      <c r="VHH140" s="205"/>
      <c r="VHI140" s="206"/>
      <c r="VHJ140" s="207"/>
      <c r="VHK140" s="207"/>
      <c r="VHL140" s="208"/>
      <c r="VHM140" s="209"/>
      <c r="VHN140" s="207"/>
      <c r="VHO140" s="210"/>
      <c r="VHP140" s="209"/>
      <c r="VHQ140" s="204"/>
      <c r="VHR140" s="204"/>
      <c r="VHS140" s="204"/>
      <c r="VHT140" s="199"/>
      <c r="VHU140" s="167"/>
      <c r="VHV140" s="199"/>
      <c r="VHW140" s="200"/>
      <c r="VHX140" s="201"/>
      <c r="VHY140" s="202"/>
      <c r="VHZ140" s="202"/>
      <c r="VIA140" s="202"/>
      <c r="VIB140" s="202"/>
      <c r="VIC140" s="203"/>
      <c r="VID140" s="204"/>
      <c r="VIE140" s="204"/>
      <c r="VIF140" s="204"/>
      <c r="VIG140" s="205"/>
      <c r="VIH140" s="206"/>
      <c r="VII140" s="207"/>
      <c r="VIJ140" s="207"/>
      <c r="VIK140" s="208"/>
      <c r="VIL140" s="209"/>
      <c r="VIM140" s="207"/>
      <c r="VIN140" s="210"/>
      <c r="VIO140" s="209"/>
      <c r="VIP140" s="204"/>
      <c r="VIQ140" s="204"/>
      <c r="VIR140" s="204"/>
      <c r="VIS140" s="199"/>
      <c r="VIT140" s="167"/>
      <c r="VIU140" s="199"/>
      <c r="VIV140" s="200"/>
      <c r="VIW140" s="201"/>
      <c r="VIX140" s="202"/>
      <c r="VIY140" s="202"/>
      <c r="VIZ140" s="202"/>
      <c r="VJA140" s="202"/>
      <c r="VJB140" s="203"/>
      <c r="VJC140" s="204"/>
      <c r="VJD140" s="204"/>
      <c r="VJE140" s="204"/>
      <c r="VJF140" s="205"/>
      <c r="VJG140" s="206"/>
      <c r="VJH140" s="207"/>
      <c r="VJI140" s="207"/>
      <c r="VJJ140" s="208"/>
      <c r="VJK140" s="209"/>
      <c r="VJL140" s="207"/>
      <c r="VJM140" s="210"/>
      <c r="VJN140" s="209"/>
      <c r="VJO140" s="204"/>
      <c r="VJP140" s="204"/>
      <c r="VJQ140" s="204"/>
      <c r="VJR140" s="199"/>
      <c r="VJS140" s="167"/>
      <c r="VJT140" s="199"/>
      <c r="VJU140" s="200"/>
      <c r="VJV140" s="201"/>
      <c r="VJW140" s="202"/>
      <c r="VJX140" s="202"/>
      <c r="VJY140" s="202"/>
      <c r="VJZ140" s="202"/>
      <c r="VKA140" s="203"/>
      <c r="VKB140" s="204"/>
      <c r="VKC140" s="204"/>
      <c r="VKD140" s="204"/>
      <c r="VKE140" s="205"/>
      <c r="VKF140" s="206"/>
      <c r="VKG140" s="207"/>
      <c r="VKH140" s="207"/>
      <c r="VKI140" s="208"/>
      <c r="VKJ140" s="209"/>
      <c r="VKK140" s="207"/>
      <c r="VKL140" s="210"/>
      <c r="VKM140" s="209"/>
      <c r="VKN140" s="204"/>
      <c r="VKO140" s="204"/>
      <c r="VKP140" s="204"/>
      <c r="VKQ140" s="199"/>
      <c r="VKR140" s="167"/>
      <c r="VKS140" s="199"/>
      <c r="VKT140" s="200"/>
      <c r="VKU140" s="201"/>
      <c r="VKV140" s="202"/>
      <c r="VKW140" s="202"/>
      <c r="VKX140" s="202"/>
      <c r="VKY140" s="202"/>
      <c r="VKZ140" s="203"/>
      <c r="VLA140" s="204"/>
      <c r="VLB140" s="204"/>
      <c r="VLC140" s="204"/>
      <c r="VLD140" s="205"/>
      <c r="VLE140" s="206"/>
      <c r="VLF140" s="207"/>
      <c r="VLG140" s="207"/>
      <c r="VLH140" s="208"/>
      <c r="VLI140" s="209"/>
      <c r="VLJ140" s="207"/>
      <c r="VLK140" s="210"/>
      <c r="VLL140" s="209"/>
      <c r="VLM140" s="204"/>
      <c r="VLN140" s="204"/>
      <c r="VLO140" s="204"/>
      <c r="VLP140" s="199"/>
      <c r="VLQ140" s="167"/>
      <c r="VLR140" s="199"/>
      <c r="VLS140" s="200"/>
      <c r="VLT140" s="201"/>
      <c r="VLU140" s="202"/>
      <c r="VLV140" s="202"/>
      <c r="VLW140" s="202"/>
      <c r="VLX140" s="202"/>
      <c r="VLY140" s="203"/>
      <c r="VLZ140" s="204"/>
      <c r="VMA140" s="204"/>
      <c r="VMB140" s="204"/>
      <c r="VMC140" s="205"/>
      <c r="VMD140" s="206"/>
      <c r="VME140" s="207"/>
      <c r="VMF140" s="207"/>
      <c r="VMG140" s="208"/>
      <c r="VMH140" s="209"/>
      <c r="VMI140" s="207"/>
      <c r="VMJ140" s="210"/>
      <c r="VMK140" s="209"/>
      <c r="VML140" s="204"/>
      <c r="VMM140" s="204"/>
      <c r="VMN140" s="204"/>
      <c r="VMO140" s="199"/>
      <c r="VMP140" s="167"/>
      <c r="VMQ140" s="199"/>
      <c r="VMR140" s="200"/>
      <c r="VMS140" s="201"/>
      <c r="VMT140" s="202"/>
      <c r="VMU140" s="202"/>
      <c r="VMV140" s="202"/>
      <c r="VMW140" s="202"/>
      <c r="VMX140" s="203"/>
      <c r="VMY140" s="204"/>
      <c r="VMZ140" s="204"/>
      <c r="VNA140" s="204"/>
      <c r="VNB140" s="205"/>
      <c r="VNC140" s="206"/>
      <c r="VND140" s="207"/>
      <c r="VNE140" s="207"/>
      <c r="VNF140" s="208"/>
      <c r="VNG140" s="209"/>
      <c r="VNH140" s="207"/>
      <c r="VNI140" s="210"/>
      <c r="VNJ140" s="209"/>
      <c r="VNK140" s="204"/>
      <c r="VNL140" s="204"/>
      <c r="VNM140" s="204"/>
      <c r="VNN140" s="199"/>
      <c r="VNO140" s="167"/>
      <c r="VNP140" s="199"/>
      <c r="VNQ140" s="200"/>
      <c r="VNR140" s="201"/>
      <c r="VNS140" s="202"/>
      <c r="VNT140" s="202"/>
      <c r="VNU140" s="202"/>
      <c r="VNV140" s="202"/>
      <c r="VNW140" s="203"/>
      <c r="VNX140" s="204"/>
      <c r="VNY140" s="204"/>
      <c r="VNZ140" s="204"/>
      <c r="VOA140" s="205"/>
      <c r="VOB140" s="206"/>
      <c r="VOC140" s="207"/>
      <c r="VOD140" s="207"/>
      <c r="VOE140" s="208"/>
      <c r="VOF140" s="209"/>
      <c r="VOG140" s="207"/>
      <c r="VOH140" s="210"/>
      <c r="VOI140" s="209"/>
      <c r="VOJ140" s="204"/>
      <c r="VOK140" s="204"/>
      <c r="VOL140" s="204"/>
      <c r="VOM140" s="199"/>
      <c r="VON140" s="167"/>
      <c r="VOO140" s="199"/>
      <c r="VOP140" s="200"/>
      <c r="VOQ140" s="201"/>
      <c r="VOR140" s="202"/>
      <c r="VOS140" s="202"/>
      <c r="VOT140" s="202"/>
      <c r="VOU140" s="202"/>
      <c r="VOV140" s="203"/>
      <c r="VOW140" s="204"/>
      <c r="VOX140" s="204"/>
      <c r="VOY140" s="204"/>
      <c r="VOZ140" s="205"/>
      <c r="VPA140" s="206"/>
      <c r="VPB140" s="207"/>
      <c r="VPC140" s="207"/>
      <c r="VPD140" s="208"/>
      <c r="VPE140" s="209"/>
      <c r="VPF140" s="207"/>
      <c r="VPG140" s="210"/>
      <c r="VPH140" s="209"/>
      <c r="VPI140" s="204"/>
      <c r="VPJ140" s="204"/>
      <c r="VPK140" s="204"/>
      <c r="VPL140" s="199"/>
      <c r="VPM140" s="167"/>
      <c r="VPN140" s="199"/>
      <c r="VPO140" s="200"/>
      <c r="VPP140" s="201"/>
      <c r="VPQ140" s="202"/>
      <c r="VPR140" s="202"/>
      <c r="VPS140" s="202"/>
      <c r="VPT140" s="202"/>
      <c r="VPU140" s="203"/>
      <c r="VPV140" s="204"/>
      <c r="VPW140" s="204"/>
      <c r="VPX140" s="204"/>
      <c r="VPY140" s="205"/>
      <c r="VPZ140" s="206"/>
      <c r="VQA140" s="207"/>
      <c r="VQB140" s="207"/>
      <c r="VQC140" s="208"/>
      <c r="VQD140" s="209"/>
      <c r="VQE140" s="207"/>
      <c r="VQF140" s="210"/>
      <c r="VQG140" s="209"/>
      <c r="VQH140" s="204"/>
      <c r="VQI140" s="204"/>
      <c r="VQJ140" s="204"/>
      <c r="VQK140" s="199"/>
      <c r="VQL140" s="167"/>
      <c r="VQM140" s="199"/>
      <c r="VQN140" s="200"/>
      <c r="VQO140" s="201"/>
      <c r="VQP140" s="202"/>
      <c r="VQQ140" s="202"/>
      <c r="VQR140" s="202"/>
      <c r="VQS140" s="202"/>
      <c r="VQT140" s="203"/>
      <c r="VQU140" s="204"/>
      <c r="VQV140" s="204"/>
      <c r="VQW140" s="204"/>
      <c r="VQX140" s="205"/>
      <c r="VQY140" s="206"/>
      <c r="VQZ140" s="207"/>
      <c r="VRA140" s="207"/>
      <c r="VRB140" s="208"/>
      <c r="VRC140" s="209"/>
      <c r="VRD140" s="207"/>
      <c r="VRE140" s="210"/>
      <c r="VRF140" s="209"/>
      <c r="VRG140" s="204"/>
      <c r="VRH140" s="204"/>
      <c r="VRI140" s="204"/>
      <c r="VRJ140" s="199"/>
      <c r="VRK140" s="167"/>
      <c r="VRL140" s="199"/>
      <c r="VRM140" s="200"/>
      <c r="VRN140" s="201"/>
      <c r="VRO140" s="202"/>
      <c r="VRP140" s="202"/>
      <c r="VRQ140" s="202"/>
      <c r="VRR140" s="202"/>
      <c r="VRS140" s="203"/>
      <c r="VRT140" s="204"/>
      <c r="VRU140" s="204"/>
      <c r="VRV140" s="204"/>
      <c r="VRW140" s="205"/>
      <c r="VRX140" s="206"/>
      <c r="VRY140" s="207"/>
      <c r="VRZ140" s="207"/>
      <c r="VSA140" s="208"/>
      <c r="VSB140" s="209"/>
      <c r="VSC140" s="207"/>
      <c r="VSD140" s="210"/>
      <c r="VSE140" s="209"/>
      <c r="VSF140" s="204"/>
      <c r="VSG140" s="204"/>
      <c r="VSH140" s="204"/>
      <c r="VSI140" s="199"/>
      <c r="VSJ140" s="167"/>
      <c r="VSK140" s="199"/>
      <c r="VSL140" s="200"/>
      <c r="VSM140" s="201"/>
      <c r="VSN140" s="202"/>
      <c r="VSO140" s="202"/>
      <c r="VSP140" s="202"/>
      <c r="VSQ140" s="202"/>
      <c r="VSR140" s="203"/>
      <c r="VSS140" s="204"/>
      <c r="VST140" s="204"/>
      <c r="VSU140" s="204"/>
      <c r="VSV140" s="205"/>
      <c r="VSW140" s="206"/>
      <c r="VSX140" s="207"/>
      <c r="VSY140" s="207"/>
      <c r="VSZ140" s="208"/>
      <c r="VTA140" s="209"/>
      <c r="VTB140" s="207"/>
      <c r="VTC140" s="210"/>
      <c r="VTD140" s="209"/>
      <c r="VTE140" s="204"/>
      <c r="VTF140" s="204"/>
      <c r="VTG140" s="204"/>
      <c r="VTH140" s="199"/>
      <c r="VTI140" s="167"/>
      <c r="VTJ140" s="199"/>
      <c r="VTK140" s="200"/>
      <c r="VTL140" s="201"/>
      <c r="VTM140" s="202"/>
      <c r="VTN140" s="202"/>
      <c r="VTO140" s="202"/>
      <c r="VTP140" s="202"/>
      <c r="VTQ140" s="203"/>
      <c r="VTR140" s="204"/>
      <c r="VTS140" s="204"/>
      <c r="VTT140" s="204"/>
      <c r="VTU140" s="205"/>
      <c r="VTV140" s="206"/>
      <c r="VTW140" s="207"/>
      <c r="VTX140" s="207"/>
      <c r="VTY140" s="208"/>
      <c r="VTZ140" s="209"/>
      <c r="VUA140" s="207"/>
      <c r="VUB140" s="210"/>
      <c r="VUC140" s="209"/>
      <c r="VUD140" s="204"/>
      <c r="VUE140" s="204"/>
      <c r="VUF140" s="204"/>
      <c r="VUG140" s="199"/>
      <c r="VUH140" s="167"/>
      <c r="VUI140" s="199"/>
      <c r="VUJ140" s="200"/>
      <c r="VUK140" s="201"/>
      <c r="VUL140" s="202"/>
      <c r="VUM140" s="202"/>
      <c r="VUN140" s="202"/>
      <c r="VUO140" s="202"/>
      <c r="VUP140" s="203"/>
      <c r="VUQ140" s="204"/>
      <c r="VUR140" s="204"/>
      <c r="VUS140" s="204"/>
      <c r="VUT140" s="205"/>
      <c r="VUU140" s="206"/>
      <c r="VUV140" s="207"/>
      <c r="VUW140" s="207"/>
      <c r="VUX140" s="208"/>
      <c r="VUY140" s="209"/>
      <c r="VUZ140" s="207"/>
      <c r="VVA140" s="210"/>
      <c r="VVB140" s="209"/>
      <c r="VVC140" s="204"/>
      <c r="VVD140" s="204"/>
      <c r="VVE140" s="204"/>
      <c r="VVF140" s="199"/>
      <c r="VVG140" s="167"/>
      <c r="VVH140" s="199"/>
      <c r="VVI140" s="200"/>
      <c r="VVJ140" s="201"/>
      <c r="VVK140" s="202"/>
      <c r="VVL140" s="202"/>
      <c r="VVM140" s="202"/>
      <c r="VVN140" s="202"/>
      <c r="VVO140" s="203"/>
      <c r="VVP140" s="204"/>
      <c r="VVQ140" s="204"/>
      <c r="VVR140" s="204"/>
      <c r="VVS140" s="205"/>
      <c r="VVT140" s="206"/>
      <c r="VVU140" s="207"/>
      <c r="VVV140" s="207"/>
      <c r="VVW140" s="208"/>
      <c r="VVX140" s="209"/>
      <c r="VVY140" s="207"/>
      <c r="VVZ140" s="210"/>
      <c r="VWA140" s="209"/>
      <c r="VWB140" s="204"/>
      <c r="VWC140" s="204"/>
      <c r="VWD140" s="204"/>
      <c r="VWE140" s="199"/>
      <c r="VWF140" s="167"/>
      <c r="VWG140" s="199"/>
      <c r="VWH140" s="200"/>
      <c r="VWI140" s="201"/>
      <c r="VWJ140" s="202"/>
      <c r="VWK140" s="202"/>
      <c r="VWL140" s="202"/>
      <c r="VWM140" s="202"/>
      <c r="VWN140" s="203"/>
      <c r="VWO140" s="204"/>
      <c r="VWP140" s="204"/>
      <c r="VWQ140" s="204"/>
      <c r="VWR140" s="205"/>
      <c r="VWS140" s="206"/>
      <c r="VWT140" s="207"/>
      <c r="VWU140" s="207"/>
      <c r="VWV140" s="208"/>
      <c r="VWW140" s="209"/>
      <c r="VWX140" s="207"/>
      <c r="VWY140" s="210"/>
      <c r="VWZ140" s="209"/>
      <c r="VXA140" s="204"/>
      <c r="VXB140" s="204"/>
      <c r="VXC140" s="204"/>
      <c r="VXD140" s="199"/>
      <c r="VXE140" s="167"/>
      <c r="VXF140" s="199"/>
      <c r="VXG140" s="200"/>
      <c r="VXH140" s="201"/>
      <c r="VXI140" s="202"/>
      <c r="VXJ140" s="202"/>
      <c r="VXK140" s="202"/>
      <c r="VXL140" s="202"/>
      <c r="VXM140" s="203"/>
      <c r="VXN140" s="204"/>
      <c r="VXO140" s="204"/>
      <c r="VXP140" s="204"/>
      <c r="VXQ140" s="205"/>
      <c r="VXR140" s="206"/>
      <c r="VXS140" s="207"/>
      <c r="VXT140" s="207"/>
      <c r="VXU140" s="208"/>
      <c r="VXV140" s="209"/>
      <c r="VXW140" s="207"/>
      <c r="VXX140" s="210"/>
      <c r="VXY140" s="209"/>
      <c r="VXZ140" s="204"/>
      <c r="VYA140" s="204"/>
      <c r="VYB140" s="204"/>
      <c r="VYC140" s="199"/>
      <c r="VYD140" s="167"/>
      <c r="VYE140" s="199"/>
      <c r="VYF140" s="200"/>
      <c r="VYG140" s="201"/>
      <c r="VYH140" s="202"/>
      <c r="VYI140" s="202"/>
      <c r="VYJ140" s="202"/>
      <c r="VYK140" s="202"/>
      <c r="VYL140" s="203"/>
      <c r="VYM140" s="204"/>
      <c r="VYN140" s="204"/>
      <c r="VYO140" s="204"/>
      <c r="VYP140" s="205"/>
      <c r="VYQ140" s="206"/>
      <c r="VYR140" s="207"/>
      <c r="VYS140" s="207"/>
      <c r="VYT140" s="208"/>
      <c r="VYU140" s="209"/>
      <c r="VYV140" s="207"/>
      <c r="VYW140" s="210"/>
      <c r="VYX140" s="209"/>
      <c r="VYY140" s="204"/>
      <c r="VYZ140" s="204"/>
      <c r="VZA140" s="204"/>
      <c r="VZB140" s="199"/>
      <c r="VZC140" s="167"/>
      <c r="VZD140" s="199"/>
      <c r="VZE140" s="200"/>
      <c r="VZF140" s="201"/>
      <c r="VZG140" s="202"/>
      <c r="VZH140" s="202"/>
      <c r="VZI140" s="202"/>
      <c r="VZJ140" s="202"/>
      <c r="VZK140" s="203"/>
      <c r="VZL140" s="204"/>
      <c r="VZM140" s="204"/>
      <c r="VZN140" s="204"/>
      <c r="VZO140" s="205"/>
      <c r="VZP140" s="206"/>
      <c r="VZQ140" s="207"/>
      <c r="VZR140" s="207"/>
      <c r="VZS140" s="208"/>
      <c r="VZT140" s="209"/>
      <c r="VZU140" s="207"/>
      <c r="VZV140" s="210"/>
      <c r="VZW140" s="209"/>
      <c r="VZX140" s="204"/>
      <c r="VZY140" s="204"/>
      <c r="VZZ140" s="204"/>
      <c r="WAA140" s="199"/>
      <c r="WAB140" s="167"/>
      <c r="WAC140" s="199"/>
      <c r="WAD140" s="200"/>
      <c r="WAE140" s="201"/>
      <c r="WAF140" s="202"/>
      <c r="WAG140" s="202"/>
      <c r="WAH140" s="202"/>
      <c r="WAI140" s="202"/>
      <c r="WAJ140" s="203"/>
      <c r="WAK140" s="204"/>
      <c r="WAL140" s="204"/>
      <c r="WAM140" s="204"/>
      <c r="WAN140" s="205"/>
      <c r="WAO140" s="206"/>
      <c r="WAP140" s="207"/>
      <c r="WAQ140" s="207"/>
      <c r="WAR140" s="208"/>
      <c r="WAS140" s="209"/>
      <c r="WAT140" s="207"/>
      <c r="WAU140" s="210"/>
      <c r="WAV140" s="209"/>
      <c r="WAW140" s="204"/>
      <c r="WAX140" s="204"/>
      <c r="WAY140" s="204"/>
      <c r="WAZ140" s="199"/>
      <c r="WBA140" s="167"/>
      <c r="WBB140" s="199"/>
      <c r="WBC140" s="200"/>
      <c r="WBD140" s="201"/>
      <c r="WBE140" s="202"/>
      <c r="WBF140" s="202"/>
      <c r="WBG140" s="202"/>
      <c r="WBH140" s="202"/>
      <c r="WBI140" s="203"/>
      <c r="WBJ140" s="204"/>
      <c r="WBK140" s="204"/>
      <c r="WBL140" s="204"/>
      <c r="WBM140" s="205"/>
      <c r="WBN140" s="206"/>
      <c r="WBO140" s="207"/>
      <c r="WBP140" s="207"/>
      <c r="WBQ140" s="208"/>
      <c r="WBR140" s="209"/>
      <c r="WBS140" s="207"/>
      <c r="WBT140" s="210"/>
      <c r="WBU140" s="209"/>
      <c r="WBV140" s="204"/>
      <c r="WBW140" s="204"/>
      <c r="WBX140" s="204"/>
      <c r="WBY140" s="199"/>
      <c r="WBZ140" s="167"/>
      <c r="WCA140" s="199"/>
      <c r="WCB140" s="200"/>
      <c r="WCC140" s="201"/>
      <c r="WCD140" s="202"/>
      <c r="WCE140" s="202"/>
      <c r="WCF140" s="202"/>
      <c r="WCG140" s="202"/>
      <c r="WCH140" s="203"/>
      <c r="WCI140" s="204"/>
      <c r="WCJ140" s="204"/>
      <c r="WCK140" s="204"/>
      <c r="WCL140" s="205"/>
      <c r="WCM140" s="206"/>
      <c r="WCN140" s="207"/>
      <c r="WCO140" s="207"/>
      <c r="WCP140" s="208"/>
      <c r="WCQ140" s="209"/>
      <c r="WCR140" s="207"/>
      <c r="WCS140" s="210"/>
      <c r="WCT140" s="209"/>
      <c r="WCU140" s="204"/>
      <c r="WCV140" s="204"/>
      <c r="WCW140" s="204"/>
      <c r="WCX140" s="199"/>
      <c r="WCY140" s="167"/>
      <c r="WCZ140" s="199"/>
      <c r="WDA140" s="200"/>
      <c r="WDB140" s="201"/>
      <c r="WDC140" s="202"/>
      <c r="WDD140" s="202"/>
      <c r="WDE140" s="202"/>
      <c r="WDF140" s="202"/>
      <c r="WDG140" s="203"/>
      <c r="WDH140" s="204"/>
      <c r="WDI140" s="204"/>
      <c r="WDJ140" s="204"/>
      <c r="WDK140" s="205"/>
      <c r="WDL140" s="206"/>
      <c r="WDM140" s="207"/>
      <c r="WDN140" s="207"/>
      <c r="WDO140" s="208"/>
      <c r="WDP140" s="209"/>
      <c r="WDQ140" s="207"/>
      <c r="WDR140" s="210"/>
      <c r="WDS140" s="209"/>
      <c r="WDT140" s="204"/>
      <c r="WDU140" s="204"/>
      <c r="WDV140" s="204"/>
      <c r="WDW140" s="199"/>
      <c r="WDX140" s="167"/>
      <c r="WDY140" s="199"/>
      <c r="WDZ140" s="200"/>
      <c r="WEA140" s="201"/>
      <c r="WEB140" s="202"/>
      <c r="WEC140" s="202"/>
      <c r="WED140" s="202"/>
      <c r="WEE140" s="202"/>
      <c r="WEF140" s="203"/>
      <c r="WEG140" s="204"/>
      <c r="WEH140" s="204"/>
      <c r="WEI140" s="204"/>
      <c r="WEJ140" s="205"/>
      <c r="WEK140" s="206"/>
      <c r="WEL140" s="207"/>
      <c r="WEM140" s="207"/>
      <c r="WEN140" s="208"/>
      <c r="WEO140" s="209"/>
      <c r="WEP140" s="207"/>
      <c r="WEQ140" s="210"/>
      <c r="WER140" s="209"/>
      <c r="WES140" s="204"/>
      <c r="WET140" s="204"/>
      <c r="WEU140" s="204"/>
      <c r="WEV140" s="199"/>
      <c r="WEW140" s="167"/>
      <c r="WEX140" s="199"/>
      <c r="WEY140" s="200"/>
      <c r="WEZ140" s="201"/>
      <c r="WFA140" s="202"/>
      <c r="WFB140" s="202"/>
      <c r="WFC140" s="202"/>
      <c r="WFD140" s="202"/>
      <c r="WFE140" s="203"/>
      <c r="WFF140" s="204"/>
      <c r="WFG140" s="204"/>
      <c r="WFH140" s="204"/>
      <c r="WFI140" s="205"/>
      <c r="WFJ140" s="206"/>
      <c r="WFK140" s="207"/>
      <c r="WFL140" s="207"/>
      <c r="WFM140" s="208"/>
      <c r="WFN140" s="209"/>
      <c r="WFO140" s="207"/>
      <c r="WFP140" s="210"/>
      <c r="WFQ140" s="209"/>
      <c r="WFR140" s="204"/>
      <c r="WFS140" s="204"/>
      <c r="WFT140" s="204"/>
      <c r="WFU140" s="199"/>
      <c r="WFV140" s="167"/>
      <c r="WFW140" s="199"/>
      <c r="WFX140" s="200"/>
      <c r="WFY140" s="201"/>
      <c r="WFZ140" s="202"/>
      <c r="WGA140" s="202"/>
      <c r="WGB140" s="202"/>
      <c r="WGC140" s="202"/>
      <c r="WGD140" s="203"/>
      <c r="WGE140" s="204"/>
      <c r="WGF140" s="204"/>
      <c r="WGG140" s="204"/>
      <c r="WGH140" s="205"/>
      <c r="WGI140" s="206"/>
      <c r="WGJ140" s="207"/>
      <c r="WGK140" s="207"/>
      <c r="WGL140" s="208"/>
      <c r="WGM140" s="209"/>
      <c r="WGN140" s="207"/>
      <c r="WGO140" s="210"/>
      <c r="WGP140" s="209"/>
      <c r="WGQ140" s="204"/>
      <c r="WGR140" s="204"/>
      <c r="WGS140" s="204"/>
      <c r="WGT140" s="199"/>
      <c r="WGU140" s="167"/>
      <c r="WGV140" s="199"/>
      <c r="WGW140" s="200"/>
      <c r="WGX140" s="201"/>
      <c r="WGY140" s="202"/>
      <c r="WGZ140" s="202"/>
      <c r="WHA140" s="202"/>
      <c r="WHB140" s="202"/>
      <c r="WHC140" s="203"/>
      <c r="WHD140" s="204"/>
      <c r="WHE140" s="204"/>
      <c r="WHF140" s="204"/>
      <c r="WHG140" s="205"/>
      <c r="WHH140" s="206"/>
      <c r="WHI140" s="207"/>
      <c r="WHJ140" s="207"/>
      <c r="WHK140" s="208"/>
      <c r="WHL140" s="209"/>
      <c r="WHM140" s="207"/>
      <c r="WHN140" s="210"/>
      <c r="WHO140" s="209"/>
      <c r="WHP140" s="204"/>
      <c r="WHQ140" s="204"/>
      <c r="WHR140" s="204"/>
      <c r="WHS140" s="199"/>
      <c r="WHT140" s="167"/>
      <c r="WHU140" s="199"/>
      <c r="WHV140" s="200"/>
      <c r="WHW140" s="201"/>
      <c r="WHX140" s="202"/>
      <c r="WHY140" s="202"/>
      <c r="WHZ140" s="202"/>
      <c r="WIA140" s="202"/>
      <c r="WIB140" s="203"/>
      <c r="WIC140" s="204"/>
      <c r="WID140" s="204"/>
      <c r="WIE140" s="204"/>
      <c r="WIF140" s="205"/>
      <c r="WIG140" s="206"/>
      <c r="WIH140" s="207"/>
      <c r="WII140" s="207"/>
      <c r="WIJ140" s="208"/>
      <c r="WIK140" s="209"/>
      <c r="WIL140" s="207"/>
      <c r="WIM140" s="210"/>
      <c r="WIN140" s="209"/>
      <c r="WIO140" s="204"/>
      <c r="WIP140" s="204"/>
      <c r="WIQ140" s="204"/>
      <c r="WIR140" s="199"/>
      <c r="WIS140" s="167"/>
      <c r="WIT140" s="199"/>
      <c r="WIU140" s="200"/>
      <c r="WIV140" s="201"/>
      <c r="WIW140" s="202"/>
      <c r="WIX140" s="202"/>
      <c r="WIY140" s="202"/>
      <c r="WIZ140" s="202"/>
      <c r="WJA140" s="203"/>
      <c r="WJB140" s="204"/>
      <c r="WJC140" s="204"/>
      <c r="WJD140" s="204"/>
      <c r="WJE140" s="205"/>
      <c r="WJF140" s="206"/>
      <c r="WJG140" s="207"/>
      <c r="WJH140" s="207"/>
      <c r="WJI140" s="208"/>
      <c r="WJJ140" s="209"/>
      <c r="WJK140" s="207"/>
      <c r="WJL140" s="210"/>
      <c r="WJM140" s="209"/>
      <c r="WJN140" s="204"/>
      <c r="WJO140" s="204"/>
      <c r="WJP140" s="204"/>
      <c r="WJQ140" s="199"/>
      <c r="WJR140" s="167"/>
      <c r="WJS140" s="199"/>
      <c r="WJT140" s="200"/>
      <c r="WJU140" s="201"/>
      <c r="WJV140" s="202"/>
      <c r="WJW140" s="202"/>
      <c r="WJX140" s="202"/>
      <c r="WJY140" s="202"/>
      <c r="WJZ140" s="203"/>
      <c r="WKA140" s="204"/>
      <c r="WKB140" s="204"/>
      <c r="WKC140" s="204"/>
      <c r="WKD140" s="205"/>
      <c r="WKE140" s="206"/>
      <c r="WKF140" s="207"/>
      <c r="WKG140" s="207"/>
      <c r="WKH140" s="208"/>
      <c r="WKI140" s="209"/>
      <c r="WKJ140" s="207"/>
      <c r="WKK140" s="210"/>
      <c r="WKL140" s="209"/>
      <c r="WKM140" s="204"/>
      <c r="WKN140" s="204"/>
      <c r="WKO140" s="204"/>
      <c r="WKP140" s="199"/>
      <c r="WKQ140" s="167"/>
      <c r="WKR140" s="199"/>
      <c r="WKS140" s="200"/>
      <c r="WKT140" s="201"/>
      <c r="WKU140" s="202"/>
      <c r="WKV140" s="202"/>
      <c r="WKW140" s="202"/>
      <c r="WKX140" s="202"/>
      <c r="WKY140" s="203"/>
      <c r="WKZ140" s="204"/>
      <c r="WLA140" s="204"/>
      <c r="WLB140" s="204"/>
      <c r="WLC140" s="205"/>
      <c r="WLD140" s="206"/>
      <c r="WLE140" s="207"/>
      <c r="WLF140" s="207"/>
      <c r="WLG140" s="208"/>
      <c r="WLH140" s="209"/>
      <c r="WLI140" s="207"/>
      <c r="WLJ140" s="210"/>
      <c r="WLK140" s="209"/>
      <c r="WLL140" s="204"/>
      <c r="WLM140" s="204"/>
      <c r="WLN140" s="204"/>
      <c r="WLO140" s="199"/>
      <c r="WLP140" s="167"/>
      <c r="WLQ140" s="199"/>
      <c r="WLR140" s="200"/>
      <c r="WLS140" s="201"/>
      <c r="WLT140" s="202"/>
      <c r="WLU140" s="202"/>
      <c r="WLV140" s="202"/>
      <c r="WLW140" s="202"/>
      <c r="WLX140" s="203"/>
      <c r="WLY140" s="204"/>
      <c r="WLZ140" s="204"/>
      <c r="WMA140" s="204"/>
      <c r="WMB140" s="205"/>
      <c r="WMC140" s="206"/>
      <c r="WMD140" s="207"/>
      <c r="WME140" s="207"/>
      <c r="WMF140" s="208"/>
      <c r="WMG140" s="209"/>
      <c r="WMH140" s="207"/>
      <c r="WMI140" s="210"/>
      <c r="WMJ140" s="209"/>
      <c r="WMK140" s="204"/>
      <c r="WML140" s="204"/>
      <c r="WMM140" s="204"/>
      <c r="WMN140" s="199"/>
      <c r="WMO140" s="167"/>
      <c r="WMP140" s="199"/>
      <c r="WMQ140" s="200"/>
      <c r="WMR140" s="201"/>
      <c r="WMS140" s="202"/>
      <c r="WMT140" s="202"/>
      <c r="WMU140" s="202"/>
      <c r="WMV140" s="202"/>
      <c r="WMW140" s="203"/>
      <c r="WMX140" s="204"/>
      <c r="WMY140" s="204"/>
      <c r="WMZ140" s="204"/>
      <c r="WNA140" s="205"/>
      <c r="WNB140" s="206"/>
      <c r="WNC140" s="207"/>
      <c r="WND140" s="207"/>
      <c r="WNE140" s="208"/>
      <c r="WNF140" s="209"/>
      <c r="WNG140" s="207"/>
      <c r="WNH140" s="210"/>
      <c r="WNI140" s="209"/>
      <c r="WNJ140" s="204"/>
      <c r="WNK140" s="204"/>
      <c r="WNL140" s="204"/>
      <c r="WNM140" s="199"/>
      <c r="WNN140" s="167"/>
      <c r="WNO140" s="199"/>
      <c r="WNP140" s="200"/>
      <c r="WNQ140" s="201"/>
      <c r="WNR140" s="202"/>
      <c r="WNS140" s="202"/>
      <c r="WNT140" s="202"/>
      <c r="WNU140" s="202"/>
      <c r="WNV140" s="203"/>
      <c r="WNW140" s="204"/>
      <c r="WNX140" s="204"/>
      <c r="WNY140" s="204"/>
      <c r="WNZ140" s="205"/>
      <c r="WOA140" s="206"/>
      <c r="WOB140" s="207"/>
      <c r="WOC140" s="207"/>
      <c r="WOD140" s="208"/>
      <c r="WOE140" s="209"/>
      <c r="WOF140" s="207"/>
      <c r="WOG140" s="210"/>
      <c r="WOH140" s="209"/>
      <c r="WOI140" s="204"/>
      <c r="WOJ140" s="204"/>
      <c r="WOK140" s="204"/>
      <c r="WOL140" s="199"/>
      <c r="WOM140" s="167"/>
      <c r="WON140" s="199"/>
      <c r="WOO140" s="200"/>
      <c r="WOP140" s="201"/>
      <c r="WOQ140" s="202"/>
      <c r="WOR140" s="202"/>
      <c r="WOS140" s="202"/>
      <c r="WOT140" s="202"/>
      <c r="WOU140" s="203"/>
      <c r="WOV140" s="204"/>
      <c r="WOW140" s="204"/>
      <c r="WOX140" s="204"/>
      <c r="WOY140" s="205"/>
      <c r="WOZ140" s="206"/>
      <c r="WPA140" s="207"/>
      <c r="WPB140" s="207"/>
      <c r="WPC140" s="208"/>
      <c r="WPD140" s="209"/>
      <c r="WPE140" s="207"/>
      <c r="WPF140" s="210"/>
      <c r="WPG140" s="209"/>
      <c r="WPH140" s="204"/>
      <c r="WPI140" s="204"/>
      <c r="WPJ140" s="204"/>
      <c r="WPK140" s="199"/>
      <c r="WPL140" s="167"/>
      <c r="WPM140" s="199"/>
      <c r="WPN140" s="200"/>
      <c r="WPO140" s="201"/>
      <c r="WPP140" s="202"/>
      <c r="WPQ140" s="202"/>
      <c r="WPR140" s="202"/>
      <c r="WPS140" s="202"/>
      <c r="WPT140" s="203"/>
      <c r="WPU140" s="204"/>
      <c r="WPV140" s="204"/>
      <c r="WPW140" s="204"/>
      <c r="WPX140" s="205"/>
      <c r="WPY140" s="206"/>
      <c r="WPZ140" s="207"/>
      <c r="WQA140" s="207"/>
      <c r="WQB140" s="208"/>
      <c r="WQC140" s="209"/>
      <c r="WQD140" s="207"/>
      <c r="WQE140" s="210"/>
      <c r="WQF140" s="209"/>
      <c r="WQG140" s="204"/>
      <c r="WQH140" s="204"/>
      <c r="WQI140" s="204"/>
      <c r="WQJ140" s="199"/>
      <c r="WQK140" s="167"/>
      <c r="WQL140" s="199"/>
      <c r="WQM140" s="200"/>
      <c r="WQN140" s="201"/>
      <c r="WQO140" s="202"/>
      <c r="WQP140" s="202"/>
      <c r="WQQ140" s="202"/>
      <c r="WQR140" s="202"/>
      <c r="WQS140" s="203"/>
      <c r="WQT140" s="204"/>
      <c r="WQU140" s="204"/>
      <c r="WQV140" s="204"/>
      <c r="WQW140" s="205"/>
      <c r="WQX140" s="206"/>
      <c r="WQY140" s="207"/>
      <c r="WQZ140" s="207"/>
      <c r="WRA140" s="208"/>
      <c r="WRB140" s="209"/>
      <c r="WRC140" s="207"/>
      <c r="WRD140" s="210"/>
      <c r="WRE140" s="209"/>
      <c r="WRF140" s="204"/>
      <c r="WRG140" s="204"/>
      <c r="WRH140" s="204"/>
      <c r="WRI140" s="199"/>
      <c r="WRJ140" s="167"/>
      <c r="WRK140" s="199"/>
      <c r="WRL140" s="200"/>
      <c r="WRM140" s="201"/>
      <c r="WRN140" s="202"/>
      <c r="WRO140" s="202"/>
      <c r="WRP140" s="202"/>
      <c r="WRQ140" s="202"/>
      <c r="WRR140" s="203"/>
      <c r="WRS140" s="204"/>
      <c r="WRT140" s="204"/>
      <c r="WRU140" s="204"/>
      <c r="WRV140" s="205"/>
      <c r="WRW140" s="206"/>
      <c r="WRX140" s="207"/>
      <c r="WRY140" s="207"/>
      <c r="WRZ140" s="208"/>
      <c r="WSA140" s="209"/>
      <c r="WSB140" s="207"/>
      <c r="WSC140" s="210"/>
      <c r="WSD140" s="209"/>
      <c r="WSE140" s="204"/>
      <c r="WSF140" s="204"/>
      <c r="WSG140" s="204"/>
      <c r="WSH140" s="199"/>
      <c r="WSI140" s="167"/>
      <c r="WSJ140" s="199"/>
      <c r="WSK140" s="200"/>
      <c r="WSL140" s="201"/>
      <c r="WSM140" s="202"/>
      <c r="WSN140" s="202"/>
      <c r="WSO140" s="202"/>
      <c r="WSP140" s="202"/>
      <c r="WSQ140" s="203"/>
      <c r="WSR140" s="204"/>
      <c r="WSS140" s="204"/>
      <c r="WST140" s="204"/>
      <c r="WSU140" s="205"/>
      <c r="WSV140" s="206"/>
      <c r="WSW140" s="207"/>
      <c r="WSX140" s="207"/>
      <c r="WSY140" s="208"/>
      <c r="WSZ140" s="209"/>
      <c r="WTA140" s="207"/>
      <c r="WTB140" s="210"/>
      <c r="WTC140" s="209"/>
      <c r="WTD140" s="204"/>
      <c r="WTE140" s="204"/>
      <c r="WTF140" s="204"/>
      <c r="WTG140" s="199"/>
      <c r="WTH140" s="167"/>
      <c r="WTI140" s="199"/>
      <c r="WTJ140" s="200"/>
      <c r="WTK140" s="201"/>
      <c r="WTL140" s="202"/>
      <c r="WTM140" s="202"/>
      <c r="WTN140" s="202"/>
      <c r="WTO140" s="202"/>
      <c r="WTP140" s="203"/>
      <c r="WTQ140" s="204"/>
      <c r="WTR140" s="204"/>
      <c r="WTS140" s="204"/>
      <c r="WTT140" s="205"/>
      <c r="WTU140" s="206"/>
      <c r="WTV140" s="207"/>
      <c r="WTW140" s="207"/>
      <c r="WTX140" s="208"/>
      <c r="WTY140" s="209"/>
      <c r="WTZ140" s="207"/>
      <c r="WUA140" s="210"/>
      <c r="WUB140" s="209"/>
      <c r="WUC140" s="204"/>
      <c r="WUD140" s="204"/>
      <c r="WUE140" s="204"/>
      <c r="WUF140" s="199"/>
      <c r="WUG140" s="167"/>
      <c r="WUH140" s="199"/>
      <c r="WUI140" s="200"/>
      <c r="WUJ140" s="201"/>
      <c r="WUK140" s="202"/>
      <c r="WUL140" s="202"/>
      <c r="WUM140" s="202"/>
      <c r="WUN140" s="202"/>
      <c r="WUO140" s="203"/>
      <c r="WUP140" s="204"/>
      <c r="WUQ140" s="204"/>
      <c r="WUR140" s="204"/>
      <c r="WUS140" s="205"/>
      <c r="WUT140" s="206"/>
      <c r="WUU140" s="207"/>
      <c r="WUV140" s="207"/>
      <c r="WUW140" s="208"/>
      <c r="WUX140" s="209"/>
      <c r="WUY140" s="207"/>
      <c r="WUZ140" s="210"/>
      <c r="WVA140" s="209"/>
      <c r="WVB140" s="204"/>
      <c r="WVC140" s="204"/>
      <c r="WVD140" s="204"/>
      <c r="WVE140" s="199"/>
      <c r="WVF140" s="167"/>
      <c r="WVG140" s="199"/>
      <c r="WVH140" s="200"/>
      <c r="WVI140" s="201"/>
      <c r="WVJ140" s="202"/>
      <c r="WVK140" s="202"/>
      <c r="WVL140" s="202"/>
      <c r="WVM140" s="202"/>
      <c r="WVN140" s="203"/>
      <c r="WVO140" s="204"/>
      <c r="WVP140" s="204"/>
      <c r="WVQ140" s="204"/>
      <c r="WVR140" s="205"/>
      <c r="WVS140" s="206"/>
      <c r="WVT140" s="207"/>
      <c r="WVU140" s="207"/>
      <c r="WVV140" s="208"/>
      <c r="WVW140" s="209"/>
      <c r="WVX140" s="207"/>
      <c r="WVY140" s="210"/>
      <c r="WVZ140" s="209"/>
      <c r="WWA140" s="204"/>
      <c r="WWB140" s="204"/>
      <c r="WWC140" s="204"/>
      <c r="WWD140" s="199"/>
      <c r="WWE140" s="167"/>
      <c r="WWF140" s="199"/>
      <c r="WWG140" s="200"/>
      <c r="WWH140" s="201"/>
      <c r="WWI140" s="202"/>
      <c r="WWJ140" s="202"/>
      <c r="WWK140" s="202"/>
      <c r="WWL140" s="202"/>
      <c r="WWM140" s="203"/>
      <c r="WWN140" s="204"/>
      <c r="WWO140" s="204"/>
      <c r="WWP140" s="204"/>
      <c r="WWQ140" s="205"/>
      <c r="WWR140" s="206"/>
      <c r="WWS140" s="207"/>
      <c r="WWT140" s="207"/>
      <c r="WWU140" s="208"/>
      <c r="WWV140" s="209"/>
      <c r="WWW140" s="207"/>
      <c r="WWX140" s="210"/>
      <c r="WWY140" s="209"/>
      <c r="WWZ140" s="204"/>
      <c r="WXA140" s="204"/>
      <c r="WXB140" s="204"/>
      <c r="WXC140" s="199"/>
      <c r="WXD140" s="167"/>
      <c r="WXE140" s="199"/>
      <c r="WXF140" s="200"/>
      <c r="WXG140" s="201"/>
      <c r="WXH140" s="202"/>
      <c r="WXI140" s="202"/>
      <c r="WXJ140" s="202"/>
      <c r="WXK140" s="202"/>
      <c r="WXL140" s="203"/>
      <c r="WXM140" s="204"/>
      <c r="WXN140" s="204"/>
      <c r="WXO140" s="204"/>
      <c r="WXP140" s="205"/>
      <c r="WXQ140" s="206"/>
      <c r="WXR140" s="207"/>
      <c r="WXS140" s="207"/>
      <c r="WXT140" s="208"/>
      <c r="WXU140" s="209"/>
      <c r="WXV140" s="207"/>
      <c r="WXW140" s="210"/>
      <c r="WXX140" s="209"/>
      <c r="WXY140" s="204"/>
      <c r="WXZ140" s="204"/>
      <c r="WYA140" s="204"/>
      <c r="WYB140" s="199"/>
      <c r="WYC140" s="167"/>
      <c r="WYD140" s="199"/>
      <c r="WYE140" s="200"/>
      <c r="WYF140" s="201"/>
      <c r="WYG140" s="202"/>
      <c r="WYH140" s="202"/>
      <c r="WYI140" s="202"/>
      <c r="WYJ140" s="202"/>
      <c r="WYK140" s="203"/>
      <c r="WYL140" s="204"/>
      <c r="WYM140" s="204"/>
      <c r="WYN140" s="204"/>
      <c r="WYO140" s="205"/>
      <c r="WYP140" s="206"/>
      <c r="WYQ140" s="207"/>
      <c r="WYR140" s="207"/>
      <c r="WYS140" s="208"/>
      <c r="WYT140" s="209"/>
      <c r="WYU140" s="207"/>
      <c r="WYV140" s="210"/>
      <c r="WYW140" s="209"/>
      <c r="WYX140" s="204"/>
      <c r="WYY140" s="204"/>
      <c r="WYZ140" s="204"/>
      <c r="WZA140" s="199"/>
      <c r="WZB140" s="167"/>
      <c r="WZC140" s="199"/>
      <c r="WZD140" s="200"/>
      <c r="WZE140" s="201"/>
      <c r="WZF140" s="202"/>
      <c r="WZG140" s="202"/>
      <c r="WZH140" s="202"/>
      <c r="WZI140" s="202"/>
      <c r="WZJ140" s="203"/>
      <c r="WZK140" s="204"/>
      <c r="WZL140" s="204"/>
      <c r="WZM140" s="204"/>
      <c r="WZN140" s="205"/>
      <c r="WZO140" s="206"/>
      <c r="WZP140" s="207"/>
      <c r="WZQ140" s="207"/>
      <c r="WZR140" s="208"/>
      <c r="WZS140" s="209"/>
      <c r="WZT140" s="207"/>
      <c r="WZU140" s="210"/>
      <c r="WZV140" s="209"/>
      <c r="WZW140" s="204"/>
      <c r="WZX140" s="204"/>
      <c r="WZY140" s="204"/>
      <c r="WZZ140" s="199"/>
      <c r="XAA140" s="167"/>
      <c r="XAB140" s="199"/>
      <c r="XAC140" s="200"/>
      <c r="XAD140" s="201"/>
      <c r="XAE140" s="202"/>
      <c r="XAF140" s="202"/>
      <c r="XAG140" s="202"/>
      <c r="XAH140" s="202"/>
      <c r="XAI140" s="203"/>
      <c r="XAJ140" s="204"/>
      <c r="XAK140" s="204"/>
      <c r="XAL140" s="204"/>
      <c r="XAM140" s="205"/>
      <c r="XAN140" s="206"/>
      <c r="XAO140" s="207"/>
      <c r="XAP140" s="207"/>
      <c r="XAQ140" s="208"/>
      <c r="XAR140" s="209"/>
      <c r="XAS140" s="207"/>
      <c r="XAT140" s="210"/>
      <c r="XAU140" s="209"/>
      <c r="XAV140" s="204"/>
      <c r="XAW140" s="204"/>
      <c r="XAX140" s="204"/>
      <c r="XAY140" s="199"/>
      <c r="XAZ140" s="167"/>
      <c r="XBA140" s="199"/>
      <c r="XBB140" s="200"/>
      <c r="XBC140" s="201"/>
      <c r="XBD140" s="202"/>
      <c r="XBE140" s="202"/>
      <c r="XBF140" s="202"/>
      <c r="XBG140" s="202"/>
      <c r="XBH140" s="203"/>
      <c r="XBI140" s="204"/>
      <c r="XBJ140" s="204"/>
      <c r="XBK140" s="204"/>
      <c r="XBL140" s="205"/>
      <c r="XBM140" s="206"/>
      <c r="XBN140" s="207"/>
      <c r="XBO140" s="207"/>
      <c r="XBP140" s="208"/>
      <c r="XBQ140" s="209"/>
      <c r="XBR140" s="207"/>
      <c r="XBS140" s="210"/>
      <c r="XBT140" s="209"/>
      <c r="XBU140" s="204"/>
      <c r="XBV140" s="204"/>
      <c r="XBW140" s="204"/>
      <c r="XBX140" s="199"/>
      <c r="XBY140" s="167"/>
      <c r="XBZ140" s="199"/>
      <c r="XCA140" s="200"/>
      <c r="XCB140" s="201"/>
      <c r="XCC140" s="202"/>
      <c r="XCD140" s="202"/>
      <c r="XCE140" s="202"/>
      <c r="XCF140" s="202"/>
      <c r="XCG140" s="203"/>
      <c r="XCH140" s="204"/>
      <c r="XCI140" s="204"/>
      <c r="XCJ140" s="204"/>
      <c r="XCK140" s="205"/>
      <c r="XCL140" s="206"/>
      <c r="XCM140" s="207"/>
      <c r="XCN140" s="207"/>
      <c r="XCO140" s="208"/>
      <c r="XCP140" s="209"/>
      <c r="XCQ140" s="207"/>
      <c r="XCR140" s="210"/>
      <c r="XCS140" s="209"/>
      <c r="XCT140" s="204"/>
      <c r="XCU140" s="204"/>
      <c r="XCV140" s="204"/>
      <c r="XCW140" s="199"/>
      <c r="XCX140" s="167"/>
      <c r="XCY140" s="199"/>
      <c r="XCZ140" s="200"/>
      <c r="XDA140" s="201"/>
      <c r="XDB140" s="202"/>
      <c r="XDC140" s="202"/>
      <c r="XDD140" s="202"/>
      <c r="XDE140" s="202"/>
      <c r="XDF140" s="203"/>
      <c r="XDG140" s="204"/>
      <c r="XDH140" s="204"/>
      <c r="XDI140" s="204"/>
      <c r="XDJ140" s="205"/>
      <c r="XDK140" s="206"/>
      <c r="XDL140" s="207"/>
      <c r="XDM140" s="207"/>
      <c r="XDN140" s="208"/>
      <c r="XDO140" s="209"/>
      <c r="XDP140" s="207"/>
      <c r="XDQ140" s="210"/>
      <c r="XDR140" s="209"/>
      <c r="XDS140" s="204"/>
      <c r="XDT140" s="204"/>
      <c r="XDU140" s="204"/>
      <c r="XDV140" s="199"/>
      <c r="XDW140" s="167"/>
      <c r="XDX140" s="199"/>
      <c r="XDY140" s="200"/>
      <c r="XDZ140" s="201"/>
      <c r="XEA140" s="202"/>
      <c r="XEB140" s="202"/>
      <c r="XEC140" s="202"/>
      <c r="XED140" s="202"/>
      <c r="XEE140" s="203"/>
      <c r="XEF140" s="204"/>
      <c r="XEG140" s="204"/>
      <c r="XEH140" s="204"/>
      <c r="XEI140" s="205"/>
      <c r="XEJ140" s="206"/>
      <c r="XEK140" s="207"/>
      <c r="XEL140" s="207"/>
      <c r="XEM140" s="208"/>
      <c r="XEN140" s="209"/>
      <c r="XEO140" s="207"/>
      <c r="XEP140" s="210"/>
      <c r="XEQ140" s="209"/>
      <c r="XER140" s="204"/>
      <c r="XES140" s="204"/>
      <c r="XET140" s="204"/>
      <c r="XEU140" s="199"/>
      <c r="XEV140" s="167"/>
      <c r="XEW140" s="199"/>
      <c r="XEX140" s="200"/>
      <c r="XEY140" s="201"/>
      <c r="XEZ140" s="202"/>
      <c r="XFA140" s="202"/>
      <c r="XFB140" s="202"/>
      <c r="XFC140" s="202"/>
    </row>
    <row r="141" spans="1:16383" ht="165" x14ac:dyDescent="0.2">
      <c r="A141" s="38" t="s">
        <v>20</v>
      </c>
      <c r="B141" s="66">
        <f t="shared" si="137"/>
        <v>1</v>
      </c>
      <c r="C141" s="66">
        <v>123</v>
      </c>
      <c r="D141" s="383">
        <v>126</v>
      </c>
      <c r="E141" s="51" t="s">
        <v>336</v>
      </c>
      <c r="F141" s="7" t="s">
        <v>337</v>
      </c>
      <c r="G141" s="15">
        <v>1</v>
      </c>
      <c r="H141" s="12" t="s">
        <v>131</v>
      </c>
      <c r="I141" s="10">
        <v>15</v>
      </c>
      <c r="J141" s="16" t="s">
        <v>67</v>
      </c>
      <c r="K141" s="108">
        <v>5114001</v>
      </c>
      <c r="L141" s="151">
        <f>+K141*G141*I141</f>
        <v>76710015</v>
      </c>
      <c r="M141" s="126"/>
      <c r="N141" s="127"/>
      <c r="O141" s="126"/>
      <c r="P141" s="127"/>
      <c r="Q141" s="165">
        <f>+AVERAGE(K141,M141,O141)</f>
        <v>5114001</v>
      </c>
      <c r="R141" s="166">
        <f>+Q141*G141*I141</f>
        <v>76710015</v>
      </c>
      <c r="S141" s="222">
        <f>_xlfn.STDEV.P(K141,M141,O141)</f>
        <v>0</v>
      </c>
      <c r="T141" s="223">
        <f t="shared" ref="T141:T147" si="143">+S141/Q141</f>
        <v>0</v>
      </c>
      <c r="U141" s="224">
        <f>+MEDIAN(K141,M141,O141)</f>
        <v>5114001</v>
      </c>
      <c r="V141" s="225">
        <f>+U141*G141*I141</f>
        <v>76710015</v>
      </c>
      <c r="W141" s="149">
        <f t="shared" ref="W141:W147" si="144">+S141/U141</f>
        <v>0</v>
      </c>
      <c r="X141" s="316" t="s">
        <v>819</v>
      </c>
      <c r="Y141" s="137"/>
      <c r="Z141" s="138"/>
    </row>
    <row r="142" spans="1:16383" ht="225" x14ac:dyDescent="0.2">
      <c r="A142" s="38" t="s">
        <v>54</v>
      </c>
      <c r="B142" s="66">
        <f t="shared" si="137"/>
        <v>3</v>
      </c>
      <c r="C142" s="66">
        <v>124</v>
      </c>
      <c r="D142" s="70">
        <v>127</v>
      </c>
      <c r="E142" s="51" t="s">
        <v>851</v>
      </c>
      <c r="F142" s="7" t="s">
        <v>888</v>
      </c>
      <c r="G142" s="15">
        <v>60</v>
      </c>
      <c r="H142" s="14" t="s">
        <v>57</v>
      </c>
      <c r="I142" s="10"/>
      <c r="J142" s="11"/>
      <c r="K142" s="105">
        <v>109000</v>
      </c>
      <c r="L142" s="121">
        <f>K142*G142</f>
        <v>6540000</v>
      </c>
      <c r="M142" s="105">
        <v>109000</v>
      </c>
      <c r="N142" s="121">
        <f>G142*M142</f>
        <v>6540000</v>
      </c>
      <c r="O142" s="105">
        <v>109000</v>
      </c>
      <c r="P142" s="121">
        <f>G142*O142</f>
        <v>6540000</v>
      </c>
      <c r="Q142" s="165">
        <f t="shared" ref="Q142:Q147" si="145">+AVERAGE(K142,M142,O142)</f>
        <v>109000</v>
      </c>
      <c r="R142" s="166">
        <f t="shared" ref="R142:R145" si="146">+Q142*G142</f>
        <v>6540000</v>
      </c>
      <c r="S142" s="222">
        <f t="shared" ref="S142:S147" si="147">_xlfn.STDEV.P(K142,M142,O142)</f>
        <v>0</v>
      </c>
      <c r="T142" s="223">
        <f t="shared" si="143"/>
        <v>0</v>
      </c>
      <c r="U142" s="224">
        <f t="shared" ref="U142:U147" si="148">+MEDIAN(K142,M142,O142)</f>
        <v>109000</v>
      </c>
      <c r="V142" s="225">
        <f t="shared" ref="V142:V145" si="149">+U142*G142</f>
        <v>6540000</v>
      </c>
      <c r="W142" s="149">
        <f t="shared" si="144"/>
        <v>0</v>
      </c>
      <c r="X142" s="139" t="s">
        <v>103</v>
      </c>
      <c r="Y142" s="137" t="s">
        <v>759</v>
      </c>
      <c r="Z142" s="138" t="s">
        <v>752</v>
      </c>
    </row>
    <row r="143" spans="1:16383" ht="90" x14ac:dyDescent="0.2">
      <c r="A143" s="38" t="s">
        <v>54</v>
      </c>
      <c r="B143" s="66">
        <f t="shared" si="137"/>
        <v>3</v>
      </c>
      <c r="C143" s="66">
        <v>125</v>
      </c>
      <c r="D143" s="70">
        <v>128</v>
      </c>
      <c r="E143" s="51" t="s">
        <v>338</v>
      </c>
      <c r="F143" s="7" t="s">
        <v>339</v>
      </c>
      <c r="G143" s="15">
        <v>60</v>
      </c>
      <c r="H143" s="14" t="s">
        <v>57</v>
      </c>
      <c r="I143" s="10"/>
      <c r="J143" s="11"/>
      <c r="K143" s="105">
        <f>+(46134*100)/119</f>
        <v>38768.067226890758</v>
      </c>
      <c r="L143" s="121">
        <f>K143*G143</f>
        <v>2326084.0336134457</v>
      </c>
      <c r="M143" s="105">
        <f>+(62000*100)/119</f>
        <v>52100.840336134454</v>
      </c>
      <c r="N143" s="121">
        <f>G143*M143</f>
        <v>3126050.4201680673</v>
      </c>
      <c r="O143" s="105">
        <v>55000</v>
      </c>
      <c r="P143" s="121">
        <f>G143*O143</f>
        <v>3300000</v>
      </c>
      <c r="Q143" s="165">
        <f t="shared" si="145"/>
        <v>48622.969187675073</v>
      </c>
      <c r="R143" s="166">
        <f t="shared" si="146"/>
        <v>2917378.1512605045</v>
      </c>
      <c r="S143" s="222">
        <f t="shared" si="147"/>
        <v>7068.2671700895335</v>
      </c>
      <c r="T143" s="223">
        <f t="shared" si="143"/>
        <v>0.14536889227820324</v>
      </c>
      <c r="U143" s="224">
        <f t="shared" si="148"/>
        <v>52100.840336134454</v>
      </c>
      <c r="V143" s="225">
        <f t="shared" si="149"/>
        <v>3126050.4201680673</v>
      </c>
      <c r="W143" s="149">
        <f t="shared" si="144"/>
        <v>0.13566512794204105</v>
      </c>
      <c r="X143" s="139" t="s">
        <v>249</v>
      </c>
      <c r="Y143" s="137" t="s">
        <v>103</v>
      </c>
      <c r="Z143" s="138" t="s">
        <v>752</v>
      </c>
    </row>
    <row r="144" spans="1:16383" ht="105" x14ac:dyDescent="0.2">
      <c r="A144" s="38" t="s">
        <v>54</v>
      </c>
      <c r="B144" s="66">
        <f t="shared" si="137"/>
        <v>3</v>
      </c>
      <c r="C144" s="66">
        <v>126</v>
      </c>
      <c r="D144" s="70">
        <v>129</v>
      </c>
      <c r="E144" s="51" t="s">
        <v>340</v>
      </c>
      <c r="F144" s="7" t="s">
        <v>341</v>
      </c>
      <c r="G144" s="15">
        <v>60</v>
      </c>
      <c r="H144" s="14" t="s">
        <v>57</v>
      </c>
      <c r="I144" s="10"/>
      <c r="J144" s="11"/>
      <c r="K144" s="105">
        <v>26050</v>
      </c>
      <c r="L144" s="121">
        <f>K144*G144</f>
        <v>1563000</v>
      </c>
      <c r="M144" s="105">
        <v>40000</v>
      </c>
      <c r="N144" s="121">
        <f>G144*M144</f>
        <v>2400000</v>
      </c>
      <c r="O144" s="105">
        <v>50600</v>
      </c>
      <c r="P144" s="121">
        <f>G144*O144</f>
        <v>3036000</v>
      </c>
      <c r="Q144" s="165">
        <f t="shared" si="145"/>
        <v>38883.333333333336</v>
      </c>
      <c r="R144" s="166">
        <f t="shared" si="146"/>
        <v>2333000</v>
      </c>
      <c r="S144" s="222">
        <f t="shared" si="147"/>
        <v>10053.551058650317</v>
      </c>
      <c r="T144" s="223">
        <f t="shared" si="143"/>
        <v>0.25855682105401584</v>
      </c>
      <c r="U144" s="224">
        <f t="shared" si="148"/>
        <v>40000</v>
      </c>
      <c r="V144" s="225">
        <f t="shared" si="149"/>
        <v>2400000</v>
      </c>
      <c r="W144" s="149">
        <f t="shared" si="144"/>
        <v>0.25133877646625791</v>
      </c>
      <c r="X144" s="139" t="s">
        <v>103</v>
      </c>
      <c r="Y144" s="137" t="s">
        <v>759</v>
      </c>
      <c r="Z144" s="138" t="s">
        <v>752</v>
      </c>
    </row>
    <row r="145" spans="1:16383" ht="105" x14ac:dyDescent="0.2">
      <c r="A145" s="38" t="s">
        <v>54</v>
      </c>
      <c r="B145" s="66">
        <f t="shared" si="137"/>
        <v>3</v>
      </c>
      <c r="C145" s="66">
        <v>127</v>
      </c>
      <c r="D145" s="70">
        <v>130</v>
      </c>
      <c r="E145" s="51" t="s">
        <v>342</v>
      </c>
      <c r="F145" s="7" t="s">
        <v>343</v>
      </c>
      <c r="G145" s="15">
        <v>60</v>
      </c>
      <c r="H145" s="14" t="s">
        <v>57</v>
      </c>
      <c r="I145" s="10"/>
      <c r="J145" s="11"/>
      <c r="K145" s="105">
        <f>+(10916*100)/119</f>
        <v>9173.1092436974795</v>
      </c>
      <c r="L145" s="121">
        <f>K145*G145</f>
        <v>550386.55462184874</v>
      </c>
      <c r="M145" s="105">
        <v>13445</v>
      </c>
      <c r="N145" s="121">
        <f>G145*M145</f>
        <v>806700</v>
      </c>
      <c r="O145" s="105">
        <v>14202</v>
      </c>
      <c r="P145" s="121">
        <f>G145*O145</f>
        <v>852120</v>
      </c>
      <c r="Q145" s="165">
        <f t="shared" si="145"/>
        <v>12273.36974789916</v>
      </c>
      <c r="R145" s="166">
        <f t="shared" si="146"/>
        <v>736402.18487394962</v>
      </c>
      <c r="S145" s="222">
        <f t="shared" si="147"/>
        <v>2213.8915428771811</v>
      </c>
      <c r="T145" s="223">
        <f t="shared" si="143"/>
        <v>0.18038171980080159</v>
      </c>
      <c r="U145" s="224">
        <f t="shared" si="148"/>
        <v>13445</v>
      </c>
      <c r="V145" s="225">
        <f t="shared" si="149"/>
        <v>806700</v>
      </c>
      <c r="W145" s="149">
        <f t="shared" si="144"/>
        <v>0.16466281464315219</v>
      </c>
      <c r="X145" s="139" t="s">
        <v>830</v>
      </c>
      <c r="Y145" s="137" t="s">
        <v>916</v>
      </c>
      <c r="Z145" s="138" t="s">
        <v>917</v>
      </c>
    </row>
    <row r="146" spans="1:16383" ht="105" x14ac:dyDescent="0.2">
      <c r="A146" s="38" t="s">
        <v>54</v>
      </c>
      <c r="B146" s="66">
        <f t="shared" si="137"/>
        <v>3</v>
      </c>
      <c r="C146" s="66">
        <v>128</v>
      </c>
      <c r="D146" s="70">
        <v>131</v>
      </c>
      <c r="E146" s="51" t="s">
        <v>252</v>
      </c>
      <c r="F146" s="7" t="s">
        <v>344</v>
      </c>
      <c r="G146" s="15">
        <v>60</v>
      </c>
      <c r="H146" s="14" t="s">
        <v>57</v>
      </c>
      <c r="I146" s="10"/>
      <c r="J146" s="11"/>
      <c r="K146" s="105">
        <v>28000</v>
      </c>
      <c r="L146" s="121">
        <f>K146*G146</f>
        <v>1680000</v>
      </c>
      <c r="M146" s="105">
        <f>+(25000*5.35%)+25000</f>
        <v>26337.5</v>
      </c>
      <c r="N146" s="121">
        <f>G146*M146</f>
        <v>1580250</v>
      </c>
      <c r="O146" s="105">
        <v>10000</v>
      </c>
      <c r="P146" s="121">
        <f>G146*O146</f>
        <v>600000</v>
      </c>
      <c r="Q146" s="165">
        <f t="shared" si="145"/>
        <v>21445.833333333332</v>
      </c>
      <c r="R146" s="166">
        <f>+Q146*G146</f>
        <v>1286750</v>
      </c>
      <c r="S146" s="222">
        <f t="shared" si="147"/>
        <v>8121.8348535838186</v>
      </c>
      <c r="T146" s="223">
        <f t="shared" si="143"/>
        <v>0.37871388476007706</v>
      </c>
      <c r="U146" s="224">
        <f t="shared" si="148"/>
        <v>26337.5</v>
      </c>
      <c r="V146" s="225">
        <f>+U146*G146</f>
        <v>1580250</v>
      </c>
      <c r="W146" s="149">
        <f t="shared" si="144"/>
        <v>0.3083753148014739</v>
      </c>
      <c r="X146" s="139" t="s">
        <v>729</v>
      </c>
      <c r="Y146" s="572" t="s">
        <v>732</v>
      </c>
      <c r="Z146" s="573" t="s">
        <v>733</v>
      </c>
    </row>
    <row r="147" spans="1:16383" ht="76" thickBot="1" x14ac:dyDescent="0.25">
      <c r="A147" s="38" t="s">
        <v>54</v>
      </c>
      <c r="B147" s="66">
        <f t="shared" si="137"/>
        <v>3</v>
      </c>
      <c r="C147" s="66">
        <v>129</v>
      </c>
      <c r="D147" s="70">
        <v>132</v>
      </c>
      <c r="E147" s="51" t="s">
        <v>266</v>
      </c>
      <c r="F147" s="7" t="s">
        <v>267</v>
      </c>
      <c r="G147" s="15">
        <v>60</v>
      </c>
      <c r="H147" s="14" t="s">
        <v>57</v>
      </c>
      <c r="I147" s="10">
        <v>5</v>
      </c>
      <c r="J147" s="16" t="s">
        <v>67</v>
      </c>
      <c r="K147" s="105">
        <f>+(15000*5.35%)+15000</f>
        <v>15802.5</v>
      </c>
      <c r="L147" s="146">
        <f t="shared" ref="L147" si="150">+K147*G147*I147</f>
        <v>4740750</v>
      </c>
      <c r="M147" s="105">
        <v>22000</v>
      </c>
      <c r="N147" s="148">
        <f>+M147*I147*G147</f>
        <v>6600000</v>
      </c>
      <c r="O147" s="105">
        <v>16000</v>
      </c>
      <c r="P147" s="148">
        <f>+O147*I147*G147</f>
        <v>4800000</v>
      </c>
      <c r="Q147" s="165">
        <f t="shared" si="145"/>
        <v>17934.166666666668</v>
      </c>
      <c r="R147" s="166">
        <f t="shared" ref="R147" si="151">+Q147*G147*I147</f>
        <v>5380250</v>
      </c>
      <c r="S147" s="222">
        <f t="shared" si="147"/>
        <v>2876.108723412397</v>
      </c>
      <c r="T147" s="223">
        <f t="shared" si="143"/>
        <v>0.16037035770154157</v>
      </c>
      <c r="U147" s="224">
        <f t="shared" si="148"/>
        <v>16000</v>
      </c>
      <c r="V147" s="225">
        <f t="shared" ref="V147" si="152">+U147*G147*I147</f>
        <v>4800000</v>
      </c>
      <c r="W147" s="149">
        <f t="shared" si="144"/>
        <v>0.17975679521327481</v>
      </c>
      <c r="X147" s="139" t="s">
        <v>813</v>
      </c>
      <c r="Y147" s="137" t="s">
        <v>759</v>
      </c>
      <c r="Z147" s="138" t="s">
        <v>752</v>
      </c>
    </row>
    <row r="148" spans="1:16383" ht="58" thickBot="1" x14ac:dyDescent="0.25">
      <c r="A148" s="49">
        <v>1</v>
      </c>
      <c r="B148" s="193"/>
      <c r="C148" s="193"/>
      <c r="D148" s="69"/>
      <c r="E148" s="50"/>
      <c r="F148" s="400" t="s">
        <v>345</v>
      </c>
      <c r="G148" s="30"/>
      <c r="H148" s="30"/>
      <c r="I148" s="30"/>
      <c r="J148" s="30"/>
      <c r="K148" s="109"/>
      <c r="L148" s="110"/>
      <c r="M148" s="110"/>
      <c r="N148" s="110"/>
      <c r="O148" s="109"/>
      <c r="P148" s="110"/>
      <c r="Q148" s="194"/>
      <c r="R148" s="194"/>
      <c r="S148" s="195"/>
      <c r="T148" s="196"/>
      <c r="U148" s="194"/>
      <c r="V148" s="197"/>
      <c r="W148" s="196"/>
      <c r="X148" s="593"/>
      <c r="Y148" s="593"/>
      <c r="Z148" s="594"/>
      <c r="AA148" s="199"/>
      <c r="AB148" s="200"/>
      <c r="AC148" s="201"/>
      <c r="AD148" s="202"/>
      <c r="AE148" s="202"/>
      <c r="AF148" s="202"/>
      <c r="AG148" s="202"/>
      <c r="AH148" s="203"/>
      <c r="AI148" s="204"/>
      <c r="AJ148" s="204"/>
      <c r="AK148" s="204"/>
      <c r="AL148" s="205"/>
      <c r="AM148" s="206"/>
      <c r="AN148" s="207"/>
      <c r="AO148" s="207"/>
      <c r="AP148" s="208"/>
      <c r="AQ148" s="209"/>
      <c r="AR148" s="207"/>
      <c r="AS148" s="210"/>
      <c r="AT148" s="209"/>
      <c r="AU148" s="204"/>
      <c r="AV148" s="204"/>
      <c r="AW148" s="204"/>
      <c r="AX148" s="199"/>
      <c r="AY148" s="167"/>
      <c r="AZ148" s="199"/>
      <c r="BA148" s="200"/>
      <c r="BB148" s="201"/>
      <c r="BC148" s="202"/>
      <c r="BD148" s="202"/>
      <c r="BE148" s="202"/>
      <c r="BF148" s="202"/>
      <c r="BG148" s="203"/>
      <c r="BH148" s="204"/>
      <c r="BI148" s="204"/>
      <c r="BJ148" s="204"/>
      <c r="BK148" s="205"/>
      <c r="BL148" s="206"/>
      <c r="BM148" s="207"/>
      <c r="BN148" s="207"/>
      <c r="BO148" s="208"/>
      <c r="BP148" s="209"/>
      <c r="BQ148" s="207"/>
      <c r="BR148" s="210"/>
      <c r="BS148" s="209"/>
      <c r="BT148" s="204"/>
      <c r="BU148" s="204"/>
      <c r="BV148" s="204"/>
      <c r="BW148" s="199"/>
      <c r="BX148" s="167"/>
      <c r="BY148" s="199"/>
      <c r="BZ148" s="200"/>
      <c r="CA148" s="201"/>
      <c r="CB148" s="202"/>
      <c r="CC148" s="202"/>
      <c r="CD148" s="202"/>
      <c r="CE148" s="202"/>
      <c r="CF148" s="203"/>
      <c r="CG148" s="204"/>
      <c r="CH148" s="204"/>
      <c r="CI148" s="204"/>
      <c r="CJ148" s="205"/>
      <c r="CK148" s="206"/>
      <c r="CL148" s="207"/>
      <c r="CM148" s="207"/>
      <c r="CN148" s="208"/>
      <c r="CO148" s="209"/>
      <c r="CP148" s="207"/>
      <c r="CQ148" s="210"/>
      <c r="CR148" s="209"/>
      <c r="CS148" s="204"/>
      <c r="CT148" s="204"/>
      <c r="CU148" s="204"/>
      <c r="CV148" s="199"/>
      <c r="CW148" s="167"/>
      <c r="CX148" s="199"/>
      <c r="CY148" s="200"/>
      <c r="CZ148" s="201"/>
      <c r="DA148" s="202"/>
      <c r="DB148" s="202"/>
      <c r="DC148" s="202"/>
      <c r="DD148" s="202"/>
      <c r="DE148" s="203"/>
      <c r="DF148" s="204"/>
      <c r="DG148" s="204"/>
      <c r="DH148" s="204"/>
      <c r="DI148" s="205"/>
      <c r="DJ148" s="206"/>
      <c r="DK148" s="207"/>
      <c r="DL148" s="207"/>
      <c r="DM148" s="208"/>
      <c r="DN148" s="209"/>
      <c r="DO148" s="207"/>
      <c r="DP148" s="210"/>
      <c r="DQ148" s="209"/>
      <c r="DR148" s="204"/>
      <c r="DS148" s="204"/>
      <c r="DT148" s="204"/>
      <c r="DU148" s="199"/>
      <c r="DV148" s="167"/>
      <c r="DW148" s="199"/>
      <c r="DX148" s="200"/>
      <c r="DY148" s="201"/>
      <c r="DZ148" s="202"/>
      <c r="EA148" s="202"/>
      <c r="EB148" s="202"/>
      <c r="EC148" s="202"/>
      <c r="ED148" s="203"/>
      <c r="EE148" s="204"/>
      <c r="EF148" s="204"/>
      <c r="EG148" s="204"/>
      <c r="EH148" s="205"/>
      <c r="EI148" s="206"/>
      <c r="EJ148" s="207"/>
      <c r="EK148" s="207"/>
      <c r="EL148" s="208"/>
      <c r="EM148" s="209"/>
      <c r="EN148" s="207"/>
      <c r="EO148" s="210"/>
      <c r="EP148" s="209"/>
      <c r="EQ148" s="204"/>
      <c r="ER148" s="204"/>
      <c r="ES148" s="204"/>
      <c r="ET148" s="199"/>
      <c r="EU148" s="167"/>
      <c r="EV148" s="199"/>
      <c r="EW148" s="200"/>
      <c r="EX148" s="201"/>
      <c r="EY148" s="202"/>
      <c r="EZ148" s="202"/>
      <c r="FA148" s="202"/>
      <c r="FB148" s="202"/>
      <c r="FC148" s="203"/>
      <c r="FD148" s="204"/>
      <c r="FE148" s="204"/>
      <c r="FF148" s="204"/>
      <c r="FG148" s="205"/>
      <c r="FH148" s="206"/>
      <c r="FI148" s="207"/>
      <c r="FJ148" s="207"/>
      <c r="FK148" s="208"/>
      <c r="FL148" s="209"/>
      <c r="FM148" s="207"/>
      <c r="FN148" s="210"/>
      <c r="FO148" s="209"/>
      <c r="FP148" s="204"/>
      <c r="FQ148" s="204"/>
      <c r="FR148" s="204"/>
      <c r="FS148" s="199"/>
      <c r="FT148" s="167"/>
      <c r="FU148" s="199"/>
      <c r="FV148" s="200"/>
      <c r="FW148" s="201"/>
      <c r="FX148" s="202"/>
      <c r="FY148" s="202"/>
      <c r="FZ148" s="202"/>
      <c r="GA148" s="202"/>
      <c r="GB148" s="203"/>
      <c r="GC148" s="204"/>
      <c r="GD148" s="204"/>
      <c r="GE148" s="204"/>
      <c r="GF148" s="205"/>
      <c r="GG148" s="206"/>
      <c r="GH148" s="207"/>
      <c r="GI148" s="207"/>
      <c r="GJ148" s="208"/>
      <c r="GK148" s="209"/>
      <c r="GL148" s="207"/>
      <c r="GM148" s="210"/>
      <c r="GN148" s="209"/>
      <c r="GO148" s="204"/>
      <c r="GP148" s="204"/>
      <c r="GQ148" s="204"/>
      <c r="GR148" s="199"/>
      <c r="GS148" s="167"/>
      <c r="GT148" s="199"/>
      <c r="GU148" s="200"/>
      <c r="GV148" s="201"/>
      <c r="GW148" s="202"/>
      <c r="GX148" s="202"/>
      <c r="GY148" s="202"/>
      <c r="GZ148" s="202"/>
      <c r="HA148" s="203"/>
      <c r="HB148" s="204"/>
      <c r="HC148" s="204"/>
      <c r="HD148" s="204"/>
      <c r="HE148" s="205"/>
      <c r="HF148" s="206"/>
      <c r="HG148" s="207"/>
      <c r="HH148" s="207"/>
      <c r="HI148" s="208"/>
      <c r="HJ148" s="209"/>
      <c r="HK148" s="207"/>
      <c r="HL148" s="210"/>
      <c r="HM148" s="209"/>
      <c r="HN148" s="204"/>
      <c r="HO148" s="204"/>
      <c r="HP148" s="204"/>
      <c r="HQ148" s="199"/>
      <c r="HR148" s="167"/>
      <c r="HS148" s="199"/>
      <c r="HT148" s="200"/>
      <c r="HU148" s="201"/>
      <c r="HV148" s="202"/>
      <c r="HW148" s="202"/>
      <c r="HX148" s="202"/>
      <c r="HY148" s="202"/>
      <c r="HZ148" s="203"/>
      <c r="IA148" s="204"/>
      <c r="IB148" s="204"/>
      <c r="IC148" s="204"/>
      <c r="ID148" s="205"/>
      <c r="IE148" s="206"/>
      <c r="IF148" s="207"/>
      <c r="IG148" s="207"/>
      <c r="IH148" s="208"/>
      <c r="II148" s="209"/>
      <c r="IJ148" s="207"/>
      <c r="IK148" s="210"/>
      <c r="IL148" s="209"/>
      <c r="IM148" s="204"/>
      <c r="IN148" s="204"/>
      <c r="IO148" s="204"/>
      <c r="IP148" s="199"/>
      <c r="IQ148" s="167"/>
      <c r="IR148" s="199"/>
      <c r="IS148" s="200"/>
      <c r="IT148" s="201"/>
      <c r="IU148" s="202"/>
      <c r="IV148" s="202"/>
      <c r="IW148" s="202"/>
      <c r="IX148" s="202"/>
      <c r="IY148" s="203"/>
      <c r="IZ148" s="204"/>
      <c r="JA148" s="204"/>
      <c r="JB148" s="204"/>
      <c r="JC148" s="205"/>
      <c r="JD148" s="206"/>
      <c r="JE148" s="207"/>
      <c r="JF148" s="207"/>
      <c r="JG148" s="208"/>
      <c r="JH148" s="209"/>
      <c r="JI148" s="207"/>
      <c r="JJ148" s="210"/>
      <c r="JK148" s="209"/>
      <c r="JL148" s="204"/>
      <c r="JM148" s="204"/>
      <c r="JN148" s="204"/>
      <c r="JO148" s="199"/>
      <c r="JP148" s="167"/>
      <c r="JQ148" s="199"/>
      <c r="JR148" s="200"/>
      <c r="JS148" s="201"/>
      <c r="JT148" s="202"/>
      <c r="JU148" s="202"/>
      <c r="JV148" s="202"/>
      <c r="JW148" s="202"/>
      <c r="JX148" s="203"/>
      <c r="JY148" s="204"/>
      <c r="JZ148" s="204"/>
      <c r="KA148" s="204"/>
      <c r="KB148" s="205"/>
      <c r="KC148" s="206"/>
      <c r="KD148" s="207"/>
      <c r="KE148" s="207"/>
      <c r="KF148" s="208"/>
      <c r="KG148" s="209"/>
      <c r="KH148" s="207"/>
      <c r="KI148" s="210"/>
      <c r="KJ148" s="209"/>
      <c r="KK148" s="204"/>
      <c r="KL148" s="204"/>
      <c r="KM148" s="204"/>
      <c r="KN148" s="199"/>
      <c r="KO148" s="167"/>
      <c r="KP148" s="199"/>
      <c r="KQ148" s="200"/>
      <c r="KR148" s="201"/>
      <c r="KS148" s="202"/>
      <c r="KT148" s="202"/>
      <c r="KU148" s="202"/>
      <c r="KV148" s="202"/>
      <c r="KW148" s="203"/>
      <c r="KX148" s="204"/>
      <c r="KY148" s="204"/>
      <c r="KZ148" s="204"/>
      <c r="LA148" s="205"/>
      <c r="LB148" s="206"/>
      <c r="LC148" s="207"/>
      <c r="LD148" s="207"/>
      <c r="LE148" s="208"/>
      <c r="LF148" s="209"/>
      <c r="LG148" s="207"/>
      <c r="LH148" s="210"/>
      <c r="LI148" s="209"/>
      <c r="LJ148" s="204"/>
      <c r="LK148" s="204"/>
      <c r="LL148" s="204"/>
      <c r="LM148" s="199"/>
      <c r="LN148" s="167"/>
      <c r="LO148" s="199"/>
      <c r="LP148" s="200"/>
      <c r="LQ148" s="201"/>
      <c r="LR148" s="202"/>
      <c r="LS148" s="202"/>
      <c r="LT148" s="202"/>
      <c r="LU148" s="202"/>
      <c r="LV148" s="203"/>
      <c r="LW148" s="204"/>
      <c r="LX148" s="204"/>
      <c r="LY148" s="204"/>
      <c r="LZ148" s="205"/>
      <c r="MA148" s="206"/>
      <c r="MB148" s="207"/>
      <c r="MC148" s="207"/>
      <c r="MD148" s="208"/>
      <c r="ME148" s="209"/>
      <c r="MF148" s="207"/>
      <c r="MG148" s="210"/>
      <c r="MH148" s="209"/>
      <c r="MI148" s="204"/>
      <c r="MJ148" s="204"/>
      <c r="MK148" s="204"/>
      <c r="ML148" s="199"/>
      <c r="MM148" s="167"/>
      <c r="MN148" s="199"/>
      <c r="MO148" s="200"/>
      <c r="MP148" s="201"/>
      <c r="MQ148" s="202"/>
      <c r="MR148" s="202"/>
      <c r="MS148" s="202"/>
      <c r="MT148" s="202"/>
      <c r="MU148" s="203"/>
      <c r="MV148" s="204"/>
      <c r="MW148" s="204"/>
      <c r="MX148" s="204"/>
      <c r="MY148" s="205"/>
      <c r="MZ148" s="206"/>
      <c r="NA148" s="207"/>
      <c r="NB148" s="207"/>
      <c r="NC148" s="208"/>
      <c r="ND148" s="209"/>
      <c r="NE148" s="207"/>
      <c r="NF148" s="210"/>
      <c r="NG148" s="209"/>
      <c r="NH148" s="204"/>
      <c r="NI148" s="204"/>
      <c r="NJ148" s="204"/>
      <c r="NK148" s="199"/>
      <c r="NL148" s="167"/>
      <c r="NM148" s="199"/>
      <c r="NN148" s="200"/>
      <c r="NO148" s="201"/>
      <c r="NP148" s="202"/>
      <c r="NQ148" s="202"/>
      <c r="NR148" s="202"/>
      <c r="NS148" s="202"/>
      <c r="NT148" s="203"/>
      <c r="NU148" s="204"/>
      <c r="NV148" s="204"/>
      <c r="NW148" s="204"/>
      <c r="NX148" s="205"/>
      <c r="NY148" s="206"/>
      <c r="NZ148" s="207"/>
      <c r="OA148" s="207"/>
      <c r="OB148" s="208"/>
      <c r="OC148" s="209"/>
      <c r="OD148" s="207"/>
      <c r="OE148" s="210"/>
      <c r="OF148" s="209"/>
      <c r="OG148" s="204"/>
      <c r="OH148" s="204"/>
      <c r="OI148" s="204"/>
      <c r="OJ148" s="199"/>
      <c r="OK148" s="167"/>
      <c r="OL148" s="199"/>
      <c r="OM148" s="200"/>
      <c r="ON148" s="201"/>
      <c r="OO148" s="202"/>
      <c r="OP148" s="202"/>
      <c r="OQ148" s="202"/>
      <c r="OR148" s="202"/>
      <c r="OS148" s="203"/>
      <c r="OT148" s="204"/>
      <c r="OU148" s="204"/>
      <c r="OV148" s="204"/>
      <c r="OW148" s="205"/>
      <c r="OX148" s="206"/>
      <c r="OY148" s="207"/>
      <c r="OZ148" s="207"/>
      <c r="PA148" s="208"/>
      <c r="PB148" s="209"/>
      <c r="PC148" s="207"/>
      <c r="PD148" s="210"/>
      <c r="PE148" s="209"/>
      <c r="PF148" s="204"/>
      <c r="PG148" s="204"/>
      <c r="PH148" s="204"/>
      <c r="PI148" s="199"/>
      <c r="PJ148" s="167"/>
      <c r="PK148" s="199"/>
      <c r="PL148" s="200"/>
      <c r="PM148" s="201"/>
      <c r="PN148" s="202"/>
      <c r="PO148" s="202"/>
      <c r="PP148" s="202"/>
      <c r="PQ148" s="202"/>
      <c r="PR148" s="203"/>
      <c r="PS148" s="204"/>
      <c r="PT148" s="204"/>
      <c r="PU148" s="204"/>
      <c r="PV148" s="205"/>
      <c r="PW148" s="206"/>
      <c r="PX148" s="207"/>
      <c r="PY148" s="207"/>
      <c r="PZ148" s="208"/>
      <c r="QA148" s="209"/>
      <c r="QB148" s="207"/>
      <c r="QC148" s="210"/>
      <c r="QD148" s="209"/>
      <c r="QE148" s="204"/>
      <c r="QF148" s="204"/>
      <c r="QG148" s="204"/>
      <c r="QH148" s="199"/>
      <c r="QI148" s="167"/>
      <c r="QJ148" s="199"/>
      <c r="QK148" s="200"/>
      <c r="QL148" s="201"/>
      <c r="QM148" s="202"/>
      <c r="QN148" s="202"/>
      <c r="QO148" s="202"/>
      <c r="QP148" s="202"/>
      <c r="QQ148" s="203"/>
      <c r="QR148" s="204"/>
      <c r="QS148" s="204"/>
      <c r="QT148" s="204"/>
      <c r="QU148" s="205"/>
      <c r="QV148" s="206"/>
      <c r="QW148" s="207"/>
      <c r="QX148" s="207"/>
      <c r="QY148" s="208"/>
      <c r="QZ148" s="209"/>
      <c r="RA148" s="207"/>
      <c r="RB148" s="210"/>
      <c r="RC148" s="209"/>
      <c r="RD148" s="204"/>
      <c r="RE148" s="204"/>
      <c r="RF148" s="204"/>
      <c r="RG148" s="199"/>
      <c r="RH148" s="167"/>
      <c r="RI148" s="199"/>
      <c r="RJ148" s="200"/>
      <c r="RK148" s="201"/>
      <c r="RL148" s="202"/>
      <c r="RM148" s="202"/>
      <c r="RN148" s="202"/>
      <c r="RO148" s="202"/>
      <c r="RP148" s="203"/>
      <c r="RQ148" s="204"/>
      <c r="RR148" s="204"/>
      <c r="RS148" s="204"/>
      <c r="RT148" s="205"/>
      <c r="RU148" s="206"/>
      <c r="RV148" s="207"/>
      <c r="RW148" s="207"/>
      <c r="RX148" s="208"/>
      <c r="RY148" s="209"/>
      <c r="RZ148" s="207"/>
      <c r="SA148" s="210"/>
      <c r="SB148" s="209"/>
      <c r="SC148" s="204"/>
      <c r="SD148" s="204"/>
      <c r="SE148" s="204"/>
      <c r="SF148" s="199"/>
      <c r="SG148" s="167"/>
      <c r="SH148" s="199"/>
      <c r="SI148" s="200"/>
      <c r="SJ148" s="201"/>
      <c r="SK148" s="202"/>
      <c r="SL148" s="202"/>
      <c r="SM148" s="202"/>
      <c r="SN148" s="202"/>
      <c r="SO148" s="203"/>
      <c r="SP148" s="204"/>
      <c r="SQ148" s="204"/>
      <c r="SR148" s="204"/>
      <c r="SS148" s="205"/>
      <c r="ST148" s="206"/>
      <c r="SU148" s="207"/>
      <c r="SV148" s="207"/>
      <c r="SW148" s="208"/>
      <c r="SX148" s="209"/>
      <c r="SY148" s="207"/>
      <c r="SZ148" s="210"/>
      <c r="TA148" s="209"/>
      <c r="TB148" s="204"/>
      <c r="TC148" s="204"/>
      <c r="TD148" s="204"/>
      <c r="TE148" s="199"/>
      <c r="TF148" s="167"/>
      <c r="TG148" s="199"/>
      <c r="TH148" s="200"/>
      <c r="TI148" s="201"/>
      <c r="TJ148" s="202"/>
      <c r="TK148" s="202"/>
      <c r="TL148" s="202"/>
      <c r="TM148" s="202"/>
      <c r="TN148" s="203"/>
      <c r="TO148" s="204"/>
      <c r="TP148" s="204"/>
      <c r="TQ148" s="204"/>
      <c r="TR148" s="205"/>
      <c r="TS148" s="206"/>
      <c r="TT148" s="207"/>
      <c r="TU148" s="207"/>
      <c r="TV148" s="208"/>
      <c r="TW148" s="209"/>
      <c r="TX148" s="207"/>
      <c r="TY148" s="210"/>
      <c r="TZ148" s="209"/>
      <c r="UA148" s="204"/>
      <c r="UB148" s="204"/>
      <c r="UC148" s="204"/>
      <c r="UD148" s="199"/>
      <c r="UE148" s="167"/>
      <c r="UF148" s="199"/>
      <c r="UG148" s="200"/>
      <c r="UH148" s="201"/>
      <c r="UI148" s="202"/>
      <c r="UJ148" s="202"/>
      <c r="UK148" s="202"/>
      <c r="UL148" s="202"/>
      <c r="UM148" s="203"/>
      <c r="UN148" s="204"/>
      <c r="UO148" s="204"/>
      <c r="UP148" s="204"/>
      <c r="UQ148" s="205"/>
      <c r="UR148" s="206"/>
      <c r="US148" s="207"/>
      <c r="UT148" s="207"/>
      <c r="UU148" s="208"/>
      <c r="UV148" s="209"/>
      <c r="UW148" s="207"/>
      <c r="UX148" s="210"/>
      <c r="UY148" s="209"/>
      <c r="UZ148" s="204"/>
      <c r="VA148" s="204"/>
      <c r="VB148" s="204"/>
      <c r="VC148" s="199"/>
      <c r="VD148" s="167"/>
      <c r="VE148" s="199"/>
      <c r="VF148" s="200"/>
      <c r="VG148" s="201"/>
      <c r="VH148" s="202"/>
      <c r="VI148" s="202"/>
      <c r="VJ148" s="202"/>
      <c r="VK148" s="202"/>
      <c r="VL148" s="203"/>
      <c r="VM148" s="204"/>
      <c r="VN148" s="204"/>
      <c r="VO148" s="204"/>
      <c r="VP148" s="205"/>
      <c r="VQ148" s="206"/>
      <c r="VR148" s="207"/>
      <c r="VS148" s="207"/>
      <c r="VT148" s="208"/>
      <c r="VU148" s="209"/>
      <c r="VV148" s="207"/>
      <c r="VW148" s="210"/>
      <c r="VX148" s="209"/>
      <c r="VY148" s="204"/>
      <c r="VZ148" s="204"/>
      <c r="WA148" s="204"/>
      <c r="WB148" s="199"/>
      <c r="WC148" s="167"/>
      <c r="WD148" s="199"/>
      <c r="WE148" s="200"/>
      <c r="WF148" s="201"/>
      <c r="WG148" s="202"/>
      <c r="WH148" s="202"/>
      <c r="WI148" s="202"/>
      <c r="WJ148" s="202"/>
      <c r="WK148" s="203"/>
      <c r="WL148" s="204"/>
      <c r="WM148" s="204"/>
      <c r="WN148" s="204"/>
      <c r="WO148" s="205"/>
      <c r="WP148" s="206"/>
      <c r="WQ148" s="207"/>
      <c r="WR148" s="207"/>
      <c r="WS148" s="208"/>
      <c r="WT148" s="209"/>
      <c r="WU148" s="207"/>
      <c r="WV148" s="210"/>
      <c r="WW148" s="209"/>
      <c r="WX148" s="204"/>
      <c r="WY148" s="204"/>
      <c r="WZ148" s="204"/>
      <c r="XA148" s="199"/>
      <c r="XB148" s="167"/>
      <c r="XC148" s="199"/>
      <c r="XD148" s="200"/>
      <c r="XE148" s="201"/>
      <c r="XF148" s="202"/>
      <c r="XG148" s="202"/>
      <c r="XH148" s="202"/>
      <c r="XI148" s="202"/>
      <c r="XJ148" s="203"/>
      <c r="XK148" s="204"/>
      <c r="XL148" s="204"/>
      <c r="XM148" s="204"/>
      <c r="XN148" s="205"/>
      <c r="XO148" s="206"/>
      <c r="XP148" s="207"/>
      <c r="XQ148" s="207"/>
      <c r="XR148" s="208"/>
      <c r="XS148" s="209"/>
      <c r="XT148" s="207"/>
      <c r="XU148" s="210"/>
      <c r="XV148" s="209"/>
      <c r="XW148" s="204"/>
      <c r="XX148" s="204"/>
      <c r="XY148" s="204"/>
      <c r="XZ148" s="199"/>
      <c r="YA148" s="167"/>
      <c r="YB148" s="199"/>
      <c r="YC148" s="200"/>
      <c r="YD148" s="201"/>
      <c r="YE148" s="202"/>
      <c r="YF148" s="202"/>
      <c r="YG148" s="202"/>
      <c r="YH148" s="202"/>
      <c r="YI148" s="203"/>
      <c r="YJ148" s="204"/>
      <c r="YK148" s="204"/>
      <c r="YL148" s="204"/>
      <c r="YM148" s="205"/>
      <c r="YN148" s="206"/>
      <c r="YO148" s="207"/>
      <c r="YP148" s="207"/>
      <c r="YQ148" s="208"/>
      <c r="YR148" s="209"/>
      <c r="YS148" s="207"/>
      <c r="YT148" s="210"/>
      <c r="YU148" s="209"/>
      <c r="YV148" s="204"/>
      <c r="YW148" s="204"/>
      <c r="YX148" s="204"/>
      <c r="YY148" s="199"/>
      <c r="YZ148" s="167"/>
      <c r="ZA148" s="199"/>
      <c r="ZB148" s="200"/>
      <c r="ZC148" s="201"/>
      <c r="ZD148" s="202"/>
      <c r="ZE148" s="202"/>
      <c r="ZF148" s="202"/>
      <c r="ZG148" s="202"/>
      <c r="ZH148" s="203"/>
      <c r="ZI148" s="204"/>
      <c r="ZJ148" s="204"/>
      <c r="ZK148" s="204"/>
      <c r="ZL148" s="205"/>
      <c r="ZM148" s="206"/>
      <c r="ZN148" s="207"/>
      <c r="ZO148" s="207"/>
      <c r="ZP148" s="208"/>
      <c r="ZQ148" s="209"/>
      <c r="ZR148" s="207"/>
      <c r="ZS148" s="210"/>
      <c r="ZT148" s="209"/>
      <c r="ZU148" s="204"/>
      <c r="ZV148" s="204"/>
      <c r="ZW148" s="204"/>
      <c r="ZX148" s="199"/>
      <c r="ZY148" s="167"/>
      <c r="ZZ148" s="199"/>
      <c r="AAA148" s="200"/>
      <c r="AAB148" s="201"/>
      <c r="AAC148" s="202"/>
      <c r="AAD148" s="202"/>
      <c r="AAE148" s="202"/>
      <c r="AAF148" s="202"/>
      <c r="AAG148" s="203"/>
      <c r="AAH148" s="204"/>
      <c r="AAI148" s="204"/>
      <c r="AAJ148" s="204"/>
      <c r="AAK148" s="205"/>
      <c r="AAL148" s="206"/>
      <c r="AAM148" s="207"/>
      <c r="AAN148" s="207"/>
      <c r="AAO148" s="208"/>
      <c r="AAP148" s="209"/>
      <c r="AAQ148" s="207"/>
      <c r="AAR148" s="210"/>
      <c r="AAS148" s="209"/>
      <c r="AAT148" s="204"/>
      <c r="AAU148" s="204"/>
      <c r="AAV148" s="204"/>
      <c r="AAW148" s="199"/>
      <c r="AAX148" s="167"/>
      <c r="AAY148" s="199"/>
      <c r="AAZ148" s="200"/>
      <c r="ABA148" s="201"/>
      <c r="ABB148" s="202"/>
      <c r="ABC148" s="202"/>
      <c r="ABD148" s="202"/>
      <c r="ABE148" s="202"/>
      <c r="ABF148" s="203"/>
      <c r="ABG148" s="204"/>
      <c r="ABH148" s="204"/>
      <c r="ABI148" s="204"/>
      <c r="ABJ148" s="205"/>
      <c r="ABK148" s="206"/>
      <c r="ABL148" s="207"/>
      <c r="ABM148" s="207"/>
      <c r="ABN148" s="208"/>
      <c r="ABO148" s="209"/>
      <c r="ABP148" s="207"/>
      <c r="ABQ148" s="210"/>
      <c r="ABR148" s="209"/>
      <c r="ABS148" s="204"/>
      <c r="ABT148" s="204"/>
      <c r="ABU148" s="204"/>
      <c r="ABV148" s="199"/>
      <c r="ABW148" s="167"/>
      <c r="ABX148" s="199"/>
      <c r="ABY148" s="200"/>
      <c r="ABZ148" s="201"/>
      <c r="ACA148" s="202"/>
      <c r="ACB148" s="202"/>
      <c r="ACC148" s="202"/>
      <c r="ACD148" s="202"/>
      <c r="ACE148" s="203"/>
      <c r="ACF148" s="204"/>
      <c r="ACG148" s="204"/>
      <c r="ACH148" s="204"/>
      <c r="ACI148" s="205"/>
      <c r="ACJ148" s="206"/>
      <c r="ACK148" s="207"/>
      <c r="ACL148" s="207"/>
      <c r="ACM148" s="208"/>
      <c r="ACN148" s="209"/>
      <c r="ACO148" s="207"/>
      <c r="ACP148" s="210"/>
      <c r="ACQ148" s="209"/>
      <c r="ACR148" s="204"/>
      <c r="ACS148" s="204"/>
      <c r="ACT148" s="204"/>
      <c r="ACU148" s="199"/>
      <c r="ACV148" s="167"/>
      <c r="ACW148" s="199"/>
      <c r="ACX148" s="200"/>
      <c r="ACY148" s="201"/>
      <c r="ACZ148" s="202"/>
      <c r="ADA148" s="202"/>
      <c r="ADB148" s="202"/>
      <c r="ADC148" s="202"/>
      <c r="ADD148" s="203"/>
      <c r="ADE148" s="204"/>
      <c r="ADF148" s="204"/>
      <c r="ADG148" s="204"/>
      <c r="ADH148" s="205"/>
      <c r="ADI148" s="206"/>
      <c r="ADJ148" s="207"/>
      <c r="ADK148" s="207"/>
      <c r="ADL148" s="208"/>
      <c r="ADM148" s="209"/>
      <c r="ADN148" s="207"/>
      <c r="ADO148" s="210"/>
      <c r="ADP148" s="209"/>
      <c r="ADQ148" s="204"/>
      <c r="ADR148" s="204"/>
      <c r="ADS148" s="204"/>
      <c r="ADT148" s="199"/>
      <c r="ADU148" s="167"/>
      <c r="ADV148" s="199"/>
      <c r="ADW148" s="200"/>
      <c r="ADX148" s="201"/>
      <c r="ADY148" s="202"/>
      <c r="ADZ148" s="202"/>
      <c r="AEA148" s="202"/>
      <c r="AEB148" s="202"/>
      <c r="AEC148" s="203"/>
      <c r="AED148" s="204"/>
      <c r="AEE148" s="204"/>
      <c r="AEF148" s="204"/>
      <c r="AEG148" s="205"/>
      <c r="AEH148" s="206"/>
      <c r="AEI148" s="207"/>
      <c r="AEJ148" s="207"/>
      <c r="AEK148" s="208"/>
      <c r="AEL148" s="209"/>
      <c r="AEM148" s="207"/>
      <c r="AEN148" s="210"/>
      <c r="AEO148" s="209"/>
      <c r="AEP148" s="204"/>
      <c r="AEQ148" s="204"/>
      <c r="AER148" s="204"/>
      <c r="AES148" s="199"/>
      <c r="AET148" s="167"/>
      <c r="AEU148" s="199"/>
      <c r="AEV148" s="200"/>
      <c r="AEW148" s="201"/>
      <c r="AEX148" s="202"/>
      <c r="AEY148" s="202"/>
      <c r="AEZ148" s="202"/>
      <c r="AFA148" s="202"/>
      <c r="AFB148" s="203"/>
      <c r="AFC148" s="204"/>
      <c r="AFD148" s="204"/>
      <c r="AFE148" s="204"/>
      <c r="AFF148" s="205"/>
      <c r="AFG148" s="206"/>
      <c r="AFH148" s="207"/>
      <c r="AFI148" s="207"/>
      <c r="AFJ148" s="208"/>
      <c r="AFK148" s="209"/>
      <c r="AFL148" s="207"/>
      <c r="AFM148" s="210"/>
      <c r="AFN148" s="209"/>
      <c r="AFO148" s="204"/>
      <c r="AFP148" s="204"/>
      <c r="AFQ148" s="204"/>
      <c r="AFR148" s="199"/>
      <c r="AFS148" s="167"/>
      <c r="AFT148" s="199"/>
      <c r="AFU148" s="200"/>
      <c r="AFV148" s="201"/>
      <c r="AFW148" s="202"/>
      <c r="AFX148" s="202"/>
      <c r="AFY148" s="202"/>
      <c r="AFZ148" s="202"/>
      <c r="AGA148" s="203"/>
      <c r="AGB148" s="204"/>
      <c r="AGC148" s="204"/>
      <c r="AGD148" s="204"/>
      <c r="AGE148" s="205"/>
      <c r="AGF148" s="206"/>
      <c r="AGG148" s="207"/>
      <c r="AGH148" s="207"/>
      <c r="AGI148" s="208"/>
      <c r="AGJ148" s="209"/>
      <c r="AGK148" s="207"/>
      <c r="AGL148" s="210"/>
      <c r="AGM148" s="209"/>
      <c r="AGN148" s="204"/>
      <c r="AGO148" s="204"/>
      <c r="AGP148" s="204"/>
      <c r="AGQ148" s="199"/>
      <c r="AGR148" s="167"/>
      <c r="AGS148" s="199"/>
      <c r="AGT148" s="200"/>
      <c r="AGU148" s="201"/>
      <c r="AGV148" s="202"/>
      <c r="AGW148" s="202"/>
      <c r="AGX148" s="202"/>
      <c r="AGY148" s="202"/>
      <c r="AGZ148" s="203"/>
      <c r="AHA148" s="204"/>
      <c r="AHB148" s="204"/>
      <c r="AHC148" s="204"/>
      <c r="AHD148" s="205"/>
      <c r="AHE148" s="206"/>
      <c r="AHF148" s="207"/>
      <c r="AHG148" s="207"/>
      <c r="AHH148" s="208"/>
      <c r="AHI148" s="209"/>
      <c r="AHJ148" s="207"/>
      <c r="AHK148" s="210"/>
      <c r="AHL148" s="209"/>
      <c r="AHM148" s="204"/>
      <c r="AHN148" s="204"/>
      <c r="AHO148" s="204"/>
      <c r="AHP148" s="199"/>
      <c r="AHQ148" s="167"/>
      <c r="AHR148" s="199"/>
      <c r="AHS148" s="200"/>
      <c r="AHT148" s="201"/>
      <c r="AHU148" s="202"/>
      <c r="AHV148" s="202"/>
      <c r="AHW148" s="202"/>
      <c r="AHX148" s="202"/>
      <c r="AHY148" s="203"/>
      <c r="AHZ148" s="204"/>
      <c r="AIA148" s="204"/>
      <c r="AIB148" s="204"/>
      <c r="AIC148" s="205"/>
      <c r="AID148" s="206"/>
      <c r="AIE148" s="207"/>
      <c r="AIF148" s="207"/>
      <c r="AIG148" s="208"/>
      <c r="AIH148" s="209"/>
      <c r="AII148" s="207"/>
      <c r="AIJ148" s="210"/>
      <c r="AIK148" s="209"/>
      <c r="AIL148" s="204"/>
      <c r="AIM148" s="204"/>
      <c r="AIN148" s="204"/>
      <c r="AIO148" s="199"/>
      <c r="AIP148" s="167"/>
      <c r="AIQ148" s="199"/>
      <c r="AIR148" s="200"/>
      <c r="AIS148" s="201"/>
      <c r="AIT148" s="202"/>
      <c r="AIU148" s="202"/>
      <c r="AIV148" s="202"/>
      <c r="AIW148" s="202"/>
      <c r="AIX148" s="203"/>
      <c r="AIY148" s="204"/>
      <c r="AIZ148" s="204"/>
      <c r="AJA148" s="204"/>
      <c r="AJB148" s="205"/>
      <c r="AJC148" s="206"/>
      <c r="AJD148" s="207"/>
      <c r="AJE148" s="207"/>
      <c r="AJF148" s="208"/>
      <c r="AJG148" s="209"/>
      <c r="AJH148" s="207"/>
      <c r="AJI148" s="210"/>
      <c r="AJJ148" s="209"/>
      <c r="AJK148" s="204"/>
      <c r="AJL148" s="204"/>
      <c r="AJM148" s="204"/>
      <c r="AJN148" s="199"/>
      <c r="AJO148" s="167"/>
      <c r="AJP148" s="199"/>
      <c r="AJQ148" s="200"/>
      <c r="AJR148" s="201"/>
      <c r="AJS148" s="202"/>
      <c r="AJT148" s="202"/>
      <c r="AJU148" s="202"/>
      <c r="AJV148" s="202"/>
      <c r="AJW148" s="203"/>
      <c r="AJX148" s="204"/>
      <c r="AJY148" s="204"/>
      <c r="AJZ148" s="204"/>
      <c r="AKA148" s="205"/>
      <c r="AKB148" s="206"/>
      <c r="AKC148" s="207"/>
      <c r="AKD148" s="207"/>
      <c r="AKE148" s="208"/>
      <c r="AKF148" s="209"/>
      <c r="AKG148" s="207"/>
      <c r="AKH148" s="210"/>
      <c r="AKI148" s="209"/>
      <c r="AKJ148" s="204"/>
      <c r="AKK148" s="204"/>
      <c r="AKL148" s="204"/>
      <c r="AKM148" s="199"/>
      <c r="AKN148" s="167"/>
      <c r="AKO148" s="199"/>
      <c r="AKP148" s="200"/>
      <c r="AKQ148" s="201"/>
      <c r="AKR148" s="202"/>
      <c r="AKS148" s="202"/>
      <c r="AKT148" s="202"/>
      <c r="AKU148" s="202"/>
      <c r="AKV148" s="203"/>
      <c r="AKW148" s="204"/>
      <c r="AKX148" s="204"/>
      <c r="AKY148" s="204"/>
      <c r="AKZ148" s="205"/>
      <c r="ALA148" s="206"/>
      <c r="ALB148" s="207"/>
      <c r="ALC148" s="207"/>
      <c r="ALD148" s="208"/>
      <c r="ALE148" s="209"/>
      <c r="ALF148" s="207"/>
      <c r="ALG148" s="210"/>
      <c r="ALH148" s="209"/>
      <c r="ALI148" s="204"/>
      <c r="ALJ148" s="204"/>
      <c r="ALK148" s="204"/>
      <c r="ALL148" s="199"/>
      <c r="ALM148" s="167"/>
      <c r="ALN148" s="199"/>
      <c r="ALO148" s="200"/>
      <c r="ALP148" s="201"/>
      <c r="ALQ148" s="202"/>
      <c r="ALR148" s="202"/>
      <c r="ALS148" s="202"/>
      <c r="ALT148" s="202"/>
      <c r="ALU148" s="203"/>
      <c r="ALV148" s="204"/>
      <c r="ALW148" s="204"/>
      <c r="ALX148" s="204"/>
      <c r="ALY148" s="205"/>
      <c r="ALZ148" s="206"/>
      <c r="AMA148" s="207"/>
      <c r="AMB148" s="207"/>
      <c r="AMC148" s="208"/>
      <c r="AMD148" s="209"/>
      <c r="AME148" s="207"/>
      <c r="AMF148" s="210"/>
      <c r="AMG148" s="209"/>
      <c r="AMH148" s="204"/>
      <c r="AMI148" s="204"/>
      <c r="AMJ148" s="204"/>
      <c r="AMK148" s="199"/>
      <c r="AML148" s="167"/>
      <c r="AMM148" s="199"/>
      <c r="AMN148" s="200"/>
      <c r="AMO148" s="201"/>
      <c r="AMP148" s="202"/>
      <c r="AMQ148" s="202"/>
      <c r="AMR148" s="202"/>
      <c r="AMS148" s="202"/>
      <c r="AMT148" s="203"/>
      <c r="AMU148" s="204"/>
      <c r="AMV148" s="204"/>
      <c r="AMW148" s="204"/>
      <c r="AMX148" s="205"/>
      <c r="AMY148" s="206"/>
      <c r="AMZ148" s="207"/>
      <c r="ANA148" s="207"/>
      <c r="ANB148" s="208"/>
      <c r="ANC148" s="209"/>
      <c r="AND148" s="207"/>
      <c r="ANE148" s="210"/>
      <c r="ANF148" s="209"/>
      <c r="ANG148" s="204"/>
      <c r="ANH148" s="204"/>
      <c r="ANI148" s="204"/>
      <c r="ANJ148" s="199"/>
      <c r="ANK148" s="167"/>
      <c r="ANL148" s="199"/>
      <c r="ANM148" s="200"/>
      <c r="ANN148" s="201"/>
      <c r="ANO148" s="202"/>
      <c r="ANP148" s="202"/>
      <c r="ANQ148" s="202"/>
      <c r="ANR148" s="202"/>
      <c r="ANS148" s="203"/>
      <c r="ANT148" s="204"/>
      <c r="ANU148" s="204"/>
      <c r="ANV148" s="204"/>
      <c r="ANW148" s="205"/>
      <c r="ANX148" s="206"/>
      <c r="ANY148" s="207"/>
      <c r="ANZ148" s="207"/>
      <c r="AOA148" s="208"/>
      <c r="AOB148" s="209"/>
      <c r="AOC148" s="207"/>
      <c r="AOD148" s="210"/>
      <c r="AOE148" s="209"/>
      <c r="AOF148" s="204"/>
      <c r="AOG148" s="204"/>
      <c r="AOH148" s="204"/>
      <c r="AOI148" s="199"/>
      <c r="AOJ148" s="167"/>
      <c r="AOK148" s="199"/>
      <c r="AOL148" s="200"/>
      <c r="AOM148" s="201"/>
      <c r="AON148" s="202"/>
      <c r="AOO148" s="202"/>
      <c r="AOP148" s="202"/>
      <c r="AOQ148" s="202"/>
      <c r="AOR148" s="203"/>
      <c r="AOS148" s="204"/>
      <c r="AOT148" s="204"/>
      <c r="AOU148" s="204"/>
      <c r="AOV148" s="205"/>
      <c r="AOW148" s="206"/>
      <c r="AOX148" s="207"/>
      <c r="AOY148" s="207"/>
      <c r="AOZ148" s="208"/>
      <c r="APA148" s="209"/>
      <c r="APB148" s="207"/>
      <c r="APC148" s="210"/>
      <c r="APD148" s="209"/>
      <c r="APE148" s="204"/>
      <c r="APF148" s="204"/>
      <c r="APG148" s="204"/>
      <c r="APH148" s="199"/>
      <c r="API148" s="167"/>
      <c r="APJ148" s="199"/>
      <c r="APK148" s="200"/>
      <c r="APL148" s="201"/>
      <c r="APM148" s="202"/>
      <c r="APN148" s="202"/>
      <c r="APO148" s="202"/>
      <c r="APP148" s="202"/>
      <c r="APQ148" s="203"/>
      <c r="APR148" s="204"/>
      <c r="APS148" s="204"/>
      <c r="APT148" s="204"/>
      <c r="APU148" s="205"/>
      <c r="APV148" s="206"/>
      <c r="APW148" s="207"/>
      <c r="APX148" s="207"/>
      <c r="APY148" s="208"/>
      <c r="APZ148" s="209"/>
      <c r="AQA148" s="207"/>
      <c r="AQB148" s="210"/>
      <c r="AQC148" s="209"/>
      <c r="AQD148" s="204"/>
      <c r="AQE148" s="204"/>
      <c r="AQF148" s="204"/>
      <c r="AQG148" s="199"/>
      <c r="AQH148" s="167"/>
      <c r="AQI148" s="199"/>
      <c r="AQJ148" s="200"/>
      <c r="AQK148" s="201"/>
      <c r="AQL148" s="202"/>
      <c r="AQM148" s="202"/>
      <c r="AQN148" s="202"/>
      <c r="AQO148" s="202"/>
      <c r="AQP148" s="203"/>
      <c r="AQQ148" s="204"/>
      <c r="AQR148" s="204"/>
      <c r="AQS148" s="204"/>
      <c r="AQT148" s="205"/>
      <c r="AQU148" s="206"/>
      <c r="AQV148" s="207"/>
      <c r="AQW148" s="207"/>
      <c r="AQX148" s="208"/>
      <c r="AQY148" s="209"/>
      <c r="AQZ148" s="207"/>
      <c r="ARA148" s="210"/>
      <c r="ARB148" s="209"/>
      <c r="ARC148" s="204"/>
      <c r="ARD148" s="204"/>
      <c r="ARE148" s="204"/>
      <c r="ARF148" s="199"/>
      <c r="ARG148" s="167"/>
      <c r="ARH148" s="199"/>
      <c r="ARI148" s="200"/>
      <c r="ARJ148" s="201"/>
      <c r="ARK148" s="202"/>
      <c r="ARL148" s="202"/>
      <c r="ARM148" s="202"/>
      <c r="ARN148" s="202"/>
      <c r="ARO148" s="203"/>
      <c r="ARP148" s="204"/>
      <c r="ARQ148" s="204"/>
      <c r="ARR148" s="204"/>
      <c r="ARS148" s="205"/>
      <c r="ART148" s="206"/>
      <c r="ARU148" s="207"/>
      <c r="ARV148" s="207"/>
      <c r="ARW148" s="208"/>
      <c r="ARX148" s="209"/>
      <c r="ARY148" s="207"/>
      <c r="ARZ148" s="210"/>
      <c r="ASA148" s="209"/>
      <c r="ASB148" s="204"/>
      <c r="ASC148" s="204"/>
      <c r="ASD148" s="204"/>
      <c r="ASE148" s="199"/>
      <c r="ASF148" s="167"/>
      <c r="ASG148" s="199"/>
      <c r="ASH148" s="200"/>
      <c r="ASI148" s="201"/>
      <c r="ASJ148" s="202"/>
      <c r="ASK148" s="202"/>
      <c r="ASL148" s="202"/>
      <c r="ASM148" s="202"/>
      <c r="ASN148" s="203"/>
      <c r="ASO148" s="204"/>
      <c r="ASP148" s="204"/>
      <c r="ASQ148" s="204"/>
      <c r="ASR148" s="205"/>
      <c r="ASS148" s="206"/>
      <c r="AST148" s="207"/>
      <c r="ASU148" s="207"/>
      <c r="ASV148" s="208"/>
      <c r="ASW148" s="209"/>
      <c r="ASX148" s="207"/>
      <c r="ASY148" s="210"/>
      <c r="ASZ148" s="209"/>
      <c r="ATA148" s="204"/>
      <c r="ATB148" s="204"/>
      <c r="ATC148" s="204"/>
      <c r="ATD148" s="199"/>
      <c r="ATE148" s="167"/>
      <c r="ATF148" s="199"/>
      <c r="ATG148" s="200"/>
      <c r="ATH148" s="201"/>
      <c r="ATI148" s="202"/>
      <c r="ATJ148" s="202"/>
      <c r="ATK148" s="202"/>
      <c r="ATL148" s="202"/>
      <c r="ATM148" s="203"/>
      <c r="ATN148" s="204"/>
      <c r="ATO148" s="204"/>
      <c r="ATP148" s="204"/>
      <c r="ATQ148" s="205"/>
      <c r="ATR148" s="206"/>
      <c r="ATS148" s="207"/>
      <c r="ATT148" s="207"/>
      <c r="ATU148" s="208"/>
      <c r="ATV148" s="209"/>
      <c r="ATW148" s="207"/>
      <c r="ATX148" s="210"/>
      <c r="ATY148" s="209"/>
      <c r="ATZ148" s="204"/>
      <c r="AUA148" s="204"/>
      <c r="AUB148" s="204"/>
      <c r="AUC148" s="199"/>
      <c r="AUD148" s="167"/>
      <c r="AUE148" s="199"/>
      <c r="AUF148" s="200"/>
      <c r="AUG148" s="201"/>
      <c r="AUH148" s="202"/>
      <c r="AUI148" s="202"/>
      <c r="AUJ148" s="202"/>
      <c r="AUK148" s="202"/>
      <c r="AUL148" s="203"/>
      <c r="AUM148" s="204"/>
      <c r="AUN148" s="204"/>
      <c r="AUO148" s="204"/>
      <c r="AUP148" s="205"/>
      <c r="AUQ148" s="206"/>
      <c r="AUR148" s="207"/>
      <c r="AUS148" s="207"/>
      <c r="AUT148" s="208"/>
      <c r="AUU148" s="209"/>
      <c r="AUV148" s="207"/>
      <c r="AUW148" s="210"/>
      <c r="AUX148" s="209"/>
      <c r="AUY148" s="204"/>
      <c r="AUZ148" s="204"/>
      <c r="AVA148" s="204"/>
      <c r="AVB148" s="199"/>
      <c r="AVC148" s="167"/>
      <c r="AVD148" s="199"/>
      <c r="AVE148" s="200"/>
      <c r="AVF148" s="201"/>
      <c r="AVG148" s="202"/>
      <c r="AVH148" s="202"/>
      <c r="AVI148" s="202"/>
      <c r="AVJ148" s="202"/>
      <c r="AVK148" s="203"/>
      <c r="AVL148" s="204"/>
      <c r="AVM148" s="204"/>
      <c r="AVN148" s="204"/>
      <c r="AVO148" s="205"/>
      <c r="AVP148" s="206"/>
      <c r="AVQ148" s="207"/>
      <c r="AVR148" s="207"/>
      <c r="AVS148" s="208"/>
      <c r="AVT148" s="209"/>
      <c r="AVU148" s="207"/>
      <c r="AVV148" s="210"/>
      <c r="AVW148" s="209"/>
      <c r="AVX148" s="204"/>
      <c r="AVY148" s="204"/>
      <c r="AVZ148" s="204"/>
      <c r="AWA148" s="199"/>
      <c r="AWB148" s="167"/>
      <c r="AWC148" s="199"/>
      <c r="AWD148" s="200"/>
      <c r="AWE148" s="201"/>
      <c r="AWF148" s="202"/>
      <c r="AWG148" s="202"/>
      <c r="AWH148" s="202"/>
      <c r="AWI148" s="202"/>
      <c r="AWJ148" s="203"/>
      <c r="AWK148" s="204"/>
      <c r="AWL148" s="204"/>
      <c r="AWM148" s="204"/>
      <c r="AWN148" s="205"/>
      <c r="AWO148" s="206"/>
      <c r="AWP148" s="207"/>
      <c r="AWQ148" s="207"/>
      <c r="AWR148" s="208"/>
      <c r="AWS148" s="209"/>
      <c r="AWT148" s="207"/>
      <c r="AWU148" s="210"/>
      <c r="AWV148" s="209"/>
      <c r="AWW148" s="204"/>
      <c r="AWX148" s="204"/>
      <c r="AWY148" s="204"/>
      <c r="AWZ148" s="199"/>
      <c r="AXA148" s="167"/>
      <c r="AXB148" s="199"/>
      <c r="AXC148" s="200"/>
      <c r="AXD148" s="201"/>
      <c r="AXE148" s="202"/>
      <c r="AXF148" s="202"/>
      <c r="AXG148" s="202"/>
      <c r="AXH148" s="202"/>
      <c r="AXI148" s="203"/>
      <c r="AXJ148" s="204"/>
      <c r="AXK148" s="204"/>
      <c r="AXL148" s="204"/>
      <c r="AXM148" s="205"/>
      <c r="AXN148" s="206"/>
      <c r="AXO148" s="207"/>
      <c r="AXP148" s="207"/>
      <c r="AXQ148" s="208"/>
      <c r="AXR148" s="209"/>
      <c r="AXS148" s="207"/>
      <c r="AXT148" s="210"/>
      <c r="AXU148" s="209"/>
      <c r="AXV148" s="204"/>
      <c r="AXW148" s="204"/>
      <c r="AXX148" s="204"/>
      <c r="AXY148" s="199"/>
      <c r="AXZ148" s="167"/>
      <c r="AYA148" s="199"/>
      <c r="AYB148" s="200"/>
      <c r="AYC148" s="201"/>
      <c r="AYD148" s="202"/>
      <c r="AYE148" s="202"/>
      <c r="AYF148" s="202"/>
      <c r="AYG148" s="202"/>
      <c r="AYH148" s="203"/>
      <c r="AYI148" s="204"/>
      <c r="AYJ148" s="204"/>
      <c r="AYK148" s="204"/>
      <c r="AYL148" s="205"/>
      <c r="AYM148" s="206"/>
      <c r="AYN148" s="207"/>
      <c r="AYO148" s="207"/>
      <c r="AYP148" s="208"/>
      <c r="AYQ148" s="209"/>
      <c r="AYR148" s="207"/>
      <c r="AYS148" s="210"/>
      <c r="AYT148" s="209"/>
      <c r="AYU148" s="204"/>
      <c r="AYV148" s="204"/>
      <c r="AYW148" s="204"/>
      <c r="AYX148" s="199"/>
      <c r="AYY148" s="167"/>
      <c r="AYZ148" s="199"/>
      <c r="AZA148" s="200"/>
      <c r="AZB148" s="201"/>
      <c r="AZC148" s="202"/>
      <c r="AZD148" s="202"/>
      <c r="AZE148" s="202"/>
      <c r="AZF148" s="202"/>
      <c r="AZG148" s="203"/>
      <c r="AZH148" s="204"/>
      <c r="AZI148" s="204"/>
      <c r="AZJ148" s="204"/>
      <c r="AZK148" s="205"/>
      <c r="AZL148" s="206"/>
      <c r="AZM148" s="207"/>
      <c r="AZN148" s="207"/>
      <c r="AZO148" s="208"/>
      <c r="AZP148" s="209"/>
      <c r="AZQ148" s="207"/>
      <c r="AZR148" s="210"/>
      <c r="AZS148" s="209"/>
      <c r="AZT148" s="204"/>
      <c r="AZU148" s="204"/>
      <c r="AZV148" s="204"/>
      <c r="AZW148" s="199"/>
      <c r="AZX148" s="167"/>
      <c r="AZY148" s="199"/>
      <c r="AZZ148" s="200"/>
      <c r="BAA148" s="201"/>
      <c r="BAB148" s="202"/>
      <c r="BAC148" s="202"/>
      <c r="BAD148" s="202"/>
      <c r="BAE148" s="202"/>
      <c r="BAF148" s="203"/>
      <c r="BAG148" s="204"/>
      <c r="BAH148" s="204"/>
      <c r="BAI148" s="204"/>
      <c r="BAJ148" s="205"/>
      <c r="BAK148" s="206"/>
      <c r="BAL148" s="207"/>
      <c r="BAM148" s="207"/>
      <c r="BAN148" s="208"/>
      <c r="BAO148" s="209"/>
      <c r="BAP148" s="207"/>
      <c r="BAQ148" s="210"/>
      <c r="BAR148" s="209"/>
      <c r="BAS148" s="204"/>
      <c r="BAT148" s="204"/>
      <c r="BAU148" s="204"/>
      <c r="BAV148" s="199"/>
      <c r="BAW148" s="167"/>
      <c r="BAX148" s="199"/>
      <c r="BAY148" s="200"/>
      <c r="BAZ148" s="201"/>
      <c r="BBA148" s="202"/>
      <c r="BBB148" s="202"/>
      <c r="BBC148" s="202"/>
      <c r="BBD148" s="202"/>
      <c r="BBE148" s="203"/>
      <c r="BBF148" s="204"/>
      <c r="BBG148" s="204"/>
      <c r="BBH148" s="204"/>
      <c r="BBI148" s="205"/>
      <c r="BBJ148" s="206"/>
      <c r="BBK148" s="207"/>
      <c r="BBL148" s="207"/>
      <c r="BBM148" s="208"/>
      <c r="BBN148" s="209"/>
      <c r="BBO148" s="207"/>
      <c r="BBP148" s="210"/>
      <c r="BBQ148" s="209"/>
      <c r="BBR148" s="204"/>
      <c r="BBS148" s="204"/>
      <c r="BBT148" s="204"/>
      <c r="BBU148" s="199"/>
      <c r="BBV148" s="167"/>
      <c r="BBW148" s="199"/>
      <c r="BBX148" s="200"/>
      <c r="BBY148" s="201"/>
      <c r="BBZ148" s="202"/>
      <c r="BCA148" s="202"/>
      <c r="BCB148" s="202"/>
      <c r="BCC148" s="202"/>
      <c r="BCD148" s="203"/>
      <c r="BCE148" s="204"/>
      <c r="BCF148" s="204"/>
      <c r="BCG148" s="204"/>
      <c r="BCH148" s="205"/>
      <c r="BCI148" s="206"/>
      <c r="BCJ148" s="207"/>
      <c r="BCK148" s="207"/>
      <c r="BCL148" s="208"/>
      <c r="BCM148" s="209"/>
      <c r="BCN148" s="207"/>
      <c r="BCO148" s="210"/>
      <c r="BCP148" s="209"/>
      <c r="BCQ148" s="204"/>
      <c r="BCR148" s="204"/>
      <c r="BCS148" s="204"/>
      <c r="BCT148" s="199"/>
      <c r="BCU148" s="167"/>
      <c r="BCV148" s="199"/>
      <c r="BCW148" s="200"/>
      <c r="BCX148" s="201"/>
      <c r="BCY148" s="202"/>
      <c r="BCZ148" s="202"/>
      <c r="BDA148" s="202"/>
      <c r="BDB148" s="202"/>
      <c r="BDC148" s="203"/>
      <c r="BDD148" s="204"/>
      <c r="BDE148" s="204"/>
      <c r="BDF148" s="204"/>
      <c r="BDG148" s="205"/>
      <c r="BDH148" s="206"/>
      <c r="BDI148" s="207"/>
      <c r="BDJ148" s="207"/>
      <c r="BDK148" s="208"/>
      <c r="BDL148" s="209"/>
      <c r="BDM148" s="207"/>
      <c r="BDN148" s="210"/>
      <c r="BDO148" s="209"/>
      <c r="BDP148" s="204"/>
      <c r="BDQ148" s="204"/>
      <c r="BDR148" s="204"/>
      <c r="BDS148" s="199"/>
      <c r="BDT148" s="167"/>
      <c r="BDU148" s="199"/>
      <c r="BDV148" s="200"/>
      <c r="BDW148" s="201"/>
      <c r="BDX148" s="202"/>
      <c r="BDY148" s="202"/>
      <c r="BDZ148" s="202"/>
      <c r="BEA148" s="202"/>
      <c r="BEB148" s="203"/>
      <c r="BEC148" s="204"/>
      <c r="BED148" s="204"/>
      <c r="BEE148" s="204"/>
      <c r="BEF148" s="205"/>
      <c r="BEG148" s="206"/>
      <c r="BEH148" s="207"/>
      <c r="BEI148" s="207"/>
      <c r="BEJ148" s="208"/>
      <c r="BEK148" s="209"/>
      <c r="BEL148" s="207"/>
      <c r="BEM148" s="210"/>
      <c r="BEN148" s="209"/>
      <c r="BEO148" s="204"/>
      <c r="BEP148" s="204"/>
      <c r="BEQ148" s="204"/>
      <c r="BER148" s="199"/>
      <c r="BES148" s="167"/>
      <c r="BET148" s="199"/>
      <c r="BEU148" s="200"/>
      <c r="BEV148" s="201"/>
      <c r="BEW148" s="202"/>
      <c r="BEX148" s="202"/>
      <c r="BEY148" s="202"/>
      <c r="BEZ148" s="202"/>
      <c r="BFA148" s="203"/>
      <c r="BFB148" s="204"/>
      <c r="BFC148" s="204"/>
      <c r="BFD148" s="204"/>
      <c r="BFE148" s="205"/>
      <c r="BFF148" s="206"/>
      <c r="BFG148" s="207"/>
      <c r="BFH148" s="207"/>
      <c r="BFI148" s="208"/>
      <c r="BFJ148" s="209"/>
      <c r="BFK148" s="207"/>
      <c r="BFL148" s="210"/>
      <c r="BFM148" s="209"/>
      <c r="BFN148" s="204"/>
      <c r="BFO148" s="204"/>
      <c r="BFP148" s="204"/>
      <c r="BFQ148" s="199"/>
      <c r="BFR148" s="167"/>
      <c r="BFS148" s="199"/>
      <c r="BFT148" s="200"/>
      <c r="BFU148" s="201"/>
      <c r="BFV148" s="202"/>
      <c r="BFW148" s="202"/>
      <c r="BFX148" s="202"/>
      <c r="BFY148" s="202"/>
      <c r="BFZ148" s="203"/>
      <c r="BGA148" s="204"/>
      <c r="BGB148" s="204"/>
      <c r="BGC148" s="204"/>
      <c r="BGD148" s="205"/>
      <c r="BGE148" s="206"/>
      <c r="BGF148" s="207"/>
      <c r="BGG148" s="207"/>
      <c r="BGH148" s="208"/>
      <c r="BGI148" s="209"/>
      <c r="BGJ148" s="207"/>
      <c r="BGK148" s="210"/>
      <c r="BGL148" s="209"/>
      <c r="BGM148" s="204"/>
      <c r="BGN148" s="204"/>
      <c r="BGO148" s="204"/>
      <c r="BGP148" s="199"/>
      <c r="BGQ148" s="167"/>
      <c r="BGR148" s="199"/>
      <c r="BGS148" s="200"/>
      <c r="BGT148" s="201"/>
      <c r="BGU148" s="202"/>
      <c r="BGV148" s="202"/>
      <c r="BGW148" s="202"/>
      <c r="BGX148" s="202"/>
      <c r="BGY148" s="203"/>
      <c r="BGZ148" s="204"/>
      <c r="BHA148" s="204"/>
      <c r="BHB148" s="204"/>
      <c r="BHC148" s="205"/>
      <c r="BHD148" s="206"/>
      <c r="BHE148" s="207"/>
      <c r="BHF148" s="207"/>
      <c r="BHG148" s="208"/>
      <c r="BHH148" s="209"/>
      <c r="BHI148" s="207"/>
      <c r="BHJ148" s="210"/>
      <c r="BHK148" s="209"/>
      <c r="BHL148" s="204"/>
      <c r="BHM148" s="204"/>
      <c r="BHN148" s="204"/>
      <c r="BHO148" s="199"/>
      <c r="BHP148" s="167"/>
      <c r="BHQ148" s="199"/>
      <c r="BHR148" s="200"/>
      <c r="BHS148" s="201"/>
      <c r="BHT148" s="202"/>
      <c r="BHU148" s="202"/>
      <c r="BHV148" s="202"/>
      <c r="BHW148" s="202"/>
      <c r="BHX148" s="203"/>
      <c r="BHY148" s="204"/>
      <c r="BHZ148" s="204"/>
      <c r="BIA148" s="204"/>
      <c r="BIB148" s="205"/>
      <c r="BIC148" s="206"/>
      <c r="BID148" s="207"/>
      <c r="BIE148" s="207"/>
      <c r="BIF148" s="208"/>
      <c r="BIG148" s="209"/>
      <c r="BIH148" s="207"/>
      <c r="BII148" s="210"/>
      <c r="BIJ148" s="209"/>
      <c r="BIK148" s="204"/>
      <c r="BIL148" s="204"/>
      <c r="BIM148" s="204"/>
      <c r="BIN148" s="199"/>
      <c r="BIO148" s="167"/>
      <c r="BIP148" s="199"/>
      <c r="BIQ148" s="200"/>
      <c r="BIR148" s="201"/>
      <c r="BIS148" s="202"/>
      <c r="BIT148" s="202"/>
      <c r="BIU148" s="202"/>
      <c r="BIV148" s="202"/>
      <c r="BIW148" s="203"/>
      <c r="BIX148" s="204"/>
      <c r="BIY148" s="204"/>
      <c r="BIZ148" s="204"/>
      <c r="BJA148" s="205"/>
      <c r="BJB148" s="206"/>
      <c r="BJC148" s="207"/>
      <c r="BJD148" s="207"/>
      <c r="BJE148" s="208"/>
      <c r="BJF148" s="209"/>
      <c r="BJG148" s="207"/>
      <c r="BJH148" s="210"/>
      <c r="BJI148" s="209"/>
      <c r="BJJ148" s="204"/>
      <c r="BJK148" s="204"/>
      <c r="BJL148" s="204"/>
      <c r="BJM148" s="199"/>
      <c r="BJN148" s="167"/>
      <c r="BJO148" s="199"/>
      <c r="BJP148" s="200"/>
      <c r="BJQ148" s="201"/>
      <c r="BJR148" s="202"/>
      <c r="BJS148" s="202"/>
      <c r="BJT148" s="202"/>
      <c r="BJU148" s="202"/>
      <c r="BJV148" s="203"/>
      <c r="BJW148" s="204"/>
      <c r="BJX148" s="204"/>
      <c r="BJY148" s="204"/>
      <c r="BJZ148" s="205"/>
      <c r="BKA148" s="206"/>
      <c r="BKB148" s="207"/>
      <c r="BKC148" s="207"/>
      <c r="BKD148" s="208"/>
      <c r="BKE148" s="209"/>
      <c r="BKF148" s="207"/>
      <c r="BKG148" s="210"/>
      <c r="BKH148" s="209"/>
      <c r="BKI148" s="204"/>
      <c r="BKJ148" s="204"/>
      <c r="BKK148" s="204"/>
      <c r="BKL148" s="199"/>
      <c r="BKM148" s="167"/>
      <c r="BKN148" s="199"/>
      <c r="BKO148" s="200"/>
      <c r="BKP148" s="201"/>
      <c r="BKQ148" s="202"/>
      <c r="BKR148" s="202"/>
      <c r="BKS148" s="202"/>
      <c r="BKT148" s="202"/>
      <c r="BKU148" s="203"/>
      <c r="BKV148" s="204"/>
      <c r="BKW148" s="204"/>
      <c r="BKX148" s="204"/>
      <c r="BKY148" s="205"/>
      <c r="BKZ148" s="206"/>
      <c r="BLA148" s="207"/>
      <c r="BLB148" s="207"/>
      <c r="BLC148" s="208"/>
      <c r="BLD148" s="209"/>
      <c r="BLE148" s="207"/>
      <c r="BLF148" s="210"/>
      <c r="BLG148" s="209"/>
      <c r="BLH148" s="204"/>
      <c r="BLI148" s="204"/>
      <c r="BLJ148" s="204"/>
      <c r="BLK148" s="199"/>
      <c r="BLL148" s="167"/>
      <c r="BLM148" s="199"/>
      <c r="BLN148" s="200"/>
      <c r="BLO148" s="201"/>
      <c r="BLP148" s="202"/>
      <c r="BLQ148" s="202"/>
      <c r="BLR148" s="202"/>
      <c r="BLS148" s="202"/>
      <c r="BLT148" s="203"/>
      <c r="BLU148" s="204"/>
      <c r="BLV148" s="204"/>
      <c r="BLW148" s="204"/>
      <c r="BLX148" s="205"/>
      <c r="BLY148" s="206"/>
      <c r="BLZ148" s="207"/>
      <c r="BMA148" s="207"/>
      <c r="BMB148" s="208"/>
      <c r="BMC148" s="209"/>
      <c r="BMD148" s="207"/>
      <c r="BME148" s="210"/>
      <c r="BMF148" s="209"/>
      <c r="BMG148" s="204"/>
      <c r="BMH148" s="204"/>
      <c r="BMI148" s="204"/>
      <c r="BMJ148" s="199"/>
      <c r="BMK148" s="167"/>
      <c r="BML148" s="199"/>
      <c r="BMM148" s="200"/>
      <c r="BMN148" s="201"/>
      <c r="BMO148" s="202"/>
      <c r="BMP148" s="202"/>
      <c r="BMQ148" s="202"/>
      <c r="BMR148" s="202"/>
      <c r="BMS148" s="203"/>
      <c r="BMT148" s="204"/>
      <c r="BMU148" s="204"/>
      <c r="BMV148" s="204"/>
      <c r="BMW148" s="205"/>
      <c r="BMX148" s="206"/>
      <c r="BMY148" s="207"/>
      <c r="BMZ148" s="207"/>
      <c r="BNA148" s="208"/>
      <c r="BNB148" s="209"/>
      <c r="BNC148" s="207"/>
      <c r="BND148" s="210"/>
      <c r="BNE148" s="209"/>
      <c r="BNF148" s="204"/>
      <c r="BNG148" s="204"/>
      <c r="BNH148" s="204"/>
      <c r="BNI148" s="199"/>
      <c r="BNJ148" s="167"/>
      <c r="BNK148" s="199"/>
      <c r="BNL148" s="200"/>
      <c r="BNM148" s="201"/>
      <c r="BNN148" s="202"/>
      <c r="BNO148" s="202"/>
      <c r="BNP148" s="202"/>
      <c r="BNQ148" s="202"/>
      <c r="BNR148" s="203"/>
      <c r="BNS148" s="204"/>
      <c r="BNT148" s="204"/>
      <c r="BNU148" s="204"/>
      <c r="BNV148" s="205"/>
      <c r="BNW148" s="206"/>
      <c r="BNX148" s="207"/>
      <c r="BNY148" s="207"/>
      <c r="BNZ148" s="208"/>
      <c r="BOA148" s="209"/>
      <c r="BOB148" s="207"/>
      <c r="BOC148" s="210"/>
      <c r="BOD148" s="209"/>
      <c r="BOE148" s="204"/>
      <c r="BOF148" s="204"/>
      <c r="BOG148" s="204"/>
      <c r="BOH148" s="199"/>
      <c r="BOI148" s="167"/>
      <c r="BOJ148" s="199"/>
      <c r="BOK148" s="200"/>
      <c r="BOL148" s="201"/>
      <c r="BOM148" s="202"/>
      <c r="BON148" s="202"/>
      <c r="BOO148" s="202"/>
      <c r="BOP148" s="202"/>
      <c r="BOQ148" s="203"/>
      <c r="BOR148" s="204"/>
      <c r="BOS148" s="204"/>
      <c r="BOT148" s="204"/>
      <c r="BOU148" s="205"/>
      <c r="BOV148" s="206"/>
      <c r="BOW148" s="207"/>
      <c r="BOX148" s="207"/>
      <c r="BOY148" s="208"/>
      <c r="BOZ148" s="209"/>
      <c r="BPA148" s="207"/>
      <c r="BPB148" s="210"/>
      <c r="BPC148" s="209"/>
      <c r="BPD148" s="204"/>
      <c r="BPE148" s="204"/>
      <c r="BPF148" s="204"/>
      <c r="BPG148" s="199"/>
      <c r="BPH148" s="167"/>
      <c r="BPI148" s="199"/>
      <c r="BPJ148" s="200"/>
      <c r="BPK148" s="201"/>
      <c r="BPL148" s="202"/>
      <c r="BPM148" s="202"/>
      <c r="BPN148" s="202"/>
      <c r="BPO148" s="202"/>
      <c r="BPP148" s="203"/>
      <c r="BPQ148" s="204"/>
      <c r="BPR148" s="204"/>
      <c r="BPS148" s="204"/>
      <c r="BPT148" s="205"/>
      <c r="BPU148" s="206"/>
      <c r="BPV148" s="207"/>
      <c r="BPW148" s="207"/>
      <c r="BPX148" s="208"/>
      <c r="BPY148" s="209"/>
      <c r="BPZ148" s="207"/>
      <c r="BQA148" s="210"/>
      <c r="BQB148" s="209"/>
      <c r="BQC148" s="204"/>
      <c r="BQD148" s="204"/>
      <c r="BQE148" s="204"/>
      <c r="BQF148" s="199"/>
      <c r="BQG148" s="167"/>
      <c r="BQH148" s="199"/>
      <c r="BQI148" s="200"/>
      <c r="BQJ148" s="201"/>
      <c r="BQK148" s="202"/>
      <c r="BQL148" s="202"/>
      <c r="BQM148" s="202"/>
      <c r="BQN148" s="202"/>
      <c r="BQO148" s="203"/>
      <c r="BQP148" s="204"/>
      <c r="BQQ148" s="204"/>
      <c r="BQR148" s="204"/>
      <c r="BQS148" s="205"/>
      <c r="BQT148" s="206"/>
      <c r="BQU148" s="207"/>
      <c r="BQV148" s="207"/>
      <c r="BQW148" s="208"/>
      <c r="BQX148" s="209"/>
      <c r="BQY148" s="207"/>
      <c r="BQZ148" s="210"/>
      <c r="BRA148" s="209"/>
      <c r="BRB148" s="204"/>
      <c r="BRC148" s="204"/>
      <c r="BRD148" s="204"/>
      <c r="BRE148" s="199"/>
      <c r="BRF148" s="167"/>
      <c r="BRG148" s="199"/>
      <c r="BRH148" s="200"/>
      <c r="BRI148" s="201"/>
      <c r="BRJ148" s="202"/>
      <c r="BRK148" s="202"/>
      <c r="BRL148" s="202"/>
      <c r="BRM148" s="202"/>
      <c r="BRN148" s="203"/>
      <c r="BRO148" s="204"/>
      <c r="BRP148" s="204"/>
      <c r="BRQ148" s="204"/>
      <c r="BRR148" s="205"/>
      <c r="BRS148" s="206"/>
      <c r="BRT148" s="207"/>
      <c r="BRU148" s="207"/>
      <c r="BRV148" s="208"/>
      <c r="BRW148" s="209"/>
      <c r="BRX148" s="207"/>
      <c r="BRY148" s="210"/>
      <c r="BRZ148" s="209"/>
      <c r="BSA148" s="204"/>
      <c r="BSB148" s="204"/>
      <c r="BSC148" s="204"/>
      <c r="BSD148" s="199"/>
      <c r="BSE148" s="167"/>
      <c r="BSF148" s="199"/>
      <c r="BSG148" s="200"/>
      <c r="BSH148" s="201"/>
      <c r="BSI148" s="202"/>
      <c r="BSJ148" s="202"/>
      <c r="BSK148" s="202"/>
      <c r="BSL148" s="202"/>
      <c r="BSM148" s="203"/>
      <c r="BSN148" s="204"/>
      <c r="BSO148" s="204"/>
      <c r="BSP148" s="204"/>
      <c r="BSQ148" s="205"/>
      <c r="BSR148" s="206"/>
      <c r="BSS148" s="207"/>
      <c r="BST148" s="207"/>
      <c r="BSU148" s="208"/>
      <c r="BSV148" s="209"/>
      <c r="BSW148" s="207"/>
      <c r="BSX148" s="210"/>
      <c r="BSY148" s="209"/>
      <c r="BSZ148" s="204"/>
      <c r="BTA148" s="204"/>
      <c r="BTB148" s="204"/>
      <c r="BTC148" s="199"/>
      <c r="BTD148" s="167"/>
      <c r="BTE148" s="199"/>
      <c r="BTF148" s="200"/>
      <c r="BTG148" s="201"/>
      <c r="BTH148" s="202"/>
      <c r="BTI148" s="202"/>
      <c r="BTJ148" s="202"/>
      <c r="BTK148" s="202"/>
      <c r="BTL148" s="203"/>
      <c r="BTM148" s="204"/>
      <c r="BTN148" s="204"/>
      <c r="BTO148" s="204"/>
      <c r="BTP148" s="205"/>
      <c r="BTQ148" s="206"/>
      <c r="BTR148" s="207"/>
      <c r="BTS148" s="207"/>
      <c r="BTT148" s="208"/>
      <c r="BTU148" s="209"/>
      <c r="BTV148" s="207"/>
      <c r="BTW148" s="210"/>
      <c r="BTX148" s="209"/>
      <c r="BTY148" s="204"/>
      <c r="BTZ148" s="204"/>
      <c r="BUA148" s="204"/>
      <c r="BUB148" s="199"/>
      <c r="BUC148" s="167"/>
      <c r="BUD148" s="199"/>
      <c r="BUE148" s="200"/>
      <c r="BUF148" s="201"/>
      <c r="BUG148" s="202"/>
      <c r="BUH148" s="202"/>
      <c r="BUI148" s="202"/>
      <c r="BUJ148" s="202"/>
      <c r="BUK148" s="203"/>
      <c r="BUL148" s="204"/>
      <c r="BUM148" s="204"/>
      <c r="BUN148" s="204"/>
      <c r="BUO148" s="205"/>
      <c r="BUP148" s="206"/>
      <c r="BUQ148" s="207"/>
      <c r="BUR148" s="207"/>
      <c r="BUS148" s="208"/>
      <c r="BUT148" s="209"/>
      <c r="BUU148" s="207"/>
      <c r="BUV148" s="210"/>
      <c r="BUW148" s="209"/>
      <c r="BUX148" s="204"/>
      <c r="BUY148" s="204"/>
      <c r="BUZ148" s="204"/>
      <c r="BVA148" s="199"/>
      <c r="BVB148" s="167"/>
      <c r="BVC148" s="199"/>
      <c r="BVD148" s="200"/>
      <c r="BVE148" s="201"/>
      <c r="BVF148" s="202"/>
      <c r="BVG148" s="202"/>
      <c r="BVH148" s="202"/>
      <c r="BVI148" s="202"/>
      <c r="BVJ148" s="203"/>
      <c r="BVK148" s="204"/>
      <c r="BVL148" s="204"/>
      <c r="BVM148" s="204"/>
      <c r="BVN148" s="205"/>
      <c r="BVO148" s="206"/>
      <c r="BVP148" s="207"/>
      <c r="BVQ148" s="207"/>
      <c r="BVR148" s="208"/>
      <c r="BVS148" s="209"/>
      <c r="BVT148" s="207"/>
      <c r="BVU148" s="210"/>
      <c r="BVV148" s="209"/>
      <c r="BVW148" s="204"/>
      <c r="BVX148" s="204"/>
      <c r="BVY148" s="204"/>
      <c r="BVZ148" s="199"/>
      <c r="BWA148" s="167"/>
      <c r="BWB148" s="199"/>
      <c r="BWC148" s="200"/>
      <c r="BWD148" s="201"/>
      <c r="BWE148" s="202"/>
      <c r="BWF148" s="202"/>
      <c r="BWG148" s="202"/>
      <c r="BWH148" s="202"/>
      <c r="BWI148" s="203"/>
      <c r="BWJ148" s="204"/>
      <c r="BWK148" s="204"/>
      <c r="BWL148" s="204"/>
      <c r="BWM148" s="205"/>
      <c r="BWN148" s="206"/>
      <c r="BWO148" s="207"/>
      <c r="BWP148" s="207"/>
      <c r="BWQ148" s="208"/>
      <c r="BWR148" s="209"/>
      <c r="BWS148" s="207"/>
      <c r="BWT148" s="210"/>
      <c r="BWU148" s="209"/>
      <c r="BWV148" s="204"/>
      <c r="BWW148" s="204"/>
      <c r="BWX148" s="204"/>
      <c r="BWY148" s="199"/>
      <c r="BWZ148" s="167"/>
      <c r="BXA148" s="199"/>
      <c r="BXB148" s="200"/>
      <c r="BXC148" s="201"/>
      <c r="BXD148" s="202"/>
      <c r="BXE148" s="202"/>
      <c r="BXF148" s="202"/>
      <c r="BXG148" s="202"/>
      <c r="BXH148" s="203"/>
      <c r="BXI148" s="204"/>
      <c r="BXJ148" s="204"/>
      <c r="BXK148" s="204"/>
      <c r="BXL148" s="205"/>
      <c r="BXM148" s="206"/>
      <c r="BXN148" s="207"/>
      <c r="BXO148" s="207"/>
      <c r="BXP148" s="208"/>
      <c r="BXQ148" s="209"/>
      <c r="BXR148" s="207"/>
      <c r="BXS148" s="210"/>
      <c r="BXT148" s="209"/>
      <c r="BXU148" s="204"/>
      <c r="BXV148" s="204"/>
      <c r="BXW148" s="204"/>
      <c r="BXX148" s="199"/>
      <c r="BXY148" s="167"/>
      <c r="BXZ148" s="199"/>
      <c r="BYA148" s="200"/>
      <c r="BYB148" s="201"/>
      <c r="BYC148" s="202"/>
      <c r="BYD148" s="202"/>
      <c r="BYE148" s="202"/>
      <c r="BYF148" s="202"/>
      <c r="BYG148" s="203"/>
      <c r="BYH148" s="204"/>
      <c r="BYI148" s="204"/>
      <c r="BYJ148" s="204"/>
      <c r="BYK148" s="205"/>
      <c r="BYL148" s="206"/>
      <c r="BYM148" s="207"/>
      <c r="BYN148" s="207"/>
      <c r="BYO148" s="208"/>
      <c r="BYP148" s="209"/>
      <c r="BYQ148" s="207"/>
      <c r="BYR148" s="210"/>
      <c r="BYS148" s="209"/>
      <c r="BYT148" s="204"/>
      <c r="BYU148" s="204"/>
      <c r="BYV148" s="204"/>
      <c r="BYW148" s="199"/>
      <c r="BYX148" s="167"/>
      <c r="BYY148" s="199"/>
      <c r="BYZ148" s="200"/>
      <c r="BZA148" s="201"/>
      <c r="BZB148" s="202"/>
      <c r="BZC148" s="202"/>
      <c r="BZD148" s="202"/>
      <c r="BZE148" s="202"/>
      <c r="BZF148" s="203"/>
      <c r="BZG148" s="204"/>
      <c r="BZH148" s="204"/>
      <c r="BZI148" s="204"/>
      <c r="BZJ148" s="205"/>
      <c r="BZK148" s="206"/>
      <c r="BZL148" s="207"/>
      <c r="BZM148" s="207"/>
      <c r="BZN148" s="208"/>
      <c r="BZO148" s="209"/>
      <c r="BZP148" s="207"/>
      <c r="BZQ148" s="210"/>
      <c r="BZR148" s="209"/>
      <c r="BZS148" s="204"/>
      <c r="BZT148" s="204"/>
      <c r="BZU148" s="204"/>
      <c r="BZV148" s="199"/>
      <c r="BZW148" s="167"/>
      <c r="BZX148" s="199"/>
      <c r="BZY148" s="200"/>
      <c r="BZZ148" s="201"/>
      <c r="CAA148" s="202"/>
      <c r="CAB148" s="202"/>
      <c r="CAC148" s="202"/>
      <c r="CAD148" s="202"/>
      <c r="CAE148" s="203"/>
      <c r="CAF148" s="204"/>
      <c r="CAG148" s="204"/>
      <c r="CAH148" s="204"/>
      <c r="CAI148" s="205"/>
      <c r="CAJ148" s="206"/>
      <c r="CAK148" s="207"/>
      <c r="CAL148" s="207"/>
      <c r="CAM148" s="208"/>
      <c r="CAN148" s="209"/>
      <c r="CAO148" s="207"/>
      <c r="CAP148" s="210"/>
      <c r="CAQ148" s="209"/>
      <c r="CAR148" s="204"/>
      <c r="CAS148" s="204"/>
      <c r="CAT148" s="204"/>
      <c r="CAU148" s="199"/>
      <c r="CAV148" s="167"/>
      <c r="CAW148" s="199"/>
      <c r="CAX148" s="200"/>
      <c r="CAY148" s="201"/>
      <c r="CAZ148" s="202"/>
      <c r="CBA148" s="202"/>
      <c r="CBB148" s="202"/>
      <c r="CBC148" s="202"/>
      <c r="CBD148" s="203"/>
      <c r="CBE148" s="204"/>
      <c r="CBF148" s="204"/>
      <c r="CBG148" s="204"/>
      <c r="CBH148" s="205"/>
      <c r="CBI148" s="206"/>
      <c r="CBJ148" s="207"/>
      <c r="CBK148" s="207"/>
      <c r="CBL148" s="208"/>
      <c r="CBM148" s="209"/>
      <c r="CBN148" s="207"/>
      <c r="CBO148" s="210"/>
      <c r="CBP148" s="209"/>
      <c r="CBQ148" s="204"/>
      <c r="CBR148" s="204"/>
      <c r="CBS148" s="204"/>
      <c r="CBT148" s="199"/>
      <c r="CBU148" s="167"/>
      <c r="CBV148" s="199"/>
      <c r="CBW148" s="200"/>
      <c r="CBX148" s="201"/>
      <c r="CBY148" s="202"/>
      <c r="CBZ148" s="202"/>
      <c r="CCA148" s="202"/>
      <c r="CCB148" s="202"/>
      <c r="CCC148" s="203"/>
      <c r="CCD148" s="204"/>
      <c r="CCE148" s="204"/>
      <c r="CCF148" s="204"/>
      <c r="CCG148" s="205"/>
      <c r="CCH148" s="206"/>
      <c r="CCI148" s="207"/>
      <c r="CCJ148" s="207"/>
      <c r="CCK148" s="208"/>
      <c r="CCL148" s="209"/>
      <c r="CCM148" s="207"/>
      <c r="CCN148" s="210"/>
      <c r="CCO148" s="209"/>
      <c r="CCP148" s="204"/>
      <c r="CCQ148" s="204"/>
      <c r="CCR148" s="204"/>
      <c r="CCS148" s="199"/>
      <c r="CCT148" s="167"/>
      <c r="CCU148" s="199"/>
      <c r="CCV148" s="200"/>
      <c r="CCW148" s="201"/>
      <c r="CCX148" s="202"/>
      <c r="CCY148" s="202"/>
      <c r="CCZ148" s="202"/>
      <c r="CDA148" s="202"/>
      <c r="CDB148" s="203"/>
      <c r="CDC148" s="204"/>
      <c r="CDD148" s="204"/>
      <c r="CDE148" s="204"/>
      <c r="CDF148" s="205"/>
      <c r="CDG148" s="206"/>
      <c r="CDH148" s="207"/>
      <c r="CDI148" s="207"/>
      <c r="CDJ148" s="208"/>
      <c r="CDK148" s="209"/>
      <c r="CDL148" s="207"/>
      <c r="CDM148" s="210"/>
      <c r="CDN148" s="209"/>
      <c r="CDO148" s="204"/>
      <c r="CDP148" s="204"/>
      <c r="CDQ148" s="204"/>
      <c r="CDR148" s="199"/>
      <c r="CDS148" s="167"/>
      <c r="CDT148" s="199"/>
      <c r="CDU148" s="200"/>
      <c r="CDV148" s="201"/>
      <c r="CDW148" s="202"/>
      <c r="CDX148" s="202"/>
      <c r="CDY148" s="202"/>
      <c r="CDZ148" s="202"/>
      <c r="CEA148" s="203"/>
      <c r="CEB148" s="204"/>
      <c r="CEC148" s="204"/>
      <c r="CED148" s="204"/>
      <c r="CEE148" s="205"/>
      <c r="CEF148" s="206"/>
      <c r="CEG148" s="207"/>
      <c r="CEH148" s="207"/>
      <c r="CEI148" s="208"/>
      <c r="CEJ148" s="209"/>
      <c r="CEK148" s="207"/>
      <c r="CEL148" s="210"/>
      <c r="CEM148" s="209"/>
      <c r="CEN148" s="204"/>
      <c r="CEO148" s="204"/>
      <c r="CEP148" s="204"/>
      <c r="CEQ148" s="199"/>
      <c r="CER148" s="167"/>
      <c r="CES148" s="199"/>
      <c r="CET148" s="200"/>
      <c r="CEU148" s="201"/>
      <c r="CEV148" s="202"/>
      <c r="CEW148" s="202"/>
      <c r="CEX148" s="202"/>
      <c r="CEY148" s="202"/>
      <c r="CEZ148" s="203"/>
      <c r="CFA148" s="204"/>
      <c r="CFB148" s="204"/>
      <c r="CFC148" s="204"/>
      <c r="CFD148" s="205"/>
      <c r="CFE148" s="206"/>
      <c r="CFF148" s="207"/>
      <c r="CFG148" s="207"/>
      <c r="CFH148" s="208"/>
      <c r="CFI148" s="209"/>
      <c r="CFJ148" s="207"/>
      <c r="CFK148" s="210"/>
      <c r="CFL148" s="209"/>
      <c r="CFM148" s="204"/>
      <c r="CFN148" s="204"/>
      <c r="CFO148" s="204"/>
      <c r="CFP148" s="199"/>
      <c r="CFQ148" s="167"/>
      <c r="CFR148" s="199"/>
      <c r="CFS148" s="200"/>
      <c r="CFT148" s="201"/>
      <c r="CFU148" s="202"/>
      <c r="CFV148" s="202"/>
      <c r="CFW148" s="202"/>
      <c r="CFX148" s="202"/>
      <c r="CFY148" s="203"/>
      <c r="CFZ148" s="204"/>
      <c r="CGA148" s="204"/>
      <c r="CGB148" s="204"/>
      <c r="CGC148" s="205"/>
      <c r="CGD148" s="206"/>
      <c r="CGE148" s="207"/>
      <c r="CGF148" s="207"/>
      <c r="CGG148" s="208"/>
      <c r="CGH148" s="209"/>
      <c r="CGI148" s="207"/>
      <c r="CGJ148" s="210"/>
      <c r="CGK148" s="209"/>
      <c r="CGL148" s="204"/>
      <c r="CGM148" s="204"/>
      <c r="CGN148" s="204"/>
      <c r="CGO148" s="199"/>
      <c r="CGP148" s="167"/>
      <c r="CGQ148" s="199"/>
      <c r="CGR148" s="200"/>
      <c r="CGS148" s="201"/>
      <c r="CGT148" s="202"/>
      <c r="CGU148" s="202"/>
      <c r="CGV148" s="202"/>
      <c r="CGW148" s="202"/>
      <c r="CGX148" s="203"/>
      <c r="CGY148" s="204"/>
      <c r="CGZ148" s="204"/>
      <c r="CHA148" s="204"/>
      <c r="CHB148" s="205"/>
      <c r="CHC148" s="206"/>
      <c r="CHD148" s="207"/>
      <c r="CHE148" s="207"/>
      <c r="CHF148" s="208"/>
      <c r="CHG148" s="209"/>
      <c r="CHH148" s="207"/>
      <c r="CHI148" s="210"/>
      <c r="CHJ148" s="209"/>
      <c r="CHK148" s="204"/>
      <c r="CHL148" s="204"/>
      <c r="CHM148" s="204"/>
      <c r="CHN148" s="199"/>
      <c r="CHO148" s="167"/>
      <c r="CHP148" s="199"/>
      <c r="CHQ148" s="200"/>
      <c r="CHR148" s="201"/>
      <c r="CHS148" s="202"/>
      <c r="CHT148" s="202"/>
      <c r="CHU148" s="202"/>
      <c r="CHV148" s="202"/>
      <c r="CHW148" s="203"/>
      <c r="CHX148" s="204"/>
      <c r="CHY148" s="204"/>
      <c r="CHZ148" s="204"/>
      <c r="CIA148" s="205"/>
      <c r="CIB148" s="206"/>
      <c r="CIC148" s="207"/>
      <c r="CID148" s="207"/>
      <c r="CIE148" s="208"/>
      <c r="CIF148" s="209"/>
      <c r="CIG148" s="207"/>
      <c r="CIH148" s="210"/>
      <c r="CII148" s="209"/>
      <c r="CIJ148" s="204"/>
      <c r="CIK148" s="204"/>
      <c r="CIL148" s="204"/>
      <c r="CIM148" s="199"/>
      <c r="CIN148" s="167"/>
      <c r="CIO148" s="199"/>
      <c r="CIP148" s="200"/>
      <c r="CIQ148" s="201"/>
      <c r="CIR148" s="202"/>
      <c r="CIS148" s="202"/>
      <c r="CIT148" s="202"/>
      <c r="CIU148" s="202"/>
      <c r="CIV148" s="203"/>
      <c r="CIW148" s="204"/>
      <c r="CIX148" s="204"/>
      <c r="CIY148" s="204"/>
      <c r="CIZ148" s="205"/>
      <c r="CJA148" s="206"/>
      <c r="CJB148" s="207"/>
      <c r="CJC148" s="207"/>
      <c r="CJD148" s="208"/>
      <c r="CJE148" s="209"/>
      <c r="CJF148" s="207"/>
      <c r="CJG148" s="210"/>
      <c r="CJH148" s="209"/>
      <c r="CJI148" s="204"/>
      <c r="CJJ148" s="204"/>
      <c r="CJK148" s="204"/>
      <c r="CJL148" s="199"/>
      <c r="CJM148" s="167"/>
      <c r="CJN148" s="199"/>
      <c r="CJO148" s="200"/>
      <c r="CJP148" s="201"/>
      <c r="CJQ148" s="202"/>
      <c r="CJR148" s="202"/>
      <c r="CJS148" s="202"/>
      <c r="CJT148" s="202"/>
      <c r="CJU148" s="203"/>
      <c r="CJV148" s="204"/>
      <c r="CJW148" s="204"/>
      <c r="CJX148" s="204"/>
      <c r="CJY148" s="205"/>
      <c r="CJZ148" s="206"/>
      <c r="CKA148" s="207"/>
      <c r="CKB148" s="207"/>
      <c r="CKC148" s="208"/>
      <c r="CKD148" s="209"/>
      <c r="CKE148" s="207"/>
      <c r="CKF148" s="210"/>
      <c r="CKG148" s="209"/>
      <c r="CKH148" s="204"/>
      <c r="CKI148" s="204"/>
      <c r="CKJ148" s="204"/>
      <c r="CKK148" s="199"/>
      <c r="CKL148" s="167"/>
      <c r="CKM148" s="199"/>
      <c r="CKN148" s="200"/>
      <c r="CKO148" s="201"/>
      <c r="CKP148" s="202"/>
      <c r="CKQ148" s="202"/>
      <c r="CKR148" s="202"/>
      <c r="CKS148" s="202"/>
      <c r="CKT148" s="203"/>
      <c r="CKU148" s="204"/>
      <c r="CKV148" s="204"/>
      <c r="CKW148" s="204"/>
      <c r="CKX148" s="205"/>
      <c r="CKY148" s="206"/>
      <c r="CKZ148" s="207"/>
      <c r="CLA148" s="207"/>
      <c r="CLB148" s="208"/>
      <c r="CLC148" s="209"/>
      <c r="CLD148" s="207"/>
      <c r="CLE148" s="210"/>
      <c r="CLF148" s="209"/>
      <c r="CLG148" s="204"/>
      <c r="CLH148" s="204"/>
      <c r="CLI148" s="204"/>
      <c r="CLJ148" s="199"/>
      <c r="CLK148" s="167"/>
      <c r="CLL148" s="199"/>
      <c r="CLM148" s="200"/>
      <c r="CLN148" s="201"/>
      <c r="CLO148" s="202"/>
      <c r="CLP148" s="202"/>
      <c r="CLQ148" s="202"/>
      <c r="CLR148" s="202"/>
      <c r="CLS148" s="203"/>
      <c r="CLT148" s="204"/>
      <c r="CLU148" s="204"/>
      <c r="CLV148" s="204"/>
      <c r="CLW148" s="205"/>
      <c r="CLX148" s="206"/>
      <c r="CLY148" s="207"/>
      <c r="CLZ148" s="207"/>
      <c r="CMA148" s="208"/>
      <c r="CMB148" s="209"/>
      <c r="CMC148" s="207"/>
      <c r="CMD148" s="210"/>
      <c r="CME148" s="209"/>
      <c r="CMF148" s="204"/>
      <c r="CMG148" s="204"/>
      <c r="CMH148" s="204"/>
      <c r="CMI148" s="199"/>
      <c r="CMJ148" s="167"/>
      <c r="CMK148" s="199"/>
      <c r="CML148" s="200"/>
      <c r="CMM148" s="201"/>
      <c r="CMN148" s="202"/>
      <c r="CMO148" s="202"/>
      <c r="CMP148" s="202"/>
      <c r="CMQ148" s="202"/>
      <c r="CMR148" s="203"/>
      <c r="CMS148" s="204"/>
      <c r="CMT148" s="204"/>
      <c r="CMU148" s="204"/>
      <c r="CMV148" s="205"/>
      <c r="CMW148" s="206"/>
      <c r="CMX148" s="207"/>
      <c r="CMY148" s="207"/>
      <c r="CMZ148" s="208"/>
      <c r="CNA148" s="209"/>
      <c r="CNB148" s="207"/>
      <c r="CNC148" s="210"/>
      <c r="CND148" s="209"/>
      <c r="CNE148" s="204"/>
      <c r="CNF148" s="204"/>
      <c r="CNG148" s="204"/>
      <c r="CNH148" s="199"/>
      <c r="CNI148" s="167"/>
      <c r="CNJ148" s="199"/>
      <c r="CNK148" s="200"/>
      <c r="CNL148" s="201"/>
      <c r="CNM148" s="202"/>
      <c r="CNN148" s="202"/>
      <c r="CNO148" s="202"/>
      <c r="CNP148" s="202"/>
      <c r="CNQ148" s="203"/>
      <c r="CNR148" s="204"/>
      <c r="CNS148" s="204"/>
      <c r="CNT148" s="204"/>
      <c r="CNU148" s="205"/>
      <c r="CNV148" s="206"/>
      <c r="CNW148" s="207"/>
      <c r="CNX148" s="207"/>
      <c r="CNY148" s="208"/>
      <c r="CNZ148" s="209"/>
      <c r="COA148" s="207"/>
      <c r="COB148" s="210"/>
      <c r="COC148" s="209"/>
      <c r="COD148" s="204"/>
      <c r="COE148" s="204"/>
      <c r="COF148" s="204"/>
      <c r="COG148" s="199"/>
      <c r="COH148" s="167"/>
      <c r="COI148" s="199"/>
      <c r="COJ148" s="200"/>
      <c r="COK148" s="201"/>
      <c r="COL148" s="202"/>
      <c r="COM148" s="202"/>
      <c r="CON148" s="202"/>
      <c r="COO148" s="202"/>
      <c r="COP148" s="203"/>
      <c r="COQ148" s="204"/>
      <c r="COR148" s="204"/>
      <c r="COS148" s="204"/>
      <c r="COT148" s="205"/>
      <c r="COU148" s="206"/>
      <c r="COV148" s="207"/>
      <c r="COW148" s="207"/>
      <c r="COX148" s="208"/>
      <c r="COY148" s="209"/>
      <c r="COZ148" s="207"/>
      <c r="CPA148" s="210"/>
      <c r="CPB148" s="209"/>
      <c r="CPC148" s="204"/>
      <c r="CPD148" s="204"/>
      <c r="CPE148" s="204"/>
      <c r="CPF148" s="199"/>
      <c r="CPG148" s="167"/>
      <c r="CPH148" s="199"/>
      <c r="CPI148" s="200"/>
      <c r="CPJ148" s="201"/>
      <c r="CPK148" s="202"/>
      <c r="CPL148" s="202"/>
      <c r="CPM148" s="202"/>
      <c r="CPN148" s="202"/>
      <c r="CPO148" s="203"/>
      <c r="CPP148" s="204"/>
      <c r="CPQ148" s="204"/>
      <c r="CPR148" s="204"/>
      <c r="CPS148" s="205"/>
      <c r="CPT148" s="206"/>
      <c r="CPU148" s="207"/>
      <c r="CPV148" s="207"/>
      <c r="CPW148" s="208"/>
      <c r="CPX148" s="209"/>
      <c r="CPY148" s="207"/>
      <c r="CPZ148" s="210"/>
      <c r="CQA148" s="209"/>
      <c r="CQB148" s="204"/>
      <c r="CQC148" s="204"/>
      <c r="CQD148" s="204"/>
      <c r="CQE148" s="199"/>
      <c r="CQF148" s="167"/>
      <c r="CQG148" s="199"/>
      <c r="CQH148" s="200"/>
      <c r="CQI148" s="201"/>
      <c r="CQJ148" s="202"/>
      <c r="CQK148" s="202"/>
      <c r="CQL148" s="202"/>
      <c r="CQM148" s="202"/>
      <c r="CQN148" s="203"/>
      <c r="CQO148" s="204"/>
      <c r="CQP148" s="204"/>
      <c r="CQQ148" s="204"/>
      <c r="CQR148" s="205"/>
      <c r="CQS148" s="206"/>
      <c r="CQT148" s="207"/>
      <c r="CQU148" s="207"/>
      <c r="CQV148" s="208"/>
      <c r="CQW148" s="209"/>
      <c r="CQX148" s="207"/>
      <c r="CQY148" s="210"/>
      <c r="CQZ148" s="209"/>
      <c r="CRA148" s="204"/>
      <c r="CRB148" s="204"/>
      <c r="CRC148" s="204"/>
      <c r="CRD148" s="199"/>
      <c r="CRE148" s="167"/>
      <c r="CRF148" s="199"/>
      <c r="CRG148" s="200"/>
      <c r="CRH148" s="201"/>
      <c r="CRI148" s="202"/>
      <c r="CRJ148" s="202"/>
      <c r="CRK148" s="202"/>
      <c r="CRL148" s="202"/>
      <c r="CRM148" s="203"/>
      <c r="CRN148" s="204"/>
      <c r="CRO148" s="204"/>
      <c r="CRP148" s="204"/>
      <c r="CRQ148" s="205"/>
      <c r="CRR148" s="206"/>
      <c r="CRS148" s="207"/>
      <c r="CRT148" s="207"/>
      <c r="CRU148" s="208"/>
      <c r="CRV148" s="209"/>
      <c r="CRW148" s="207"/>
      <c r="CRX148" s="210"/>
      <c r="CRY148" s="209"/>
      <c r="CRZ148" s="204"/>
      <c r="CSA148" s="204"/>
      <c r="CSB148" s="204"/>
      <c r="CSC148" s="199"/>
      <c r="CSD148" s="167"/>
      <c r="CSE148" s="199"/>
      <c r="CSF148" s="200"/>
      <c r="CSG148" s="201"/>
      <c r="CSH148" s="202"/>
      <c r="CSI148" s="202"/>
      <c r="CSJ148" s="202"/>
      <c r="CSK148" s="202"/>
      <c r="CSL148" s="203"/>
      <c r="CSM148" s="204"/>
      <c r="CSN148" s="204"/>
      <c r="CSO148" s="204"/>
      <c r="CSP148" s="205"/>
      <c r="CSQ148" s="206"/>
      <c r="CSR148" s="207"/>
      <c r="CSS148" s="207"/>
      <c r="CST148" s="208"/>
      <c r="CSU148" s="209"/>
      <c r="CSV148" s="207"/>
      <c r="CSW148" s="210"/>
      <c r="CSX148" s="209"/>
      <c r="CSY148" s="204"/>
      <c r="CSZ148" s="204"/>
      <c r="CTA148" s="204"/>
      <c r="CTB148" s="199"/>
      <c r="CTC148" s="167"/>
      <c r="CTD148" s="199"/>
      <c r="CTE148" s="200"/>
      <c r="CTF148" s="201"/>
      <c r="CTG148" s="202"/>
      <c r="CTH148" s="202"/>
      <c r="CTI148" s="202"/>
      <c r="CTJ148" s="202"/>
      <c r="CTK148" s="203"/>
      <c r="CTL148" s="204"/>
      <c r="CTM148" s="204"/>
      <c r="CTN148" s="204"/>
      <c r="CTO148" s="205"/>
      <c r="CTP148" s="206"/>
      <c r="CTQ148" s="207"/>
      <c r="CTR148" s="207"/>
      <c r="CTS148" s="208"/>
      <c r="CTT148" s="209"/>
      <c r="CTU148" s="207"/>
      <c r="CTV148" s="210"/>
      <c r="CTW148" s="209"/>
      <c r="CTX148" s="204"/>
      <c r="CTY148" s="204"/>
      <c r="CTZ148" s="204"/>
      <c r="CUA148" s="199"/>
      <c r="CUB148" s="167"/>
      <c r="CUC148" s="199"/>
      <c r="CUD148" s="200"/>
      <c r="CUE148" s="201"/>
      <c r="CUF148" s="202"/>
      <c r="CUG148" s="202"/>
      <c r="CUH148" s="202"/>
      <c r="CUI148" s="202"/>
      <c r="CUJ148" s="203"/>
      <c r="CUK148" s="204"/>
      <c r="CUL148" s="204"/>
      <c r="CUM148" s="204"/>
      <c r="CUN148" s="205"/>
      <c r="CUO148" s="206"/>
      <c r="CUP148" s="207"/>
      <c r="CUQ148" s="207"/>
      <c r="CUR148" s="208"/>
      <c r="CUS148" s="209"/>
      <c r="CUT148" s="207"/>
      <c r="CUU148" s="210"/>
      <c r="CUV148" s="209"/>
      <c r="CUW148" s="204"/>
      <c r="CUX148" s="204"/>
      <c r="CUY148" s="204"/>
      <c r="CUZ148" s="199"/>
      <c r="CVA148" s="167"/>
      <c r="CVB148" s="199"/>
      <c r="CVC148" s="200"/>
      <c r="CVD148" s="201"/>
      <c r="CVE148" s="202"/>
      <c r="CVF148" s="202"/>
      <c r="CVG148" s="202"/>
      <c r="CVH148" s="202"/>
      <c r="CVI148" s="203"/>
      <c r="CVJ148" s="204"/>
      <c r="CVK148" s="204"/>
      <c r="CVL148" s="204"/>
      <c r="CVM148" s="205"/>
      <c r="CVN148" s="206"/>
      <c r="CVO148" s="207"/>
      <c r="CVP148" s="207"/>
      <c r="CVQ148" s="208"/>
      <c r="CVR148" s="209"/>
      <c r="CVS148" s="207"/>
      <c r="CVT148" s="210"/>
      <c r="CVU148" s="209"/>
      <c r="CVV148" s="204"/>
      <c r="CVW148" s="204"/>
      <c r="CVX148" s="204"/>
      <c r="CVY148" s="199"/>
      <c r="CVZ148" s="167"/>
      <c r="CWA148" s="199"/>
      <c r="CWB148" s="200"/>
      <c r="CWC148" s="201"/>
      <c r="CWD148" s="202"/>
      <c r="CWE148" s="202"/>
      <c r="CWF148" s="202"/>
      <c r="CWG148" s="202"/>
      <c r="CWH148" s="203"/>
      <c r="CWI148" s="204"/>
      <c r="CWJ148" s="204"/>
      <c r="CWK148" s="204"/>
      <c r="CWL148" s="205"/>
      <c r="CWM148" s="206"/>
      <c r="CWN148" s="207"/>
      <c r="CWO148" s="207"/>
      <c r="CWP148" s="208"/>
      <c r="CWQ148" s="209"/>
      <c r="CWR148" s="207"/>
      <c r="CWS148" s="210"/>
      <c r="CWT148" s="209"/>
      <c r="CWU148" s="204"/>
      <c r="CWV148" s="204"/>
      <c r="CWW148" s="204"/>
      <c r="CWX148" s="199"/>
      <c r="CWY148" s="167"/>
      <c r="CWZ148" s="199"/>
      <c r="CXA148" s="200"/>
      <c r="CXB148" s="201"/>
      <c r="CXC148" s="202"/>
      <c r="CXD148" s="202"/>
      <c r="CXE148" s="202"/>
      <c r="CXF148" s="202"/>
      <c r="CXG148" s="203"/>
      <c r="CXH148" s="204"/>
      <c r="CXI148" s="204"/>
      <c r="CXJ148" s="204"/>
      <c r="CXK148" s="205"/>
      <c r="CXL148" s="206"/>
      <c r="CXM148" s="207"/>
      <c r="CXN148" s="207"/>
      <c r="CXO148" s="208"/>
      <c r="CXP148" s="209"/>
      <c r="CXQ148" s="207"/>
      <c r="CXR148" s="210"/>
      <c r="CXS148" s="209"/>
      <c r="CXT148" s="204"/>
      <c r="CXU148" s="204"/>
      <c r="CXV148" s="204"/>
      <c r="CXW148" s="199"/>
      <c r="CXX148" s="167"/>
      <c r="CXY148" s="199"/>
      <c r="CXZ148" s="200"/>
      <c r="CYA148" s="201"/>
      <c r="CYB148" s="202"/>
      <c r="CYC148" s="202"/>
      <c r="CYD148" s="202"/>
      <c r="CYE148" s="202"/>
      <c r="CYF148" s="203"/>
      <c r="CYG148" s="204"/>
      <c r="CYH148" s="204"/>
      <c r="CYI148" s="204"/>
      <c r="CYJ148" s="205"/>
      <c r="CYK148" s="206"/>
      <c r="CYL148" s="207"/>
      <c r="CYM148" s="207"/>
      <c r="CYN148" s="208"/>
      <c r="CYO148" s="209"/>
      <c r="CYP148" s="207"/>
      <c r="CYQ148" s="210"/>
      <c r="CYR148" s="209"/>
      <c r="CYS148" s="204"/>
      <c r="CYT148" s="204"/>
      <c r="CYU148" s="204"/>
      <c r="CYV148" s="199"/>
      <c r="CYW148" s="167"/>
      <c r="CYX148" s="199"/>
      <c r="CYY148" s="200"/>
      <c r="CYZ148" s="201"/>
      <c r="CZA148" s="202"/>
      <c r="CZB148" s="202"/>
      <c r="CZC148" s="202"/>
      <c r="CZD148" s="202"/>
      <c r="CZE148" s="203"/>
      <c r="CZF148" s="204"/>
      <c r="CZG148" s="204"/>
      <c r="CZH148" s="204"/>
      <c r="CZI148" s="205"/>
      <c r="CZJ148" s="206"/>
      <c r="CZK148" s="207"/>
      <c r="CZL148" s="207"/>
      <c r="CZM148" s="208"/>
      <c r="CZN148" s="209"/>
      <c r="CZO148" s="207"/>
      <c r="CZP148" s="210"/>
      <c r="CZQ148" s="209"/>
      <c r="CZR148" s="204"/>
      <c r="CZS148" s="204"/>
      <c r="CZT148" s="204"/>
      <c r="CZU148" s="199"/>
      <c r="CZV148" s="167"/>
      <c r="CZW148" s="199"/>
      <c r="CZX148" s="200"/>
      <c r="CZY148" s="201"/>
      <c r="CZZ148" s="202"/>
      <c r="DAA148" s="202"/>
      <c r="DAB148" s="202"/>
      <c r="DAC148" s="202"/>
      <c r="DAD148" s="203"/>
      <c r="DAE148" s="204"/>
      <c r="DAF148" s="204"/>
      <c r="DAG148" s="204"/>
      <c r="DAH148" s="205"/>
      <c r="DAI148" s="206"/>
      <c r="DAJ148" s="207"/>
      <c r="DAK148" s="207"/>
      <c r="DAL148" s="208"/>
      <c r="DAM148" s="209"/>
      <c r="DAN148" s="207"/>
      <c r="DAO148" s="210"/>
      <c r="DAP148" s="209"/>
      <c r="DAQ148" s="204"/>
      <c r="DAR148" s="204"/>
      <c r="DAS148" s="204"/>
      <c r="DAT148" s="199"/>
      <c r="DAU148" s="167"/>
      <c r="DAV148" s="199"/>
      <c r="DAW148" s="200"/>
      <c r="DAX148" s="201"/>
      <c r="DAY148" s="202"/>
      <c r="DAZ148" s="202"/>
      <c r="DBA148" s="202"/>
      <c r="DBB148" s="202"/>
      <c r="DBC148" s="203"/>
      <c r="DBD148" s="204"/>
      <c r="DBE148" s="204"/>
      <c r="DBF148" s="204"/>
      <c r="DBG148" s="205"/>
      <c r="DBH148" s="206"/>
      <c r="DBI148" s="207"/>
      <c r="DBJ148" s="207"/>
      <c r="DBK148" s="208"/>
      <c r="DBL148" s="209"/>
      <c r="DBM148" s="207"/>
      <c r="DBN148" s="210"/>
      <c r="DBO148" s="209"/>
      <c r="DBP148" s="204"/>
      <c r="DBQ148" s="204"/>
      <c r="DBR148" s="204"/>
      <c r="DBS148" s="199"/>
      <c r="DBT148" s="167"/>
      <c r="DBU148" s="199"/>
      <c r="DBV148" s="200"/>
      <c r="DBW148" s="201"/>
      <c r="DBX148" s="202"/>
      <c r="DBY148" s="202"/>
      <c r="DBZ148" s="202"/>
      <c r="DCA148" s="202"/>
      <c r="DCB148" s="203"/>
      <c r="DCC148" s="204"/>
      <c r="DCD148" s="204"/>
      <c r="DCE148" s="204"/>
      <c r="DCF148" s="205"/>
      <c r="DCG148" s="206"/>
      <c r="DCH148" s="207"/>
      <c r="DCI148" s="207"/>
      <c r="DCJ148" s="208"/>
      <c r="DCK148" s="209"/>
      <c r="DCL148" s="207"/>
      <c r="DCM148" s="210"/>
      <c r="DCN148" s="209"/>
      <c r="DCO148" s="204"/>
      <c r="DCP148" s="204"/>
      <c r="DCQ148" s="204"/>
      <c r="DCR148" s="199"/>
      <c r="DCS148" s="167"/>
      <c r="DCT148" s="199"/>
      <c r="DCU148" s="200"/>
      <c r="DCV148" s="201"/>
      <c r="DCW148" s="202"/>
      <c r="DCX148" s="202"/>
      <c r="DCY148" s="202"/>
      <c r="DCZ148" s="202"/>
      <c r="DDA148" s="203"/>
      <c r="DDB148" s="204"/>
      <c r="DDC148" s="204"/>
      <c r="DDD148" s="204"/>
      <c r="DDE148" s="205"/>
      <c r="DDF148" s="206"/>
      <c r="DDG148" s="207"/>
      <c r="DDH148" s="207"/>
      <c r="DDI148" s="208"/>
      <c r="DDJ148" s="209"/>
      <c r="DDK148" s="207"/>
      <c r="DDL148" s="210"/>
      <c r="DDM148" s="209"/>
      <c r="DDN148" s="204"/>
      <c r="DDO148" s="204"/>
      <c r="DDP148" s="204"/>
      <c r="DDQ148" s="199"/>
      <c r="DDR148" s="167"/>
      <c r="DDS148" s="199"/>
      <c r="DDT148" s="200"/>
      <c r="DDU148" s="201"/>
      <c r="DDV148" s="202"/>
      <c r="DDW148" s="202"/>
      <c r="DDX148" s="202"/>
      <c r="DDY148" s="202"/>
      <c r="DDZ148" s="203"/>
      <c r="DEA148" s="204"/>
      <c r="DEB148" s="204"/>
      <c r="DEC148" s="204"/>
      <c r="DED148" s="205"/>
      <c r="DEE148" s="206"/>
      <c r="DEF148" s="207"/>
      <c r="DEG148" s="207"/>
      <c r="DEH148" s="208"/>
      <c r="DEI148" s="209"/>
      <c r="DEJ148" s="207"/>
      <c r="DEK148" s="210"/>
      <c r="DEL148" s="209"/>
      <c r="DEM148" s="204"/>
      <c r="DEN148" s="204"/>
      <c r="DEO148" s="204"/>
      <c r="DEP148" s="199"/>
      <c r="DEQ148" s="167"/>
      <c r="DER148" s="199"/>
      <c r="DES148" s="200"/>
      <c r="DET148" s="201"/>
      <c r="DEU148" s="202"/>
      <c r="DEV148" s="202"/>
      <c r="DEW148" s="202"/>
      <c r="DEX148" s="202"/>
      <c r="DEY148" s="203"/>
      <c r="DEZ148" s="204"/>
      <c r="DFA148" s="204"/>
      <c r="DFB148" s="204"/>
      <c r="DFC148" s="205"/>
      <c r="DFD148" s="206"/>
      <c r="DFE148" s="207"/>
      <c r="DFF148" s="207"/>
      <c r="DFG148" s="208"/>
      <c r="DFH148" s="209"/>
      <c r="DFI148" s="207"/>
      <c r="DFJ148" s="210"/>
      <c r="DFK148" s="209"/>
      <c r="DFL148" s="204"/>
      <c r="DFM148" s="204"/>
      <c r="DFN148" s="204"/>
      <c r="DFO148" s="199"/>
      <c r="DFP148" s="167"/>
      <c r="DFQ148" s="199"/>
      <c r="DFR148" s="200"/>
      <c r="DFS148" s="201"/>
      <c r="DFT148" s="202"/>
      <c r="DFU148" s="202"/>
      <c r="DFV148" s="202"/>
      <c r="DFW148" s="202"/>
      <c r="DFX148" s="203"/>
      <c r="DFY148" s="204"/>
      <c r="DFZ148" s="204"/>
      <c r="DGA148" s="204"/>
      <c r="DGB148" s="205"/>
      <c r="DGC148" s="206"/>
      <c r="DGD148" s="207"/>
      <c r="DGE148" s="207"/>
      <c r="DGF148" s="208"/>
      <c r="DGG148" s="209"/>
      <c r="DGH148" s="207"/>
      <c r="DGI148" s="210"/>
      <c r="DGJ148" s="209"/>
      <c r="DGK148" s="204"/>
      <c r="DGL148" s="204"/>
      <c r="DGM148" s="204"/>
      <c r="DGN148" s="199"/>
      <c r="DGO148" s="167"/>
      <c r="DGP148" s="199"/>
      <c r="DGQ148" s="200"/>
      <c r="DGR148" s="201"/>
      <c r="DGS148" s="202"/>
      <c r="DGT148" s="202"/>
      <c r="DGU148" s="202"/>
      <c r="DGV148" s="202"/>
      <c r="DGW148" s="203"/>
      <c r="DGX148" s="204"/>
      <c r="DGY148" s="204"/>
      <c r="DGZ148" s="204"/>
      <c r="DHA148" s="205"/>
      <c r="DHB148" s="206"/>
      <c r="DHC148" s="207"/>
      <c r="DHD148" s="207"/>
      <c r="DHE148" s="208"/>
      <c r="DHF148" s="209"/>
      <c r="DHG148" s="207"/>
      <c r="DHH148" s="210"/>
      <c r="DHI148" s="209"/>
      <c r="DHJ148" s="204"/>
      <c r="DHK148" s="204"/>
      <c r="DHL148" s="204"/>
      <c r="DHM148" s="199"/>
      <c r="DHN148" s="167"/>
      <c r="DHO148" s="199"/>
      <c r="DHP148" s="200"/>
      <c r="DHQ148" s="201"/>
      <c r="DHR148" s="202"/>
      <c r="DHS148" s="202"/>
      <c r="DHT148" s="202"/>
      <c r="DHU148" s="202"/>
      <c r="DHV148" s="203"/>
      <c r="DHW148" s="204"/>
      <c r="DHX148" s="204"/>
      <c r="DHY148" s="204"/>
      <c r="DHZ148" s="205"/>
      <c r="DIA148" s="206"/>
      <c r="DIB148" s="207"/>
      <c r="DIC148" s="207"/>
      <c r="DID148" s="208"/>
      <c r="DIE148" s="209"/>
      <c r="DIF148" s="207"/>
      <c r="DIG148" s="210"/>
      <c r="DIH148" s="209"/>
      <c r="DII148" s="204"/>
      <c r="DIJ148" s="204"/>
      <c r="DIK148" s="204"/>
      <c r="DIL148" s="199"/>
      <c r="DIM148" s="167"/>
      <c r="DIN148" s="199"/>
      <c r="DIO148" s="200"/>
      <c r="DIP148" s="201"/>
      <c r="DIQ148" s="202"/>
      <c r="DIR148" s="202"/>
      <c r="DIS148" s="202"/>
      <c r="DIT148" s="202"/>
      <c r="DIU148" s="203"/>
      <c r="DIV148" s="204"/>
      <c r="DIW148" s="204"/>
      <c r="DIX148" s="204"/>
      <c r="DIY148" s="205"/>
      <c r="DIZ148" s="206"/>
      <c r="DJA148" s="207"/>
      <c r="DJB148" s="207"/>
      <c r="DJC148" s="208"/>
      <c r="DJD148" s="209"/>
      <c r="DJE148" s="207"/>
      <c r="DJF148" s="210"/>
      <c r="DJG148" s="209"/>
      <c r="DJH148" s="204"/>
      <c r="DJI148" s="204"/>
      <c r="DJJ148" s="204"/>
      <c r="DJK148" s="199"/>
      <c r="DJL148" s="167"/>
      <c r="DJM148" s="199"/>
      <c r="DJN148" s="200"/>
      <c r="DJO148" s="201"/>
      <c r="DJP148" s="202"/>
      <c r="DJQ148" s="202"/>
      <c r="DJR148" s="202"/>
      <c r="DJS148" s="202"/>
      <c r="DJT148" s="203"/>
      <c r="DJU148" s="204"/>
      <c r="DJV148" s="204"/>
      <c r="DJW148" s="204"/>
      <c r="DJX148" s="205"/>
      <c r="DJY148" s="206"/>
      <c r="DJZ148" s="207"/>
      <c r="DKA148" s="207"/>
      <c r="DKB148" s="208"/>
      <c r="DKC148" s="209"/>
      <c r="DKD148" s="207"/>
      <c r="DKE148" s="210"/>
      <c r="DKF148" s="209"/>
      <c r="DKG148" s="204"/>
      <c r="DKH148" s="204"/>
      <c r="DKI148" s="204"/>
      <c r="DKJ148" s="199"/>
      <c r="DKK148" s="167"/>
      <c r="DKL148" s="199"/>
      <c r="DKM148" s="200"/>
      <c r="DKN148" s="201"/>
      <c r="DKO148" s="202"/>
      <c r="DKP148" s="202"/>
      <c r="DKQ148" s="202"/>
      <c r="DKR148" s="202"/>
      <c r="DKS148" s="203"/>
      <c r="DKT148" s="204"/>
      <c r="DKU148" s="204"/>
      <c r="DKV148" s="204"/>
      <c r="DKW148" s="205"/>
      <c r="DKX148" s="206"/>
      <c r="DKY148" s="207"/>
      <c r="DKZ148" s="207"/>
      <c r="DLA148" s="208"/>
      <c r="DLB148" s="209"/>
      <c r="DLC148" s="207"/>
      <c r="DLD148" s="210"/>
      <c r="DLE148" s="209"/>
      <c r="DLF148" s="204"/>
      <c r="DLG148" s="204"/>
      <c r="DLH148" s="204"/>
      <c r="DLI148" s="199"/>
      <c r="DLJ148" s="167"/>
      <c r="DLK148" s="199"/>
      <c r="DLL148" s="200"/>
      <c r="DLM148" s="201"/>
      <c r="DLN148" s="202"/>
      <c r="DLO148" s="202"/>
      <c r="DLP148" s="202"/>
      <c r="DLQ148" s="202"/>
      <c r="DLR148" s="203"/>
      <c r="DLS148" s="204"/>
      <c r="DLT148" s="204"/>
      <c r="DLU148" s="204"/>
      <c r="DLV148" s="205"/>
      <c r="DLW148" s="206"/>
      <c r="DLX148" s="207"/>
      <c r="DLY148" s="207"/>
      <c r="DLZ148" s="208"/>
      <c r="DMA148" s="209"/>
      <c r="DMB148" s="207"/>
      <c r="DMC148" s="210"/>
      <c r="DMD148" s="209"/>
      <c r="DME148" s="204"/>
      <c r="DMF148" s="204"/>
      <c r="DMG148" s="204"/>
      <c r="DMH148" s="199"/>
      <c r="DMI148" s="167"/>
      <c r="DMJ148" s="199"/>
      <c r="DMK148" s="200"/>
      <c r="DML148" s="201"/>
      <c r="DMM148" s="202"/>
      <c r="DMN148" s="202"/>
      <c r="DMO148" s="202"/>
      <c r="DMP148" s="202"/>
      <c r="DMQ148" s="203"/>
      <c r="DMR148" s="204"/>
      <c r="DMS148" s="204"/>
      <c r="DMT148" s="204"/>
      <c r="DMU148" s="205"/>
      <c r="DMV148" s="206"/>
      <c r="DMW148" s="207"/>
      <c r="DMX148" s="207"/>
      <c r="DMY148" s="208"/>
      <c r="DMZ148" s="209"/>
      <c r="DNA148" s="207"/>
      <c r="DNB148" s="210"/>
      <c r="DNC148" s="209"/>
      <c r="DND148" s="204"/>
      <c r="DNE148" s="204"/>
      <c r="DNF148" s="204"/>
      <c r="DNG148" s="199"/>
      <c r="DNH148" s="167"/>
      <c r="DNI148" s="199"/>
      <c r="DNJ148" s="200"/>
      <c r="DNK148" s="201"/>
      <c r="DNL148" s="202"/>
      <c r="DNM148" s="202"/>
      <c r="DNN148" s="202"/>
      <c r="DNO148" s="202"/>
      <c r="DNP148" s="203"/>
      <c r="DNQ148" s="204"/>
      <c r="DNR148" s="204"/>
      <c r="DNS148" s="204"/>
      <c r="DNT148" s="205"/>
      <c r="DNU148" s="206"/>
      <c r="DNV148" s="207"/>
      <c r="DNW148" s="207"/>
      <c r="DNX148" s="208"/>
      <c r="DNY148" s="209"/>
      <c r="DNZ148" s="207"/>
      <c r="DOA148" s="210"/>
      <c r="DOB148" s="209"/>
      <c r="DOC148" s="204"/>
      <c r="DOD148" s="204"/>
      <c r="DOE148" s="204"/>
      <c r="DOF148" s="199"/>
      <c r="DOG148" s="167"/>
      <c r="DOH148" s="199"/>
      <c r="DOI148" s="200"/>
      <c r="DOJ148" s="201"/>
      <c r="DOK148" s="202"/>
      <c r="DOL148" s="202"/>
      <c r="DOM148" s="202"/>
      <c r="DON148" s="202"/>
      <c r="DOO148" s="203"/>
      <c r="DOP148" s="204"/>
      <c r="DOQ148" s="204"/>
      <c r="DOR148" s="204"/>
      <c r="DOS148" s="205"/>
      <c r="DOT148" s="206"/>
      <c r="DOU148" s="207"/>
      <c r="DOV148" s="207"/>
      <c r="DOW148" s="208"/>
      <c r="DOX148" s="209"/>
      <c r="DOY148" s="207"/>
      <c r="DOZ148" s="210"/>
      <c r="DPA148" s="209"/>
      <c r="DPB148" s="204"/>
      <c r="DPC148" s="204"/>
      <c r="DPD148" s="204"/>
      <c r="DPE148" s="199"/>
      <c r="DPF148" s="167"/>
      <c r="DPG148" s="199"/>
      <c r="DPH148" s="200"/>
      <c r="DPI148" s="201"/>
      <c r="DPJ148" s="202"/>
      <c r="DPK148" s="202"/>
      <c r="DPL148" s="202"/>
      <c r="DPM148" s="202"/>
      <c r="DPN148" s="203"/>
      <c r="DPO148" s="204"/>
      <c r="DPP148" s="204"/>
      <c r="DPQ148" s="204"/>
      <c r="DPR148" s="205"/>
      <c r="DPS148" s="206"/>
      <c r="DPT148" s="207"/>
      <c r="DPU148" s="207"/>
      <c r="DPV148" s="208"/>
      <c r="DPW148" s="209"/>
      <c r="DPX148" s="207"/>
      <c r="DPY148" s="210"/>
      <c r="DPZ148" s="209"/>
      <c r="DQA148" s="204"/>
      <c r="DQB148" s="204"/>
      <c r="DQC148" s="204"/>
      <c r="DQD148" s="199"/>
      <c r="DQE148" s="167"/>
      <c r="DQF148" s="199"/>
      <c r="DQG148" s="200"/>
      <c r="DQH148" s="201"/>
      <c r="DQI148" s="202"/>
      <c r="DQJ148" s="202"/>
      <c r="DQK148" s="202"/>
      <c r="DQL148" s="202"/>
      <c r="DQM148" s="203"/>
      <c r="DQN148" s="204"/>
      <c r="DQO148" s="204"/>
      <c r="DQP148" s="204"/>
      <c r="DQQ148" s="205"/>
      <c r="DQR148" s="206"/>
      <c r="DQS148" s="207"/>
      <c r="DQT148" s="207"/>
      <c r="DQU148" s="208"/>
      <c r="DQV148" s="209"/>
      <c r="DQW148" s="207"/>
      <c r="DQX148" s="210"/>
      <c r="DQY148" s="209"/>
      <c r="DQZ148" s="204"/>
      <c r="DRA148" s="204"/>
      <c r="DRB148" s="204"/>
      <c r="DRC148" s="199"/>
      <c r="DRD148" s="167"/>
      <c r="DRE148" s="199"/>
      <c r="DRF148" s="200"/>
      <c r="DRG148" s="201"/>
      <c r="DRH148" s="202"/>
      <c r="DRI148" s="202"/>
      <c r="DRJ148" s="202"/>
      <c r="DRK148" s="202"/>
      <c r="DRL148" s="203"/>
      <c r="DRM148" s="204"/>
      <c r="DRN148" s="204"/>
      <c r="DRO148" s="204"/>
      <c r="DRP148" s="205"/>
      <c r="DRQ148" s="206"/>
      <c r="DRR148" s="207"/>
      <c r="DRS148" s="207"/>
      <c r="DRT148" s="208"/>
      <c r="DRU148" s="209"/>
      <c r="DRV148" s="207"/>
      <c r="DRW148" s="210"/>
      <c r="DRX148" s="209"/>
      <c r="DRY148" s="204"/>
      <c r="DRZ148" s="204"/>
      <c r="DSA148" s="204"/>
      <c r="DSB148" s="199"/>
      <c r="DSC148" s="167"/>
      <c r="DSD148" s="199"/>
      <c r="DSE148" s="200"/>
      <c r="DSF148" s="201"/>
      <c r="DSG148" s="202"/>
      <c r="DSH148" s="202"/>
      <c r="DSI148" s="202"/>
      <c r="DSJ148" s="202"/>
      <c r="DSK148" s="203"/>
      <c r="DSL148" s="204"/>
      <c r="DSM148" s="204"/>
      <c r="DSN148" s="204"/>
      <c r="DSO148" s="205"/>
      <c r="DSP148" s="206"/>
      <c r="DSQ148" s="207"/>
      <c r="DSR148" s="207"/>
      <c r="DSS148" s="208"/>
      <c r="DST148" s="209"/>
      <c r="DSU148" s="207"/>
      <c r="DSV148" s="210"/>
      <c r="DSW148" s="209"/>
      <c r="DSX148" s="204"/>
      <c r="DSY148" s="204"/>
      <c r="DSZ148" s="204"/>
      <c r="DTA148" s="199"/>
      <c r="DTB148" s="167"/>
      <c r="DTC148" s="199"/>
      <c r="DTD148" s="200"/>
      <c r="DTE148" s="201"/>
      <c r="DTF148" s="202"/>
      <c r="DTG148" s="202"/>
      <c r="DTH148" s="202"/>
      <c r="DTI148" s="202"/>
      <c r="DTJ148" s="203"/>
      <c r="DTK148" s="204"/>
      <c r="DTL148" s="204"/>
      <c r="DTM148" s="204"/>
      <c r="DTN148" s="205"/>
      <c r="DTO148" s="206"/>
      <c r="DTP148" s="207"/>
      <c r="DTQ148" s="207"/>
      <c r="DTR148" s="208"/>
      <c r="DTS148" s="209"/>
      <c r="DTT148" s="207"/>
      <c r="DTU148" s="210"/>
      <c r="DTV148" s="209"/>
      <c r="DTW148" s="204"/>
      <c r="DTX148" s="204"/>
      <c r="DTY148" s="204"/>
      <c r="DTZ148" s="199"/>
      <c r="DUA148" s="167"/>
      <c r="DUB148" s="199"/>
      <c r="DUC148" s="200"/>
      <c r="DUD148" s="201"/>
      <c r="DUE148" s="202"/>
      <c r="DUF148" s="202"/>
      <c r="DUG148" s="202"/>
      <c r="DUH148" s="202"/>
      <c r="DUI148" s="203"/>
      <c r="DUJ148" s="204"/>
      <c r="DUK148" s="204"/>
      <c r="DUL148" s="204"/>
      <c r="DUM148" s="205"/>
      <c r="DUN148" s="206"/>
      <c r="DUO148" s="207"/>
      <c r="DUP148" s="207"/>
      <c r="DUQ148" s="208"/>
      <c r="DUR148" s="209"/>
      <c r="DUS148" s="207"/>
      <c r="DUT148" s="210"/>
      <c r="DUU148" s="209"/>
      <c r="DUV148" s="204"/>
      <c r="DUW148" s="204"/>
      <c r="DUX148" s="204"/>
      <c r="DUY148" s="199"/>
      <c r="DUZ148" s="167"/>
      <c r="DVA148" s="199"/>
      <c r="DVB148" s="200"/>
      <c r="DVC148" s="201"/>
      <c r="DVD148" s="202"/>
      <c r="DVE148" s="202"/>
      <c r="DVF148" s="202"/>
      <c r="DVG148" s="202"/>
      <c r="DVH148" s="203"/>
      <c r="DVI148" s="204"/>
      <c r="DVJ148" s="204"/>
      <c r="DVK148" s="204"/>
      <c r="DVL148" s="205"/>
      <c r="DVM148" s="206"/>
      <c r="DVN148" s="207"/>
      <c r="DVO148" s="207"/>
      <c r="DVP148" s="208"/>
      <c r="DVQ148" s="209"/>
      <c r="DVR148" s="207"/>
      <c r="DVS148" s="210"/>
      <c r="DVT148" s="209"/>
      <c r="DVU148" s="204"/>
      <c r="DVV148" s="204"/>
      <c r="DVW148" s="204"/>
      <c r="DVX148" s="199"/>
      <c r="DVY148" s="167"/>
      <c r="DVZ148" s="199"/>
      <c r="DWA148" s="200"/>
      <c r="DWB148" s="201"/>
      <c r="DWC148" s="202"/>
      <c r="DWD148" s="202"/>
      <c r="DWE148" s="202"/>
      <c r="DWF148" s="202"/>
      <c r="DWG148" s="203"/>
      <c r="DWH148" s="204"/>
      <c r="DWI148" s="204"/>
      <c r="DWJ148" s="204"/>
      <c r="DWK148" s="205"/>
      <c r="DWL148" s="206"/>
      <c r="DWM148" s="207"/>
      <c r="DWN148" s="207"/>
      <c r="DWO148" s="208"/>
      <c r="DWP148" s="209"/>
      <c r="DWQ148" s="207"/>
      <c r="DWR148" s="210"/>
      <c r="DWS148" s="209"/>
      <c r="DWT148" s="204"/>
      <c r="DWU148" s="204"/>
      <c r="DWV148" s="204"/>
      <c r="DWW148" s="199"/>
      <c r="DWX148" s="167"/>
      <c r="DWY148" s="199"/>
      <c r="DWZ148" s="200"/>
      <c r="DXA148" s="201"/>
      <c r="DXB148" s="202"/>
      <c r="DXC148" s="202"/>
      <c r="DXD148" s="202"/>
      <c r="DXE148" s="202"/>
      <c r="DXF148" s="203"/>
      <c r="DXG148" s="204"/>
      <c r="DXH148" s="204"/>
      <c r="DXI148" s="204"/>
      <c r="DXJ148" s="205"/>
      <c r="DXK148" s="206"/>
      <c r="DXL148" s="207"/>
      <c r="DXM148" s="207"/>
      <c r="DXN148" s="208"/>
      <c r="DXO148" s="209"/>
      <c r="DXP148" s="207"/>
      <c r="DXQ148" s="210"/>
      <c r="DXR148" s="209"/>
      <c r="DXS148" s="204"/>
      <c r="DXT148" s="204"/>
      <c r="DXU148" s="204"/>
      <c r="DXV148" s="199"/>
      <c r="DXW148" s="167"/>
      <c r="DXX148" s="199"/>
      <c r="DXY148" s="200"/>
      <c r="DXZ148" s="201"/>
      <c r="DYA148" s="202"/>
      <c r="DYB148" s="202"/>
      <c r="DYC148" s="202"/>
      <c r="DYD148" s="202"/>
      <c r="DYE148" s="203"/>
      <c r="DYF148" s="204"/>
      <c r="DYG148" s="204"/>
      <c r="DYH148" s="204"/>
      <c r="DYI148" s="205"/>
      <c r="DYJ148" s="206"/>
      <c r="DYK148" s="207"/>
      <c r="DYL148" s="207"/>
      <c r="DYM148" s="208"/>
      <c r="DYN148" s="209"/>
      <c r="DYO148" s="207"/>
      <c r="DYP148" s="210"/>
      <c r="DYQ148" s="209"/>
      <c r="DYR148" s="204"/>
      <c r="DYS148" s="204"/>
      <c r="DYT148" s="204"/>
      <c r="DYU148" s="199"/>
      <c r="DYV148" s="167"/>
      <c r="DYW148" s="199"/>
      <c r="DYX148" s="200"/>
      <c r="DYY148" s="201"/>
      <c r="DYZ148" s="202"/>
      <c r="DZA148" s="202"/>
      <c r="DZB148" s="202"/>
      <c r="DZC148" s="202"/>
      <c r="DZD148" s="203"/>
      <c r="DZE148" s="204"/>
      <c r="DZF148" s="204"/>
      <c r="DZG148" s="204"/>
      <c r="DZH148" s="205"/>
      <c r="DZI148" s="206"/>
      <c r="DZJ148" s="207"/>
      <c r="DZK148" s="207"/>
      <c r="DZL148" s="208"/>
      <c r="DZM148" s="209"/>
      <c r="DZN148" s="207"/>
      <c r="DZO148" s="210"/>
      <c r="DZP148" s="209"/>
      <c r="DZQ148" s="204"/>
      <c r="DZR148" s="204"/>
      <c r="DZS148" s="204"/>
      <c r="DZT148" s="199"/>
      <c r="DZU148" s="167"/>
      <c r="DZV148" s="199"/>
      <c r="DZW148" s="200"/>
      <c r="DZX148" s="201"/>
      <c r="DZY148" s="202"/>
      <c r="DZZ148" s="202"/>
      <c r="EAA148" s="202"/>
      <c r="EAB148" s="202"/>
      <c r="EAC148" s="203"/>
      <c r="EAD148" s="204"/>
      <c r="EAE148" s="204"/>
      <c r="EAF148" s="204"/>
      <c r="EAG148" s="205"/>
      <c r="EAH148" s="206"/>
      <c r="EAI148" s="207"/>
      <c r="EAJ148" s="207"/>
      <c r="EAK148" s="208"/>
      <c r="EAL148" s="209"/>
      <c r="EAM148" s="207"/>
      <c r="EAN148" s="210"/>
      <c r="EAO148" s="209"/>
      <c r="EAP148" s="204"/>
      <c r="EAQ148" s="204"/>
      <c r="EAR148" s="204"/>
      <c r="EAS148" s="199"/>
      <c r="EAT148" s="167"/>
      <c r="EAU148" s="199"/>
      <c r="EAV148" s="200"/>
      <c r="EAW148" s="201"/>
      <c r="EAX148" s="202"/>
      <c r="EAY148" s="202"/>
      <c r="EAZ148" s="202"/>
      <c r="EBA148" s="202"/>
      <c r="EBB148" s="203"/>
      <c r="EBC148" s="204"/>
      <c r="EBD148" s="204"/>
      <c r="EBE148" s="204"/>
      <c r="EBF148" s="205"/>
      <c r="EBG148" s="206"/>
      <c r="EBH148" s="207"/>
      <c r="EBI148" s="207"/>
      <c r="EBJ148" s="208"/>
      <c r="EBK148" s="209"/>
      <c r="EBL148" s="207"/>
      <c r="EBM148" s="210"/>
      <c r="EBN148" s="209"/>
      <c r="EBO148" s="204"/>
      <c r="EBP148" s="204"/>
      <c r="EBQ148" s="204"/>
      <c r="EBR148" s="199"/>
      <c r="EBS148" s="167"/>
      <c r="EBT148" s="199"/>
      <c r="EBU148" s="200"/>
      <c r="EBV148" s="201"/>
      <c r="EBW148" s="202"/>
      <c r="EBX148" s="202"/>
      <c r="EBY148" s="202"/>
      <c r="EBZ148" s="202"/>
      <c r="ECA148" s="203"/>
      <c r="ECB148" s="204"/>
      <c r="ECC148" s="204"/>
      <c r="ECD148" s="204"/>
      <c r="ECE148" s="205"/>
      <c r="ECF148" s="206"/>
      <c r="ECG148" s="207"/>
      <c r="ECH148" s="207"/>
      <c r="ECI148" s="208"/>
      <c r="ECJ148" s="209"/>
      <c r="ECK148" s="207"/>
      <c r="ECL148" s="210"/>
      <c r="ECM148" s="209"/>
      <c r="ECN148" s="204"/>
      <c r="ECO148" s="204"/>
      <c r="ECP148" s="204"/>
      <c r="ECQ148" s="199"/>
      <c r="ECR148" s="167"/>
      <c r="ECS148" s="199"/>
      <c r="ECT148" s="200"/>
      <c r="ECU148" s="201"/>
      <c r="ECV148" s="202"/>
      <c r="ECW148" s="202"/>
      <c r="ECX148" s="202"/>
      <c r="ECY148" s="202"/>
      <c r="ECZ148" s="203"/>
      <c r="EDA148" s="204"/>
      <c r="EDB148" s="204"/>
      <c r="EDC148" s="204"/>
      <c r="EDD148" s="205"/>
      <c r="EDE148" s="206"/>
      <c r="EDF148" s="207"/>
      <c r="EDG148" s="207"/>
      <c r="EDH148" s="208"/>
      <c r="EDI148" s="209"/>
      <c r="EDJ148" s="207"/>
      <c r="EDK148" s="210"/>
      <c r="EDL148" s="209"/>
      <c r="EDM148" s="204"/>
      <c r="EDN148" s="204"/>
      <c r="EDO148" s="204"/>
      <c r="EDP148" s="199"/>
      <c r="EDQ148" s="167"/>
      <c r="EDR148" s="199"/>
      <c r="EDS148" s="200"/>
      <c r="EDT148" s="201"/>
      <c r="EDU148" s="202"/>
      <c r="EDV148" s="202"/>
      <c r="EDW148" s="202"/>
      <c r="EDX148" s="202"/>
      <c r="EDY148" s="203"/>
      <c r="EDZ148" s="204"/>
      <c r="EEA148" s="204"/>
      <c r="EEB148" s="204"/>
      <c r="EEC148" s="205"/>
      <c r="EED148" s="206"/>
      <c r="EEE148" s="207"/>
      <c r="EEF148" s="207"/>
      <c r="EEG148" s="208"/>
      <c r="EEH148" s="209"/>
      <c r="EEI148" s="207"/>
      <c r="EEJ148" s="210"/>
      <c r="EEK148" s="209"/>
      <c r="EEL148" s="204"/>
      <c r="EEM148" s="204"/>
      <c r="EEN148" s="204"/>
      <c r="EEO148" s="199"/>
      <c r="EEP148" s="167"/>
      <c r="EEQ148" s="199"/>
      <c r="EER148" s="200"/>
      <c r="EES148" s="201"/>
      <c r="EET148" s="202"/>
      <c r="EEU148" s="202"/>
      <c r="EEV148" s="202"/>
      <c r="EEW148" s="202"/>
      <c r="EEX148" s="203"/>
      <c r="EEY148" s="204"/>
      <c r="EEZ148" s="204"/>
      <c r="EFA148" s="204"/>
      <c r="EFB148" s="205"/>
      <c r="EFC148" s="206"/>
      <c r="EFD148" s="207"/>
      <c r="EFE148" s="207"/>
      <c r="EFF148" s="208"/>
      <c r="EFG148" s="209"/>
      <c r="EFH148" s="207"/>
      <c r="EFI148" s="210"/>
      <c r="EFJ148" s="209"/>
      <c r="EFK148" s="204"/>
      <c r="EFL148" s="204"/>
      <c r="EFM148" s="204"/>
      <c r="EFN148" s="199"/>
      <c r="EFO148" s="167"/>
      <c r="EFP148" s="199"/>
      <c r="EFQ148" s="200"/>
      <c r="EFR148" s="201"/>
      <c r="EFS148" s="202"/>
      <c r="EFT148" s="202"/>
      <c r="EFU148" s="202"/>
      <c r="EFV148" s="202"/>
      <c r="EFW148" s="203"/>
      <c r="EFX148" s="204"/>
      <c r="EFY148" s="204"/>
      <c r="EFZ148" s="204"/>
      <c r="EGA148" s="205"/>
      <c r="EGB148" s="206"/>
      <c r="EGC148" s="207"/>
      <c r="EGD148" s="207"/>
      <c r="EGE148" s="208"/>
      <c r="EGF148" s="209"/>
      <c r="EGG148" s="207"/>
      <c r="EGH148" s="210"/>
      <c r="EGI148" s="209"/>
      <c r="EGJ148" s="204"/>
      <c r="EGK148" s="204"/>
      <c r="EGL148" s="204"/>
      <c r="EGM148" s="199"/>
      <c r="EGN148" s="167"/>
      <c r="EGO148" s="199"/>
      <c r="EGP148" s="200"/>
      <c r="EGQ148" s="201"/>
      <c r="EGR148" s="202"/>
      <c r="EGS148" s="202"/>
      <c r="EGT148" s="202"/>
      <c r="EGU148" s="202"/>
      <c r="EGV148" s="203"/>
      <c r="EGW148" s="204"/>
      <c r="EGX148" s="204"/>
      <c r="EGY148" s="204"/>
      <c r="EGZ148" s="205"/>
      <c r="EHA148" s="206"/>
      <c r="EHB148" s="207"/>
      <c r="EHC148" s="207"/>
      <c r="EHD148" s="208"/>
      <c r="EHE148" s="209"/>
      <c r="EHF148" s="207"/>
      <c r="EHG148" s="210"/>
      <c r="EHH148" s="209"/>
      <c r="EHI148" s="204"/>
      <c r="EHJ148" s="204"/>
      <c r="EHK148" s="204"/>
      <c r="EHL148" s="199"/>
      <c r="EHM148" s="167"/>
      <c r="EHN148" s="199"/>
      <c r="EHO148" s="200"/>
      <c r="EHP148" s="201"/>
      <c r="EHQ148" s="202"/>
      <c r="EHR148" s="202"/>
      <c r="EHS148" s="202"/>
      <c r="EHT148" s="202"/>
      <c r="EHU148" s="203"/>
      <c r="EHV148" s="204"/>
      <c r="EHW148" s="204"/>
      <c r="EHX148" s="204"/>
      <c r="EHY148" s="205"/>
      <c r="EHZ148" s="206"/>
      <c r="EIA148" s="207"/>
      <c r="EIB148" s="207"/>
      <c r="EIC148" s="208"/>
      <c r="EID148" s="209"/>
      <c r="EIE148" s="207"/>
      <c r="EIF148" s="210"/>
      <c r="EIG148" s="209"/>
      <c r="EIH148" s="204"/>
      <c r="EII148" s="204"/>
      <c r="EIJ148" s="204"/>
      <c r="EIK148" s="199"/>
      <c r="EIL148" s="167"/>
      <c r="EIM148" s="199"/>
      <c r="EIN148" s="200"/>
      <c r="EIO148" s="201"/>
      <c r="EIP148" s="202"/>
      <c r="EIQ148" s="202"/>
      <c r="EIR148" s="202"/>
      <c r="EIS148" s="202"/>
      <c r="EIT148" s="203"/>
      <c r="EIU148" s="204"/>
      <c r="EIV148" s="204"/>
      <c r="EIW148" s="204"/>
      <c r="EIX148" s="205"/>
      <c r="EIY148" s="206"/>
      <c r="EIZ148" s="207"/>
      <c r="EJA148" s="207"/>
      <c r="EJB148" s="208"/>
      <c r="EJC148" s="209"/>
      <c r="EJD148" s="207"/>
      <c r="EJE148" s="210"/>
      <c r="EJF148" s="209"/>
      <c r="EJG148" s="204"/>
      <c r="EJH148" s="204"/>
      <c r="EJI148" s="204"/>
      <c r="EJJ148" s="199"/>
      <c r="EJK148" s="167"/>
      <c r="EJL148" s="199"/>
      <c r="EJM148" s="200"/>
      <c r="EJN148" s="201"/>
      <c r="EJO148" s="202"/>
      <c r="EJP148" s="202"/>
      <c r="EJQ148" s="202"/>
      <c r="EJR148" s="202"/>
      <c r="EJS148" s="203"/>
      <c r="EJT148" s="204"/>
      <c r="EJU148" s="204"/>
      <c r="EJV148" s="204"/>
      <c r="EJW148" s="205"/>
      <c r="EJX148" s="206"/>
      <c r="EJY148" s="207"/>
      <c r="EJZ148" s="207"/>
      <c r="EKA148" s="208"/>
      <c r="EKB148" s="209"/>
      <c r="EKC148" s="207"/>
      <c r="EKD148" s="210"/>
      <c r="EKE148" s="209"/>
      <c r="EKF148" s="204"/>
      <c r="EKG148" s="204"/>
      <c r="EKH148" s="204"/>
      <c r="EKI148" s="199"/>
      <c r="EKJ148" s="167"/>
      <c r="EKK148" s="199"/>
      <c r="EKL148" s="200"/>
      <c r="EKM148" s="201"/>
      <c r="EKN148" s="202"/>
      <c r="EKO148" s="202"/>
      <c r="EKP148" s="202"/>
      <c r="EKQ148" s="202"/>
      <c r="EKR148" s="203"/>
      <c r="EKS148" s="204"/>
      <c r="EKT148" s="204"/>
      <c r="EKU148" s="204"/>
      <c r="EKV148" s="205"/>
      <c r="EKW148" s="206"/>
      <c r="EKX148" s="207"/>
      <c r="EKY148" s="207"/>
      <c r="EKZ148" s="208"/>
      <c r="ELA148" s="209"/>
      <c r="ELB148" s="207"/>
      <c r="ELC148" s="210"/>
      <c r="ELD148" s="209"/>
      <c r="ELE148" s="204"/>
      <c r="ELF148" s="204"/>
      <c r="ELG148" s="204"/>
      <c r="ELH148" s="199"/>
      <c r="ELI148" s="167"/>
      <c r="ELJ148" s="199"/>
      <c r="ELK148" s="200"/>
      <c r="ELL148" s="201"/>
      <c r="ELM148" s="202"/>
      <c r="ELN148" s="202"/>
      <c r="ELO148" s="202"/>
      <c r="ELP148" s="202"/>
      <c r="ELQ148" s="203"/>
      <c r="ELR148" s="204"/>
      <c r="ELS148" s="204"/>
      <c r="ELT148" s="204"/>
      <c r="ELU148" s="205"/>
      <c r="ELV148" s="206"/>
      <c r="ELW148" s="207"/>
      <c r="ELX148" s="207"/>
      <c r="ELY148" s="208"/>
      <c r="ELZ148" s="209"/>
      <c r="EMA148" s="207"/>
      <c r="EMB148" s="210"/>
      <c r="EMC148" s="209"/>
      <c r="EMD148" s="204"/>
      <c r="EME148" s="204"/>
      <c r="EMF148" s="204"/>
      <c r="EMG148" s="199"/>
      <c r="EMH148" s="167"/>
      <c r="EMI148" s="199"/>
      <c r="EMJ148" s="200"/>
      <c r="EMK148" s="201"/>
      <c r="EML148" s="202"/>
      <c r="EMM148" s="202"/>
      <c r="EMN148" s="202"/>
      <c r="EMO148" s="202"/>
      <c r="EMP148" s="203"/>
      <c r="EMQ148" s="204"/>
      <c r="EMR148" s="204"/>
      <c r="EMS148" s="204"/>
      <c r="EMT148" s="205"/>
      <c r="EMU148" s="206"/>
      <c r="EMV148" s="207"/>
      <c r="EMW148" s="207"/>
      <c r="EMX148" s="208"/>
      <c r="EMY148" s="209"/>
      <c r="EMZ148" s="207"/>
      <c r="ENA148" s="210"/>
      <c r="ENB148" s="209"/>
      <c r="ENC148" s="204"/>
      <c r="END148" s="204"/>
      <c r="ENE148" s="204"/>
      <c r="ENF148" s="199"/>
      <c r="ENG148" s="167"/>
      <c r="ENH148" s="199"/>
      <c r="ENI148" s="200"/>
      <c r="ENJ148" s="201"/>
      <c r="ENK148" s="202"/>
      <c r="ENL148" s="202"/>
      <c r="ENM148" s="202"/>
      <c r="ENN148" s="202"/>
      <c r="ENO148" s="203"/>
      <c r="ENP148" s="204"/>
      <c r="ENQ148" s="204"/>
      <c r="ENR148" s="204"/>
      <c r="ENS148" s="205"/>
      <c r="ENT148" s="206"/>
      <c r="ENU148" s="207"/>
      <c r="ENV148" s="207"/>
      <c r="ENW148" s="208"/>
      <c r="ENX148" s="209"/>
      <c r="ENY148" s="207"/>
      <c r="ENZ148" s="210"/>
      <c r="EOA148" s="209"/>
      <c r="EOB148" s="204"/>
      <c r="EOC148" s="204"/>
      <c r="EOD148" s="204"/>
      <c r="EOE148" s="199"/>
      <c r="EOF148" s="167"/>
      <c r="EOG148" s="199"/>
      <c r="EOH148" s="200"/>
      <c r="EOI148" s="201"/>
      <c r="EOJ148" s="202"/>
      <c r="EOK148" s="202"/>
      <c r="EOL148" s="202"/>
      <c r="EOM148" s="202"/>
      <c r="EON148" s="203"/>
      <c r="EOO148" s="204"/>
      <c r="EOP148" s="204"/>
      <c r="EOQ148" s="204"/>
      <c r="EOR148" s="205"/>
      <c r="EOS148" s="206"/>
      <c r="EOT148" s="207"/>
      <c r="EOU148" s="207"/>
      <c r="EOV148" s="208"/>
      <c r="EOW148" s="209"/>
      <c r="EOX148" s="207"/>
      <c r="EOY148" s="210"/>
      <c r="EOZ148" s="209"/>
      <c r="EPA148" s="204"/>
      <c r="EPB148" s="204"/>
      <c r="EPC148" s="204"/>
      <c r="EPD148" s="199"/>
      <c r="EPE148" s="167"/>
      <c r="EPF148" s="199"/>
      <c r="EPG148" s="200"/>
      <c r="EPH148" s="201"/>
      <c r="EPI148" s="202"/>
      <c r="EPJ148" s="202"/>
      <c r="EPK148" s="202"/>
      <c r="EPL148" s="202"/>
      <c r="EPM148" s="203"/>
      <c r="EPN148" s="204"/>
      <c r="EPO148" s="204"/>
      <c r="EPP148" s="204"/>
      <c r="EPQ148" s="205"/>
      <c r="EPR148" s="206"/>
      <c r="EPS148" s="207"/>
      <c r="EPT148" s="207"/>
      <c r="EPU148" s="208"/>
      <c r="EPV148" s="209"/>
      <c r="EPW148" s="207"/>
      <c r="EPX148" s="210"/>
      <c r="EPY148" s="209"/>
      <c r="EPZ148" s="204"/>
      <c r="EQA148" s="204"/>
      <c r="EQB148" s="204"/>
      <c r="EQC148" s="199"/>
      <c r="EQD148" s="167"/>
      <c r="EQE148" s="199"/>
      <c r="EQF148" s="200"/>
      <c r="EQG148" s="201"/>
      <c r="EQH148" s="202"/>
      <c r="EQI148" s="202"/>
      <c r="EQJ148" s="202"/>
      <c r="EQK148" s="202"/>
      <c r="EQL148" s="203"/>
      <c r="EQM148" s="204"/>
      <c r="EQN148" s="204"/>
      <c r="EQO148" s="204"/>
      <c r="EQP148" s="205"/>
      <c r="EQQ148" s="206"/>
      <c r="EQR148" s="207"/>
      <c r="EQS148" s="207"/>
      <c r="EQT148" s="208"/>
      <c r="EQU148" s="209"/>
      <c r="EQV148" s="207"/>
      <c r="EQW148" s="210"/>
      <c r="EQX148" s="209"/>
      <c r="EQY148" s="204"/>
      <c r="EQZ148" s="204"/>
      <c r="ERA148" s="204"/>
      <c r="ERB148" s="199"/>
      <c r="ERC148" s="167"/>
      <c r="ERD148" s="199"/>
      <c r="ERE148" s="200"/>
      <c r="ERF148" s="201"/>
      <c r="ERG148" s="202"/>
      <c r="ERH148" s="202"/>
      <c r="ERI148" s="202"/>
      <c r="ERJ148" s="202"/>
      <c r="ERK148" s="203"/>
      <c r="ERL148" s="204"/>
      <c r="ERM148" s="204"/>
      <c r="ERN148" s="204"/>
      <c r="ERO148" s="205"/>
      <c r="ERP148" s="206"/>
      <c r="ERQ148" s="207"/>
      <c r="ERR148" s="207"/>
      <c r="ERS148" s="208"/>
      <c r="ERT148" s="209"/>
      <c r="ERU148" s="207"/>
      <c r="ERV148" s="210"/>
      <c r="ERW148" s="209"/>
      <c r="ERX148" s="204"/>
      <c r="ERY148" s="204"/>
      <c r="ERZ148" s="204"/>
      <c r="ESA148" s="199"/>
      <c r="ESB148" s="167"/>
      <c r="ESC148" s="199"/>
      <c r="ESD148" s="200"/>
      <c r="ESE148" s="201"/>
      <c r="ESF148" s="202"/>
      <c r="ESG148" s="202"/>
      <c r="ESH148" s="202"/>
      <c r="ESI148" s="202"/>
      <c r="ESJ148" s="203"/>
      <c r="ESK148" s="204"/>
      <c r="ESL148" s="204"/>
      <c r="ESM148" s="204"/>
      <c r="ESN148" s="205"/>
      <c r="ESO148" s="206"/>
      <c r="ESP148" s="207"/>
      <c r="ESQ148" s="207"/>
      <c r="ESR148" s="208"/>
      <c r="ESS148" s="209"/>
      <c r="EST148" s="207"/>
      <c r="ESU148" s="210"/>
      <c r="ESV148" s="209"/>
      <c r="ESW148" s="204"/>
      <c r="ESX148" s="204"/>
      <c r="ESY148" s="204"/>
      <c r="ESZ148" s="199"/>
      <c r="ETA148" s="167"/>
      <c r="ETB148" s="199"/>
      <c r="ETC148" s="200"/>
      <c r="ETD148" s="201"/>
      <c r="ETE148" s="202"/>
      <c r="ETF148" s="202"/>
      <c r="ETG148" s="202"/>
      <c r="ETH148" s="202"/>
      <c r="ETI148" s="203"/>
      <c r="ETJ148" s="204"/>
      <c r="ETK148" s="204"/>
      <c r="ETL148" s="204"/>
      <c r="ETM148" s="205"/>
      <c r="ETN148" s="206"/>
      <c r="ETO148" s="207"/>
      <c r="ETP148" s="207"/>
      <c r="ETQ148" s="208"/>
      <c r="ETR148" s="209"/>
      <c r="ETS148" s="207"/>
      <c r="ETT148" s="210"/>
      <c r="ETU148" s="209"/>
      <c r="ETV148" s="204"/>
      <c r="ETW148" s="204"/>
      <c r="ETX148" s="204"/>
      <c r="ETY148" s="199"/>
      <c r="ETZ148" s="167"/>
      <c r="EUA148" s="199"/>
      <c r="EUB148" s="200"/>
      <c r="EUC148" s="201"/>
      <c r="EUD148" s="202"/>
      <c r="EUE148" s="202"/>
      <c r="EUF148" s="202"/>
      <c r="EUG148" s="202"/>
      <c r="EUH148" s="203"/>
      <c r="EUI148" s="204"/>
      <c r="EUJ148" s="204"/>
      <c r="EUK148" s="204"/>
      <c r="EUL148" s="205"/>
      <c r="EUM148" s="206"/>
      <c r="EUN148" s="207"/>
      <c r="EUO148" s="207"/>
      <c r="EUP148" s="208"/>
      <c r="EUQ148" s="209"/>
      <c r="EUR148" s="207"/>
      <c r="EUS148" s="210"/>
      <c r="EUT148" s="209"/>
      <c r="EUU148" s="204"/>
      <c r="EUV148" s="204"/>
      <c r="EUW148" s="204"/>
      <c r="EUX148" s="199"/>
      <c r="EUY148" s="167"/>
      <c r="EUZ148" s="199"/>
      <c r="EVA148" s="200"/>
      <c r="EVB148" s="201"/>
      <c r="EVC148" s="202"/>
      <c r="EVD148" s="202"/>
      <c r="EVE148" s="202"/>
      <c r="EVF148" s="202"/>
      <c r="EVG148" s="203"/>
      <c r="EVH148" s="204"/>
      <c r="EVI148" s="204"/>
      <c r="EVJ148" s="204"/>
      <c r="EVK148" s="205"/>
      <c r="EVL148" s="206"/>
      <c r="EVM148" s="207"/>
      <c r="EVN148" s="207"/>
      <c r="EVO148" s="208"/>
      <c r="EVP148" s="209"/>
      <c r="EVQ148" s="207"/>
      <c r="EVR148" s="210"/>
      <c r="EVS148" s="209"/>
      <c r="EVT148" s="204"/>
      <c r="EVU148" s="204"/>
      <c r="EVV148" s="204"/>
      <c r="EVW148" s="199"/>
      <c r="EVX148" s="167"/>
      <c r="EVY148" s="199"/>
      <c r="EVZ148" s="200"/>
      <c r="EWA148" s="201"/>
      <c r="EWB148" s="202"/>
      <c r="EWC148" s="202"/>
      <c r="EWD148" s="202"/>
      <c r="EWE148" s="202"/>
      <c r="EWF148" s="203"/>
      <c r="EWG148" s="204"/>
      <c r="EWH148" s="204"/>
      <c r="EWI148" s="204"/>
      <c r="EWJ148" s="205"/>
      <c r="EWK148" s="206"/>
      <c r="EWL148" s="207"/>
      <c r="EWM148" s="207"/>
      <c r="EWN148" s="208"/>
      <c r="EWO148" s="209"/>
      <c r="EWP148" s="207"/>
      <c r="EWQ148" s="210"/>
      <c r="EWR148" s="209"/>
      <c r="EWS148" s="204"/>
      <c r="EWT148" s="204"/>
      <c r="EWU148" s="204"/>
      <c r="EWV148" s="199"/>
      <c r="EWW148" s="167"/>
      <c r="EWX148" s="199"/>
      <c r="EWY148" s="200"/>
      <c r="EWZ148" s="201"/>
      <c r="EXA148" s="202"/>
      <c r="EXB148" s="202"/>
      <c r="EXC148" s="202"/>
      <c r="EXD148" s="202"/>
      <c r="EXE148" s="203"/>
      <c r="EXF148" s="204"/>
      <c r="EXG148" s="204"/>
      <c r="EXH148" s="204"/>
      <c r="EXI148" s="205"/>
      <c r="EXJ148" s="206"/>
      <c r="EXK148" s="207"/>
      <c r="EXL148" s="207"/>
      <c r="EXM148" s="208"/>
      <c r="EXN148" s="209"/>
      <c r="EXO148" s="207"/>
      <c r="EXP148" s="210"/>
      <c r="EXQ148" s="209"/>
      <c r="EXR148" s="204"/>
      <c r="EXS148" s="204"/>
      <c r="EXT148" s="204"/>
      <c r="EXU148" s="199"/>
      <c r="EXV148" s="167"/>
      <c r="EXW148" s="199"/>
      <c r="EXX148" s="200"/>
      <c r="EXY148" s="201"/>
      <c r="EXZ148" s="202"/>
      <c r="EYA148" s="202"/>
      <c r="EYB148" s="202"/>
      <c r="EYC148" s="202"/>
      <c r="EYD148" s="203"/>
      <c r="EYE148" s="204"/>
      <c r="EYF148" s="204"/>
      <c r="EYG148" s="204"/>
      <c r="EYH148" s="205"/>
      <c r="EYI148" s="206"/>
      <c r="EYJ148" s="207"/>
      <c r="EYK148" s="207"/>
      <c r="EYL148" s="208"/>
      <c r="EYM148" s="209"/>
      <c r="EYN148" s="207"/>
      <c r="EYO148" s="210"/>
      <c r="EYP148" s="209"/>
      <c r="EYQ148" s="204"/>
      <c r="EYR148" s="204"/>
      <c r="EYS148" s="204"/>
      <c r="EYT148" s="199"/>
      <c r="EYU148" s="167"/>
      <c r="EYV148" s="199"/>
      <c r="EYW148" s="200"/>
      <c r="EYX148" s="201"/>
      <c r="EYY148" s="202"/>
      <c r="EYZ148" s="202"/>
      <c r="EZA148" s="202"/>
      <c r="EZB148" s="202"/>
      <c r="EZC148" s="203"/>
      <c r="EZD148" s="204"/>
      <c r="EZE148" s="204"/>
      <c r="EZF148" s="204"/>
      <c r="EZG148" s="205"/>
      <c r="EZH148" s="206"/>
      <c r="EZI148" s="207"/>
      <c r="EZJ148" s="207"/>
      <c r="EZK148" s="208"/>
      <c r="EZL148" s="209"/>
      <c r="EZM148" s="207"/>
      <c r="EZN148" s="210"/>
      <c r="EZO148" s="209"/>
      <c r="EZP148" s="204"/>
      <c r="EZQ148" s="204"/>
      <c r="EZR148" s="204"/>
      <c r="EZS148" s="199"/>
      <c r="EZT148" s="167"/>
      <c r="EZU148" s="199"/>
      <c r="EZV148" s="200"/>
      <c r="EZW148" s="201"/>
      <c r="EZX148" s="202"/>
      <c r="EZY148" s="202"/>
      <c r="EZZ148" s="202"/>
      <c r="FAA148" s="202"/>
      <c r="FAB148" s="203"/>
      <c r="FAC148" s="204"/>
      <c r="FAD148" s="204"/>
      <c r="FAE148" s="204"/>
      <c r="FAF148" s="205"/>
      <c r="FAG148" s="206"/>
      <c r="FAH148" s="207"/>
      <c r="FAI148" s="207"/>
      <c r="FAJ148" s="208"/>
      <c r="FAK148" s="209"/>
      <c r="FAL148" s="207"/>
      <c r="FAM148" s="210"/>
      <c r="FAN148" s="209"/>
      <c r="FAO148" s="204"/>
      <c r="FAP148" s="204"/>
      <c r="FAQ148" s="204"/>
      <c r="FAR148" s="199"/>
      <c r="FAS148" s="167"/>
      <c r="FAT148" s="199"/>
      <c r="FAU148" s="200"/>
      <c r="FAV148" s="201"/>
      <c r="FAW148" s="202"/>
      <c r="FAX148" s="202"/>
      <c r="FAY148" s="202"/>
      <c r="FAZ148" s="202"/>
      <c r="FBA148" s="203"/>
      <c r="FBB148" s="204"/>
      <c r="FBC148" s="204"/>
      <c r="FBD148" s="204"/>
      <c r="FBE148" s="205"/>
      <c r="FBF148" s="206"/>
      <c r="FBG148" s="207"/>
      <c r="FBH148" s="207"/>
      <c r="FBI148" s="208"/>
      <c r="FBJ148" s="209"/>
      <c r="FBK148" s="207"/>
      <c r="FBL148" s="210"/>
      <c r="FBM148" s="209"/>
      <c r="FBN148" s="204"/>
      <c r="FBO148" s="204"/>
      <c r="FBP148" s="204"/>
      <c r="FBQ148" s="199"/>
      <c r="FBR148" s="167"/>
      <c r="FBS148" s="199"/>
      <c r="FBT148" s="200"/>
      <c r="FBU148" s="201"/>
      <c r="FBV148" s="202"/>
      <c r="FBW148" s="202"/>
      <c r="FBX148" s="202"/>
      <c r="FBY148" s="202"/>
      <c r="FBZ148" s="203"/>
      <c r="FCA148" s="204"/>
      <c r="FCB148" s="204"/>
      <c r="FCC148" s="204"/>
      <c r="FCD148" s="205"/>
      <c r="FCE148" s="206"/>
      <c r="FCF148" s="207"/>
      <c r="FCG148" s="207"/>
      <c r="FCH148" s="208"/>
      <c r="FCI148" s="209"/>
      <c r="FCJ148" s="207"/>
      <c r="FCK148" s="210"/>
      <c r="FCL148" s="209"/>
      <c r="FCM148" s="204"/>
      <c r="FCN148" s="204"/>
      <c r="FCO148" s="204"/>
      <c r="FCP148" s="199"/>
      <c r="FCQ148" s="167"/>
      <c r="FCR148" s="199"/>
      <c r="FCS148" s="200"/>
      <c r="FCT148" s="201"/>
      <c r="FCU148" s="202"/>
      <c r="FCV148" s="202"/>
      <c r="FCW148" s="202"/>
      <c r="FCX148" s="202"/>
      <c r="FCY148" s="203"/>
      <c r="FCZ148" s="204"/>
      <c r="FDA148" s="204"/>
      <c r="FDB148" s="204"/>
      <c r="FDC148" s="205"/>
      <c r="FDD148" s="206"/>
      <c r="FDE148" s="207"/>
      <c r="FDF148" s="207"/>
      <c r="FDG148" s="208"/>
      <c r="FDH148" s="209"/>
      <c r="FDI148" s="207"/>
      <c r="FDJ148" s="210"/>
      <c r="FDK148" s="209"/>
      <c r="FDL148" s="204"/>
      <c r="FDM148" s="204"/>
      <c r="FDN148" s="204"/>
      <c r="FDO148" s="199"/>
      <c r="FDP148" s="167"/>
      <c r="FDQ148" s="199"/>
      <c r="FDR148" s="200"/>
      <c r="FDS148" s="201"/>
      <c r="FDT148" s="202"/>
      <c r="FDU148" s="202"/>
      <c r="FDV148" s="202"/>
      <c r="FDW148" s="202"/>
      <c r="FDX148" s="203"/>
      <c r="FDY148" s="204"/>
      <c r="FDZ148" s="204"/>
      <c r="FEA148" s="204"/>
      <c r="FEB148" s="205"/>
      <c r="FEC148" s="206"/>
      <c r="FED148" s="207"/>
      <c r="FEE148" s="207"/>
      <c r="FEF148" s="208"/>
      <c r="FEG148" s="209"/>
      <c r="FEH148" s="207"/>
      <c r="FEI148" s="210"/>
      <c r="FEJ148" s="209"/>
      <c r="FEK148" s="204"/>
      <c r="FEL148" s="204"/>
      <c r="FEM148" s="204"/>
      <c r="FEN148" s="199"/>
      <c r="FEO148" s="167"/>
      <c r="FEP148" s="199"/>
      <c r="FEQ148" s="200"/>
      <c r="FER148" s="201"/>
      <c r="FES148" s="202"/>
      <c r="FET148" s="202"/>
      <c r="FEU148" s="202"/>
      <c r="FEV148" s="202"/>
      <c r="FEW148" s="203"/>
      <c r="FEX148" s="204"/>
      <c r="FEY148" s="204"/>
      <c r="FEZ148" s="204"/>
      <c r="FFA148" s="205"/>
      <c r="FFB148" s="206"/>
      <c r="FFC148" s="207"/>
      <c r="FFD148" s="207"/>
      <c r="FFE148" s="208"/>
      <c r="FFF148" s="209"/>
      <c r="FFG148" s="207"/>
      <c r="FFH148" s="210"/>
      <c r="FFI148" s="209"/>
      <c r="FFJ148" s="204"/>
      <c r="FFK148" s="204"/>
      <c r="FFL148" s="204"/>
      <c r="FFM148" s="199"/>
      <c r="FFN148" s="167"/>
      <c r="FFO148" s="199"/>
      <c r="FFP148" s="200"/>
      <c r="FFQ148" s="201"/>
      <c r="FFR148" s="202"/>
      <c r="FFS148" s="202"/>
      <c r="FFT148" s="202"/>
      <c r="FFU148" s="202"/>
      <c r="FFV148" s="203"/>
      <c r="FFW148" s="204"/>
      <c r="FFX148" s="204"/>
      <c r="FFY148" s="204"/>
      <c r="FFZ148" s="205"/>
      <c r="FGA148" s="206"/>
      <c r="FGB148" s="207"/>
      <c r="FGC148" s="207"/>
      <c r="FGD148" s="208"/>
      <c r="FGE148" s="209"/>
      <c r="FGF148" s="207"/>
      <c r="FGG148" s="210"/>
      <c r="FGH148" s="209"/>
      <c r="FGI148" s="204"/>
      <c r="FGJ148" s="204"/>
      <c r="FGK148" s="204"/>
      <c r="FGL148" s="199"/>
      <c r="FGM148" s="167"/>
      <c r="FGN148" s="199"/>
      <c r="FGO148" s="200"/>
      <c r="FGP148" s="201"/>
      <c r="FGQ148" s="202"/>
      <c r="FGR148" s="202"/>
      <c r="FGS148" s="202"/>
      <c r="FGT148" s="202"/>
      <c r="FGU148" s="203"/>
      <c r="FGV148" s="204"/>
      <c r="FGW148" s="204"/>
      <c r="FGX148" s="204"/>
      <c r="FGY148" s="205"/>
      <c r="FGZ148" s="206"/>
      <c r="FHA148" s="207"/>
      <c r="FHB148" s="207"/>
      <c r="FHC148" s="208"/>
      <c r="FHD148" s="209"/>
      <c r="FHE148" s="207"/>
      <c r="FHF148" s="210"/>
      <c r="FHG148" s="209"/>
      <c r="FHH148" s="204"/>
      <c r="FHI148" s="204"/>
      <c r="FHJ148" s="204"/>
      <c r="FHK148" s="199"/>
      <c r="FHL148" s="167"/>
      <c r="FHM148" s="199"/>
      <c r="FHN148" s="200"/>
      <c r="FHO148" s="201"/>
      <c r="FHP148" s="202"/>
      <c r="FHQ148" s="202"/>
      <c r="FHR148" s="202"/>
      <c r="FHS148" s="202"/>
      <c r="FHT148" s="203"/>
      <c r="FHU148" s="204"/>
      <c r="FHV148" s="204"/>
      <c r="FHW148" s="204"/>
      <c r="FHX148" s="205"/>
      <c r="FHY148" s="206"/>
      <c r="FHZ148" s="207"/>
      <c r="FIA148" s="207"/>
      <c r="FIB148" s="208"/>
      <c r="FIC148" s="209"/>
      <c r="FID148" s="207"/>
      <c r="FIE148" s="210"/>
      <c r="FIF148" s="209"/>
      <c r="FIG148" s="204"/>
      <c r="FIH148" s="204"/>
      <c r="FII148" s="204"/>
      <c r="FIJ148" s="199"/>
      <c r="FIK148" s="167"/>
      <c r="FIL148" s="199"/>
      <c r="FIM148" s="200"/>
      <c r="FIN148" s="201"/>
      <c r="FIO148" s="202"/>
      <c r="FIP148" s="202"/>
      <c r="FIQ148" s="202"/>
      <c r="FIR148" s="202"/>
      <c r="FIS148" s="203"/>
      <c r="FIT148" s="204"/>
      <c r="FIU148" s="204"/>
      <c r="FIV148" s="204"/>
      <c r="FIW148" s="205"/>
      <c r="FIX148" s="206"/>
      <c r="FIY148" s="207"/>
      <c r="FIZ148" s="207"/>
      <c r="FJA148" s="208"/>
      <c r="FJB148" s="209"/>
      <c r="FJC148" s="207"/>
      <c r="FJD148" s="210"/>
      <c r="FJE148" s="209"/>
      <c r="FJF148" s="204"/>
      <c r="FJG148" s="204"/>
      <c r="FJH148" s="204"/>
      <c r="FJI148" s="199"/>
      <c r="FJJ148" s="167"/>
      <c r="FJK148" s="199"/>
      <c r="FJL148" s="200"/>
      <c r="FJM148" s="201"/>
      <c r="FJN148" s="202"/>
      <c r="FJO148" s="202"/>
      <c r="FJP148" s="202"/>
      <c r="FJQ148" s="202"/>
      <c r="FJR148" s="203"/>
      <c r="FJS148" s="204"/>
      <c r="FJT148" s="204"/>
      <c r="FJU148" s="204"/>
      <c r="FJV148" s="205"/>
      <c r="FJW148" s="206"/>
      <c r="FJX148" s="207"/>
      <c r="FJY148" s="207"/>
      <c r="FJZ148" s="208"/>
      <c r="FKA148" s="209"/>
      <c r="FKB148" s="207"/>
      <c r="FKC148" s="210"/>
      <c r="FKD148" s="209"/>
      <c r="FKE148" s="204"/>
      <c r="FKF148" s="204"/>
      <c r="FKG148" s="204"/>
      <c r="FKH148" s="199"/>
      <c r="FKI148" s="167"/>
      <c r="FKJ148" s="199"/>
      <c r="FKK148" s="200"/>
      <c r="FKL148" s="201"/>
      <c r="FKM148" s="202"/>
      <c r="FKN148" s="202"/>
      <c r="FKO148" s="202"/>
      <c r="FKP148" s="202"/>
      <c r="FKQ148" s="203"/>
      <c r="FKR148" s="204"/>
      <c r="FKS148" s="204"/>
      <c r="FKT148" s="204"/>
      <c r="FKU148" s="205"/>
      <c r="FKV148" s="206"/>
      <c r="FKW148" s="207"/>
      <c r="FKX148" s="207"/>
      <c r="FKY148" s="208"/>
      <c r="FKZ148" s="209"/>
      <c r="FLA148" s="207"/>
      <c r="FLB148" s="210"/>
      <c r="FLC148" s="209"/>
      <c r="FLD148" s="204"/>
      <c r="FLE148" s="204"/>
      <c r="FLF148" s="204"/>
      <c r="FLG148" s="199"/>
      <c r="FLH148" s="167"/>
      <c r="FLI148" s="199"/>
      <c r="FLJ148" s="200"/>
      <c r="FLK148" s="201"/>
      <c r="FLL148" s="202"/>
      <c r="FLM148" s="202"/>
      <c r="FLN148" s="202"/>
      <c r="FLO148" s="202"/>
      <c r="FLP148" s="203"/>
      <c r="FLQ148" s="204"/>
      <c r="FLR148" s="204"/>
      <c r="FLS148" s="204"/>
      <c r="FLT148" s="205"/>
      <c r="FLU148" s="206"/>
      <c r="FLV148" s="207"/>
      <c r="FLW148" s="207"/>
      <c r="FLX148" s="208"/>
      <c r="FLY148" s="209"/>
      <c r="FLZ148" s="207"/>
      <c r="FMA148" s="210"/>
      <c r="FMB148" s="209"/>
      <c r="FMC148" s="204"/>
      <c r="FMD148" s="204"/>
      <c r="FME148" s="204"/>
      <c r="FMF148" s="199"/>
      <c r="FMG148" s="167"/>
      <c r="FMH148" s="199"/>
      <c r="FMI148" s="200"/>
      <c r="FMJ148" s="201"/>
      <c r="FMK148" s="202"/>
      <c r="FML148" s="202"/>
      <c r="FMM148" s="202"/>
      <c r="FMN148" s="202"/>
      <c r="FMO148" s="203"/>
      <c r="FMP148" s="204"/>
      <c r="FMQ148" s="204"/>
      <c r="FMR148" s="204"/>
      <c r="FMS148" s="205"/>
      <c r="FMT148" s="206"/>
      <c r="FMU148" s="207"/>
      <c r="FMV148" s="207"/>
      <c r="FMW148" s="208"/>
      <c r="FMX148" s="209"/>
      <c r="FMY148" s="207"/>
      <c r="FMZ148" s="210"/>
      <c r="FNA148" s="209"/>
      <c r="FNB148" s="204"/>
      <c r="FNC148" s="204"/>
      <c r="FND148" s="204"/>
      <c r="FNE148" s="199"/>
      <c r="FNF148" s="167"/>
      <c r="FNG148" s="199"/>
      <c r="FNH148" s="200"/>
      <c r="FNI148" s="201"/>
      <c r="FNJ148" s="202"/>
      <c r="FNK148" s="202"/>
      <c r="FNL148" s="202"/>
      <c r="FNM148" s="202"/>
      <c r="FNN148" s="203"/>
      <c r="FNO148" s="204"/>
      <c r="FNP148" s="204"/>
      <c r="FNQ148" s="204"/>
      <c r="FNR148" s="205"/>
      <c r="FNS148" s="206"/>
      <c r="FNT148" s="207"/>
      <c r="FNU148" s="207"/>
      <c r="FNV148" s="208"/>
      <c r="FNW148" s="209"/>
      <c r="FNX148" s="207"/>
      <c r="FNY148" s="210"/>
      <c r="FNZ148" s="209"/>
      <c r="FOA148" s="204"/>
      <c r="FOB148" s="204"/>
      <c r="FOC148" s="204"/>
      <c r="FOD148" s="199"/>
      <c r="FOE148" s="167"/>
      <c r="FOF148" s="199"/>
      <c r="FOG148" s="200"/>
      <c r="FOH148" s="201"/>
      <c r="FOI148" s="202"/>
      <c r="FOJ148" s="202"/>
      <c r="FOK148" s="202"/>
      <c r="FOL148" s="202"/>
      <c r="FOM148" s="203"/>
      <c r="FON148" s="204"/>
      <c r="FOO148" s="204"/>
      <c r="FOP148" s="204"/>
      <c r="FOQ148" s="205"/>
      <c r="FOR148" s="206"/>
      <c r="FOS148" s="207"/>
      <c r="FOT148" s="207"/>
      <c r="FOU148" s="208"/>
      <c r="FOV148" s="209"/>
      <c r="FOW148" s="207"/>
      <c r="FOX148" s="210"/>
      <c r="FOY148" s="209"/>
      <c r="FOZ148" s="204"/>
      <c r="FPA148" s="204"/>
      <c r="FPB148" s="204"/>
      <c r="FPC148" s="199"/>
      <c r="FPD148" s="167"/>
      <c r="FPE148" s="199"/>
      <c r="FPF148" s="200"/>
      <c r="FPG148" s="201"/>
      <c r="FPH148" s="202"/>
      <c r="FPI148" s="202"/>
      <c r="FPJ148" s="202"/>
      <c r="FPK148" s="202"/>
      <c r="FPL148" s="203"/>
      <c r="FPM148" s="204"/>
      <c r="FPN148" s="204"/>
      <c r="FPO148" s="204"/>
      <c r="FPP148" s="205"/>
      <c r="FPQ148" s="206"/>
      <c r="FPR148" s="207"/>
      <c r="FPS148" s="207"/>
      <c r="FPT148" s="208"/>
      <c r="FPU148" s="209"/>
      <c r="FPV148" s="207"/>
      <c r="FPW148" s="210"/>
      <c r="FPX148" s="209"/>
      <c r="FPY148" s="204"/>
      <c r="FPZ148" s="204"/>
      <c r="FQA148" s="204"/>
      <c r="FQB148" s="199"/>
      <c r="FQC148" s="167"/>
      <c r="FQD148" s="199"/>
      <c r="FQE148" s="200"/>
      <c r="FQF148" s="201"/>
      <c r="FQG148" s="202"/>
      <c r="FQH148" s="202"/>
      <c r="FQI148" s="202"/>
      <c r="FQJ148" s="202"/>
      <c r="FQK148" s="203"/>
      <c r="FQL148" s="204"/>
      <c r="FQM148" s="204"/>
      <c r="FQN148" s="204"/>
      <c r="FQO148" s="205"/>
      <c r="FQP148" s="206"/>
      <c r="FQQ148" s="207"/>
      <c r="FQR148" s="207"/>
      <c r="FQS148" s="208"/>
      <c r="FQT148" s="209"/>
      <c r="FQU148" s="207"/>
      <c r="FQV148" s="210"/>
      <c r="FQW148" s="209"/>
      <c r="FQX148" s="204"/>
      <c r="FQY148" s="204"/>
      <c r="FQZ148" s="204"/>
      <c r="FRA148" s="199"/>
      <c r="FRB148" s="167"/>
      <c r="FRC148" s="199"/>
      <c r="FRD148" s="200"/>
      <c r="FRE148" s="201"/>
      <c r="FRF148" s="202"/>
      <c r="FRG148" s="202"/>
      <c r="FRH148" s="202"/>
      <c r="FRI148" s="202"/>
      <c r="FRJ148" s="203"/>
      <c r="FRK148" s="204"/>
      <c r="FRL148" s="204"/>
      <c r="FRM148" s="204"/>
      <c r="FRN148" s="205"/>
      <c r="FRO148" s="206"/>
      <c r="FRP148" s="207"/>
      <c r="FRQ148" s="207"/>
      <c r="FRR148" s="208"/>
      <c r="FRS148" s="209"/>
      <c r="FRT148" s="207"/>
      <c r="FRU148" s="210"/>
      <c r="FRV148" s="209"/>
      <c r="FRW148" s="204"/>
      <c r="FRX148" s="204"/>
      <c r="FRY148" s="204"/>
      <c r="FRZ148" s="199"/>
      <c r="FSA148" s="167"/>
      <c r="FSB148" s="199"/>
      <c r="FSC148" s="200"/>
      <c r="FSD148" s="201"/>
      <c r="FSE148" s="202"/>
      <c r="FSF148" s="202"/>
      <c r="FSG148" s="202"/>
      <c r="FSH148" s="202"/>
      <c r="FSI148" s="203"/>
      <c r="FSJ148" s="204"/>
      <c r="FSK148" s="204"/>
      <c r="FSL148" s="204"/>
      <c r="FSM148" s="205"/>
      <c r="FSN148" s="206"/>
      <c r="FSO148" s="207"/>
      <c r="FSP148" s="207"/>
      <c r="FSQ148" s="208"/>
      <c r="FSR148" s="209"/>
      <c r="FSS148" s="207"/>
      <c r="FST148" s="210"/>
      <c r="FSU148" s="209"/>
      <c r="FSV148" s="204"/>
      <c r="FSW148" s="204"/>
      <c r="FSX148" s="204"/>
      <c r="FSY148" s="199"/>
      <c r="FSZ148" s="167"/>
      <c r="FTA148" s="199"/>
      <c r="FTB148" s="200"/>
      <c r="FTC148" s="201"/>
      <c r="FTD148" s="202"/>
      <c r="FTE148" s="202"/>
      <c r="FTF148" s="202"/>
      <c r="FTG148" s="202"/>
      <c r="FTH148" s="203"/>
      <c r="FTI148" s="204"/>
      <c r="FTJ148" s="204"/>
      <c r="FTK148" s="204"/>
      <c r="FTL148" s="205"/>
      <c r="FTM148" s="206"/>
      <c r="FTN148" s="207"/>
      <c r="FTO148" s="207"/>
      <c r="FTP148" s="208"/>
      <c r="FTQ148" s="209"/>
      <c r="FTR148" s="207"/>
      <c r="FTS148" s="210"/>
      <c r="FTT148" s="209"/>
      <c r="FTU148" s="204"/>
      <c r="FTV148" s="204"/>
      <c r="FTW148" s="204"/>
      <c r="FTX148" s="199"/>
      <c r="FTY148" s="167"/>
      <c r="FTZ148" s="199"/>
      <c r="FUA148" s="200"/>
      <c r="FUB148" s="201"/>
      <c r="FUC148" s="202"/>
      <c r="FUD148" s="202"/>
      <c r="FUE148" s="202"/>
      <c r="FUF148" s="202"/>
      <c r="FUG148" s="203"/>
      <c r="FUH148" s="204"/>
      <c r="FUI148" s="204"/>
      <c r="FUJ148" s="204"/>
      <c r="FUK148" s="205"/>
      <c r="FUL148" s="206"/>
      <c r="FUM148" s="207"/>
      <c r="FUN148" s="207"/>
      <c r="FUO148" s="208"/>
      <c r="FUP148" s="209"/>
      <c r="FUQ148" s="207"/>
      <c r="FUR148" s="210"/>
      <c r="FUS148" s="209"/>
      <c r="FUT148" s="204"/>
      <c r="FUU148" s="204"/>
      <c r="FUV148" s="204"/>
      <c r="FUW148" s="199"/>
      <c r="FUX148" s="167"/>
      <c r="FUY148" s="199"/>
      <c r="FUZ148" s="200"/>
      <c r="FVA148" s="201"/>
      <c r="FVB148" s="202"/>
      <c r="FVC148" s="202"/>
      <c r="FVD148" s="202"/>
      <c r="FVE148" s="202"/>
      <c r="FVF148" s="203"/>
      <c r="FVG148" s="204"/>
      <c r="FVH148" s="204"/>
      <c r="FVI148" s="204"/>
      <c r="FVJ148" s="205"/>
      <c r="FVK148" s="206"/>
      <c r="FVL148" s="207"/>
      <c r="FVM148" s="207"/>
      <c r="FVN148" s="208"/>
      <c r="FVO148" s="209"/>
      <c r="FVP148" s="207"/>
      <c r="FVQ148" s="210"/>
      <c r="FVR148" s="209"/>
      <c r="FVS148" s="204"/>
      <c r="FVT148" s="204"/>
      <c r="FVU148" s="204"/>
      <c r="FVV148" s="199"/>
      <c r="FVW148" s="167"/>
      <c r="FVX148" s="199"/>
      <c r="FVY148" s="200"/>
      <c r="FVZ148" s="201"/>
      <c r="FWA148" s="202"/>
      <c r="FWB148" s="202"/>
      <c r="FWC148" s="202"/>
      <c r="FWD148" s="202"/>
      <c r="FWE148" s="203"/>
      <c r="FWF148" s="204"/>
      <c r="FWG148" s="204"/>
      <c r="FWH148" s="204"/>
      <c r="FWI148" s="205"/>
      <c r="FWJ148" s="206"/>
      <c r="FWK148" s="207"/>
      <c r="FWL148" s="207"/>
      <c r="FWM148" s="208"/>
      <c r="FWN148" s="209"/>
      <c r="FWO148" s="207"/>
      <c r="FWP148" s="210"/>
      <c r="FWQ148" s="209"/>
      <c r="FWR148" s="204"/>
      <c r="FWS148" s="204"/>
      <c r="FWT148" s="204"/>
      <c r="FWU148" s="199"/>
      <c r="FWV148" s="167"/>
      <c r="FWW148" s="199"/>
      <c r="FWX148" s="200"/>
      <c r="FWY148" s="201"/>
      <c r="FWZ148" s="202"/>
      <c r="FXA148" s="202"/>
      <c r="FXB148" s="202"/>
      <c r="FXC148" s="202"/>
      <c r="FXD148" s="203"/>
      <c r="FXE148" s="204"/>
      <c r="FXF148" s="204"/>
      <c r="FXG148" s="204"/>
      <c r="FXH148" s="205"/>
      <c r="FXI148" s="206"/>
      <c r="FXJ148" s="207"/>
      <c r="FXK148" s="207"/>
      <c r="FXL148" s="208"/>
      <c r="FXM148" s="209"/>
      <c r="FXN148" s="207"/>
      <c r="FXO148" s="210"/>
      <c r="FXP148" s="209"/>
      <c r="FXQ148" s="204"/>
      <c r="FXR148" s="204"/>
      <c r="FXS148" s="204"/>
      <c r="FXT148" s="199"/>
      <c r="FXU148" s="167"/>
      <c r="FXV148" s="199"/>
      <c r="FXW148" s="200"/>
      <c r="FXX148" s="201"/>
      <c r="FXY148" s="202"/>
      <c r="FXZ148" s="202"/>
      <c r="FYA148" s="202"/>
      <c r="FYB148" s="202"/>
      <c r="FYC148" s="203"/>
      <c r="FYD148" s="204"/>
      <c r="FYE148" s="204"/>
      <c r="FYF148" s="204"/>
      <c r="FYG148" s="205"/>
      <c r="FYH148" s="206"/>
      <c r="FYI148" s="207"/>
      <c r="FYJ148" s="207"/>
      <c r="FYK148" s="208"/>
      <c r="FYL148" s="209"/>
      <c r="FYM148" s="207"/>
      <c r="FYN148" s="210"/>
      <c r="FYO148" s="209"/>
      <c r="FYP148" s="204"/>
      <c r="FYQ148" s="204"/>
      <c r="FYR148" s="204"/>
      <c r="FYS148" s="199"/>
      <c r="FYT148" s="167"/>
      <c r="FYU148" s="199"/>
      <c r="FYV148" s="200"/>
      <c r="FYW148" s="201"/>
      <c r="FYX148" s="202"/>
      <c r="FYY148" s="202"/>
      <c r="FYZ148" s="202"/>
      <c r="FZA148" s="202"/>
      <c r="FZB148" s="203"/>
      <c r="FZC148" s="204"/>
      <c r="FZD148" s="204"/>
      <c r="FZE148" s="204"/>
      <c r="FZF148" s="205"/>
      <c r="FZG148" s="206"/>
      <c r="FZH148" s="207"/>
      <c r="FZI148" s="207"/>
      <c r="FZJ148" s="208"/>
      <c r="FZK148" s="209"/>
      <c r="FZL148" s="207"/>
      <c r="FZM148" s="210"/>
      <c r="FZN148" s="209"/>
      <c r="FZO148" s="204"/>
      <c r="FZP148" s="204"/>
      <c r="FZQ148" s="204"/>
      <c r="FZR148" s="199"/>
      <c r="FZS148" s="167"/>
      <c r="FZT148" s="199"/>
      <c r="FZU148" s="200"/>
      <c r="FZV148" s="201"/>
      <c r="FZW148" s="202"/>
      <c r="FZX148" s="202"/>
      <c r="FZY148" s="202"/>
      <c r="FZZ148" s="202"/>
      <c r="GAA148" s="203"/>
      <c r="GAB148" s="204"/>
      <c r="GAC148" s="204"/>
      <c r="GAD148" s="204"/>
      <c r="GAE148" s="205"/>
      <c r="GAF148" s="206"/>
      <c r="GAG148" s="207"/>
      <c r="GAH148" s="207"/>
      <c r="GAI148" s="208"/>
      <c r="GAJ148" s="209"/>
      <c r="GAK148" s="207"/>
      <c r="GAL148" s="210"/>
      <c r="GAM148" s="209"/>
      <c r="GAN148" s="204"/>
      <c r="GAO148" s="204"/>
      <c r="GAP148" s="204"/>
      <c r="GAQ148" s="199"/>
      <c r="GAR148" s="167"/>
      <c r="GAS148" s="199"/>
      <c r="GAT148" s="200"/>
      <c r="GAU148" s="201"/>
      <c r="GAV148" s="202"/>
      <c r="GAW148" s="202"/>
      <c r="GAX148" s="202"/>
      <c r="GAY148" s="202"/>
      <c r="GAZ148" s="203"/>
      <c r="GBA148" s="204"/>
      <c r="GBB148" s="204"/>
      <c r="GBC148" s="204"/>
      <c r="GBD148" s="205"/>
      <c r="GBE148" s="206"/>
      <c r="GBF148" s="207"/>
      <c r="GBG148" s="207"/>
      <c r="GBH148" s="208"/>
      <c r="GBI148" s="209"/>
      <c r="GBJ148" s="207"/>
      <c r="GBK148" s="210"/>
      <c r="GBL148" s="209"/>
      <c r="GBM148" s="204"/>
      <c r="GBN148" s="204"/>
      <c r="GBO148" s="204"/>
      <c r="GBP148" s="199"/>
      <c r="GBQ148" s="167"/>
      <c r="GBR148" s="199"/>
      <c r="GBS148" s="200"/>
      <c r="GBT148" s="201"/>
      <c r="GBU148" s="202"/>
      <c r="GBV148" s="202"/>
      <c r="GBW148" s="202"/>
      <c r="GBX148" s="202"/>
      <c r="GBY148" s="203"/>
      <c r="GBZ148" s="204"/>
      <c r="GCA148" s="204"/>
      <c r="GCB148" s="204"/>
      <c r="GCC148" s="205"/>
      <c r="GCD148" s="206"/>
      <c r="GCE148" s="207"/>
      <c r="GCF148" s="207"/>
      <c r="GCG148" s="208"/>
      <c r="GCH148" s="209"/>
      <c r="GCI148" s="207"/>
      <c r="GCJ148" s="210"/>
      <c r="GCK148" s="209"/>
      <c r="GCL148" s="204"/>
      <c r="GCM148" s="204"/>
      <c r="GCN148" s="204"/>
      <c r="GCO148" s="199"/>
      <c r="GCP148" s="167"/>
      <c r="GCQ148" s="199"/>
      <c r="GCR148" s="200"/>
      <c r="GCS148" s="201"/>
      <c r="GCT148" s="202"/>
      <c r="GCU148" s="202"/>
      <c r="GCV148" s="202"/>
      <c r="GCW148" s="202"/>
      <c r="GCX148" s="203"/>
      <c r="GCY148" s="204"/>
      <c r="GCZ148" s="204"/>
      <c r="GDA148" s="204"/>
      <c r="GDB148" s="205"/>
      <c r="GDC148" s="206"/>
      <c r="GDD148" s="207"/>
      <c r="GDE148" s="207"/>
      <c r="GDF148" s="208"/>
      <c r="GDG148" s="209"/>
      <c r="GDH148" s="207"/>
      <c r="GDI148" s="210"/>
      <c r="GDJ148" s="209"/>
      <c r="GDK148" s="204"/>
      <c r="GDL148" s="204"/>
      <c r="GDM148" s="204"/>
      <c r="GDN148" s="199"/>
      <c r="GDO148" s="167"/>
      <c r="GDP148" s="199"/>
      <c r="GDQ148" s="200"/>
      <c r="GDR148" s="201"/>
      <c r="GDS148" s="202"/>
      <c r="GDT148" s="202"/>
      <c r="GDU148" s="202"/>
      <c r="GDV148" s="202"/>
      <c r="GDW148" s="203"/>
      <c r="GDX148" s="204"/>
      <c r="GDY148" s="204"/>
      <c r="GDZ148" s="204"/>
      <c r="GEA148" s="205"/>
      <c r="GEB148" s="206"/>
      <c r="GEC148" s="207"/>
      <c r="GED148" s="207"/>
      <c r="GEE148" s="208"/>
      <c r="GEF148" s="209"/>
      <c r="GEG148" s="207"/>
      <c r="GEH148" s="210"/>
      <c r="GEI148" s="209"/>
      <c r="GEJ148" s="204"/>
      <c r="GEK148" s="204"/>
      <c r="GEL148" s="204"/>
      <c r="GEM148" s="199"/>
      <c r="GEN148" s="167"/>
      <c r="GEO148" s="199"/>
      <c r="GEP148" s="200"/>
      <c r="GEQ148" s="201"/>
      <c r="GER148" s="202"/>
      <c r="GES148" s="202"/>
      <c r="GET148" s="202"/>
      <c r="GEU148" s="202"/>
      <c r="GEV148" s="203"/>
      <c r="GEW148" s="204"/>
      <c r="GEX148" s="204"/>
      <c r="GEY148" s="204"/>
      <c r="GEZ148" s="205"/>
      <c r="GFA148" s="206"/>
      <c r="GFB148" s="207"/>
      <c r="GFC148" s="207"/>
      <c r="GFD148" s="208"/>
      <c r="GFE148" s="209"/>
      <c r="GFF148" s="207"/>
      <c r="GFG148" s="210"/>
      <c r="GFH148" s="209"/>
      <c r="GFI148" s="204"/>
      <c r="GFJ148" s="204"/>
      <c r="GFK148" s="204"/>
      <c r="GFL148" s="199"/>
      <c r="GFM148" s="167"/>
      <c r="GFN148" s="199"/>
      <c r="GFO148" s="200"/>
      <c r="GFP148" s="201"/>
      <c r="GFQ148" s="202"/>
      <c r="GFR148" s="202"/>
      <c r="GFS148" s="202"/>
      <c r="GFT148" s="202"/>
      <c r="GFU148" s="203"/>
      <c r="GFV148" s="204"/>
      <c r="GFW148" s="204"/>
      <c r="GFX148" s="204"/>
      <c r="GFY148" s="205"/>
      <c r="GFZ148" s="206"/>
      <c r="GGA148" s="207"/>
      <c r="GGB148" s="207"/>
      <c r="GGC148" s="208"/>
      <c r="GGD148" s="209"/>
      <c r="GGE148" s="207"/>
      <c r="GGF148" s="210"/>
      <c r="GGG148" s="209"/>
      <c r="GGH148" s="204"/>
      <c r="GGI148" s="204"/>
      <c r="GGJ148" s="204"/>
      <c r="GGK148" s="199"/>
      <c r="GGL148" s="167"/>
      <c r="GGM148" s="199"/>
      <c r="GGN148" s="200"/>
      <c r="GGO148" s="201"/>
      <c r="GGP148" s="202"/>
      <c r="GGQ148" s="202"/>
      <c r="GGR148" s="202"/>
      <c r="GGS148" s="202"/>
      <c r="GGT148" s="203"/>
      <c r="GGU148" s="204"/>
      <c r="GGV148" s="204"/>
      <c r="GGW148" s="204"/>
      <c r="GGX148" s="205"/>
      <c r="GGY148" s="206"/>
      <c r="GGZ148" s="207"/>
      <c r="GHA148" s="207"/>
      <c r="GHB148" s="208"/>
      <c r="GHC148" s="209"/>
      <c r="GHD148" s="207"/>
      <c r="GHE148" s="210"/>
      <c r="GHF148" s="209"/>
      <c r="GHG148" s="204"/>
      <c r="GHH148" s="204"/>
      <c r="GHI148" s="204"/>
      <c r="GHJ148" s="199"/>
      <c r="GHK148" s="167"/>
      <c r="GHL148" s="199"/>
      <c r="GHM148" s="200"/>
      <c r="GHN148" s="201"/>
      <c r="GHO148" s="202"/>
      <c r="GHP148" s="202"/>
      <c r="GHQ148" s="202"/>
      <c r="GHR148" s="202"/>
      <c r="GHS148" s="203"/>
      <c r="GHT148" s="204"/>
      <c r="GHU148" s="204"/>
      <c r="GHV148" s="204"/>
      <c r="GHW148" s="205"/>
      <c r="GHX148" s="206"/>
      <c r="GHY148" s="207"/>
      <c r="GHZ148" s="207"/>
      <c r="GIA148" s="208"/>
      <c r="GIB148" s="209"/>
      <c r="GIC148" s="207"/>
      <c r="GID148" s="210"/>
      <c r="GIE148" s="209"/>
      <c r="GIF148" s="204"/>
      <c r="GIG148" s="204"/>
      <c r="GIH148" s="204"/>
      <c r="GII148" s="199"/>
      <c r="GIJ148" s="167"/>
      <c r="GIK148" s="199"/>
      <c r="GIL148" s="200"/>
      <c r="GIM148" s="201"/>
      <c r="GIN148" s="202"/>
      <c r="GIO148" s="202"/>
      <c r="GIP148" s="202"/>
      <c r="GIQ148" s="202"/>
      <c r="GIR148" s="203"/>
      <c r="GIS148" s="204"/>
      <c r="GIT148" s="204"/>
      <c r="GIU148" s="204"/>
      <c r="GIV148" s="205"/>
      <c r="GIW148" s="206"/>
      <c r="GIX148" s="207"/>
      <c r="GIY148" s="207"/>
      <c r="GIZ148" s="208"/>
      <c r="GJA148" s="209"/>
      <c r="GJB148" s="207"/>
      <c r="GJC148" s="210"/>
      <c r="GJD148" s="209"/>
      <c r="GJE148" s="204"/>
      <c r="GJF148" s="204"/>
      <c r="GJG148" s="204"/>
      <c r="GJH148" s="199"/>
      <c r="GJI148" s="167"/>
      <c r="GJJ148" s="199"/>
      <c r="GJK148" s="200"/>
      <c r="GJL148" s="201"/>
      <c r="GJM148" s="202"/>
      <c r="GJN148" s="202"/>
      <c r="GJO148" s="202"/>
      <c r="GJP148" s="202"/>
      <c r="GJQ148" s="203"/>
      <c r="GJR148" s="204"/>
      <c r="GJS148" s="204"/>
      <c r="GJT148" s="204"/>
      <c r="GJU148" s="205"/>
      <c r="GJV148" s="206"/>
      <c r="GJW148" s="207"/>
      <c r="GJX148" s="207"/>
      <c r="GJY148" s="208"/>
      <c r="GJZ148" s="209"/>
      <c r="GKA148" s="207"/>
      <c r="GKB148" s="210"/>
      <c r="GKC148" s="209"/>
      <c r="GKD148" s="204"/>
      <c r="GKE148" s="204"/>
      <c r="GKF148" s="204"/>
      <c r="GKG148" s="199"/>
      <c r="GKH148" s="167"/>
      <c r="GKI148" s="199"/>
      <c r="GKJ148" s="200"/>
      <c r="GKK148" s="201"/>
      <c r="GKL148" s="202"/>
      <c r="GKM148" s="202"/>
      <c r="GKN148" s="202"/>
      <c r="GKO148" s="202"/>
      <c r="GKP148" s="203"/>
      <c r="GKQ148" s="204"/>
      <c r="GKR148" s="204"/>
      <c r="GKS148" s="204"/>
      <c r="GKT148" s="205"/>
      <c r="GKU148" s="206"/>
      <c r="GKV148" s="207"/>
      <c r="GKW148" s="207"/>
      <c r="GKX148" s="208"/>
      <c r="GKY148" s="209"/>
      <c r="GKZ148" s="207"/>
      <c r="GLA148" s="210"/>
      <c r="GLB148" s="209"/>
      <c r="GLC148" s="204"/>
      <c r="GLD148" s="204"/>
      <c r="GLE148" s="204"/>
      <c r="GLF148" s="199"/>
      <c r="GLG148" s="167"/>
      <c r="GLH148" s="199"/>
      <c r="GLI148" s="200"/>
      <c r="GLJ148" s="201"/>
      <c r="GLK148" s="202"/>
      <c r="GLL148" s="202"/>
      <c r="GLM148" s="202"/>
      <c r="GLN148" s="202"/>
      <c r="GLO148" s="203"/>
      <c r="GLP148" s="204"/>
      <c r="GLQ148" s="204"/>
      <c r="GLR148" s="204"/>
      <c r="GLS148" s="205"/>
      <c r="GLT148" s="206"/>
      <c r="GLU148" s="207"/>
      <c r="GLV148" s="207"/>
      <c r="GLW148" s="208"/>
      <c r="GLX148" s="209"/>
      <c r="GLY148" s="207"/>
      <c r="GLZ148" s="210"/>
      <c r="GMA148" s="209"/>
      <c r="GMB148" s="204"/>
      <c r="GMC148" s="204"/>
      <c r="GMD148" s="204"/>
      <c r="GME148" s="199"/>
      <c r="GMF148" s="167"/>
      <c r="GMG148" s="199"/>
      <c r="GMH148" s="200"/>
      <c r="GMI148" s="201"/>
      <c r="GMJ148" s="202"/>
      <c r="GMK148" s="202"/>
      <c r="GML148" s="202"/>
      <c r="GMM148" s="202"/>
      <c r="GMN148" s="203"/>
      <c r="GMO148" s="204"/>
      <c r="GMP148" s="204"/>
      <c r="GMQ148" s="204"/>
      <c r="GMR148" s="205"/>
      <c r="GMS148" s="206"/>
      <c r="GMT148" s="207"/>
      <c r="GMU148" s="207"/>
      <c r="GMV148" s="208"/>
      <c r="GMW148" s="209"/>
      <c r="GMX148" s="207"/>
      <c r="GMY148" s="210"/>
      <c r="GMZ148" s="209"/>
      <c r="GNA148" s="204"/>
      <c r="GNB148" s="204"/>
      <c r="GNC148" s="204"/>
      <c r="GND148" s="199"/>
      <c r="GNE148" s="167"/>
      <c r="GNF148" s="199"/>
      <c r="GNG148" s="200"/>
      <c r="GNH148" s="201"/>
      <c r="GNI148" s="202"/>
      <c r="GNJ148" s="202"/>
      <c r="GNK148" s="202"/>
      <c r="GNL148" s="202"/>
      <c r="GNM148" s="203"/>
      <c r="GNN148" s="204"/>
      <c r="GNO148" s="204"/>
      <c r="GNP148" s="204"/>
      <c r="GNQ148" s="205"/>
      <c r="GNR148" s="206"/>
      <c r="GNS148" s="207"/>
      <c r="GNT148" s="207"/>
      <c r="GNU148" s="208"/>
      <c r="GNV148" s="209"/>
      <c r="GNW148" s="207"/>
      <c r="GNX148" s="210"/>
      <c r="GNY148" s="209"/>
      <c r="GNZ148" s="204"/>
      <c r="GOA148" s="204"/>
      <c r="GOB148" s="204"/>
      <c r="GOC148" s="199"/>
      <c r="GOD148" s="167"/>
      <c r="GOE148" s="199"/>
      <c r="GOF148" s="200"/>
      <c r="GOG148" s="201"/>
      <c r="GOH148" s="202"/>
      <c r="GOI148" s="202"/>
      <c r="GOJ148" s="202"/>
      <c r="GOK148" s="202"/>
      <c r="GOL148" s="203"/>
      <c r="GOM148" s="204"/>
      <c r="GON148" s="204"/>
      <c r="GOO148" s="204"/>
      <c r="GOP148" s="205"/>
      <c r="GOQ148" s="206"/>
      <c r="GOR148" s="207"/>
      <c r="GOS148" s="207"/>
      <c r="GOT148" s="208"/>
      <c r="GOU148" s="209"/>
      <c r="GOV148" s="207"/>
      <c r="GOW148" s="210"/>
      <c r="GOX148" s="209"/>
      <c r="GOY148" s="204"/>
      <c r="GOZ148" s="204"/>
      <c r="GPA148" s="204"/>
      <c r="GPB148" s="199"/>
      <c r="GPC148" s="167"/>
      <c r="GPD148" s="199"/>
      <c r="GPE148" s="200"/>
      <c r="GPF148" s="201"/>
      <c r="GPG148" s="202"/>
      <c r="GPH148" s="202"/>
      <c r="GPI148" s="202"/>
      <c r="GPJ148" s="202"/>
      <c r="GPK148" s="203"/>
      <c r="GPL148" s="204"/>
      <c r="GPM148" s="204"/>
      <c r="GPN148" s="204"/>
      <c r="GPO148" s="205"/>
      <c r="GPP148" s="206"/>
      <c r="GPQ148" s="207"/>
      <c r="GPR148" s="207"/>
      <c r="GPS148" s="208"/>
      <c r="GPT148" s="209"/>
      <c r="GPU148" s="207"/>
      <c r="GPV148" s="210"/>
      <c r="GPW148" s="209"/>
      <c r="GPX148" s="204"/>
      <c r="GPY148" s="204"/>
      <c r="GPZ148" s="204"/>
      <c r="GQA148" s="199"/>
      <c r="GQB148" s="167"/>
      <c r="GQC148" s="199"/>
      <c r="GQD148" s="200"/>
      <c r="GQE148" s="201"/>
      <c r="GQF148" s="202"/>
      <c r="GQG148" s="202"/>
      <c r="GQH148" s="202"/>
      <c r="GQI148" s="202"/>
      <c r="GQJ148" s="203"/>
      <c r="GQK148" s="204"/>
      <c r="GQL148" s="204"/>
      <c r="GQM148" s="204"/>
      <c r="GQN148" s="205"/>
      <c r="GQO148" s="206"/>
      <c r="GQP148" s="207"/>
      <c r="GQQ148" s="207"/>
      <c r="GQR148" s="208"/>
      <c r="GQS148" s="209"/>
      <c r="GQT148" s="207"/>
      <c r="GQU148" s="210"/>
      <c r="GQV148" s="209"/>
      <c r="GQW148" s="204"/>
      <c r="GQX148" s="204"/>
      <c r="GQY148" s="204"/>
      <c r="GQZ148" s="199"/>
      <c r="GRA148" s="167"/>
      <c r="GRB148" s="199"/>
      <c r="GRC148" s="200"/>
      <c r="GRD148" s="201"/>
      <c r="GRE148" s="202"/>
      <c r="GRF148" s="202"/>
      <c r="GRG148" s="202"/>
      <c r="GRH148" s="202"/>
      <c r="GRI148" s="203"/>
      <c r="GRJ148" s="204"/>
      <c r="GRK148" s="204"/>
      <c r="GRL148" s="204"/>
      <c r="GRM148" s="205"/>
      <c r="GRN148" s="206"/>
      <c r="GRO148" s="207"/>
      <c r="GRP148" s="207"/>
      <c r="GRQ148" s="208"/>
      <c r="GRR148" s="209"/>
      <c r="GRS148" s="207"/>
      <c r="GRT148" s="210"/>
      <c r="GRU148" s="209"/>
      <c r="GRV148" s="204"/>
      <c r="GRW148" s="204"/>
      <c r="GRX148" s="204"/>
      <c r="GRY148" s="199"/>
      <c r="GRZ148" s="167"/>
      <c r="GSA148" s="199"/>
      <c r="GSB148" s="200"/>
      <c r="GSC148" s="201"/>
      <c r="GSD148" s="202"/>
      <c r="GSE148" s="202"/>
      <c r="GSF148" s="202"/>
      <c r="GSG148" s="202"/>
      <c r="GSH148" s="203"/>
      <c r="GSI148" s="204"/>
      <c r="GSJ148" s="204"/>
      <c r="GSK148" s="204"/>
      <c r="GSL148" s="205"/>
      <c r="GSM148" s="206"/>
      <c r="GSN148" s="207"/>
      <c r="GSO148" s="207"/>
      <c r="GSP148" s="208"/>
      <c r="GSQ148" s="209"/>
      <c r="GSR148" s="207"/>
      <c r="GSS148" s="210"/>
      <c r="GST148" s="209"/>
      <c r="GSU148" s="204"/>
      <c r="GSV148" s="204"/>
      <c r="GSW148" s="204"/>
      <c r="GSX148" s="199"/>
      <c r="GSY148" s="167"/>
      <c r="GSZ148" s="199"/>
      <c r="GTA148" s="200"/>
      <c r="GTB148" s="201"/>
      <c r="GTC148" s="202"/>
      <c r="GTD148" s="202"/>
      <c r="GTE148" s="202"/>
      <c r="GTF148" s="202"/>
      <c r="GTG148" s="203"/>
      <c r="GTH148" s="204"/>
      <c r="GTI148" s="204"/>
      <c r="GTJ148" s="204"/>
      <c r="GTK148" s="205"/>
      <c r="GTL148" s="206"/>
      <c r="GTM148" s="207"/>
      <c r="GTN148" s="207"/>
      <c r="GTO148" s="208"/>
      <c r="GTP148" s="209"/>
      <c r="GTQ148" s="207"/>
      <c r="GTR148" s="210"/>
      <c r="GTS148" s="209"/>
      <c r="GTT148" s="204"/>
      <c r="GTU148" s="204"/>
      <c r="GTV148" s="204"/>
      <c r="GTW148" s="199"/>
      <c r="GTX148" s="167"/>
      <c r="GTY148" s="199"/>
      <c r="GTZ148" s="200"/>
      <c r="GUA148" s="201"/>
      <c r="GUB148" s="202"/>
      <c r="GUC148" s="202"/>
      <c r="GUD148" s="202"/>
      <c r="GUE148" s="202"/>
      <c r="GUF148" s="203"/>
      <c r="GUG148" s="204"/>
      <c r="GUH148" s="204"/>
      <c r="GUI148" s="204"/>
      <c r="GUJ148" s="205"/>
      <c r="GUK148" s="206"/>
      <c r="GUL148" s="207"/>
      <c r="GUM148" s="207"/>
      <c r="GUN148" s="208"/>
      <c r="GUO148" s="209"/>
      <c r="GUP148" s="207"/>
      <c r="GUQ148" s="210"/>
      <c r="GUR148" s="209"/>
      <c r="GUS148" s="204"/>
      <c r="GUT148" s="204"/>
      <c r="GUU148" s="204"/>
      <c r="GUV148" s="199"/>
      <c r="GUW148" s="167"/>
      <c r="GUX148" s="199"/>
      <c r="GUY148" s="200"/>
      <c r="GUZ148" s="201"/>
      <c r="GVA148" s="202"/>
      <c r="GVB148" s="202"/>
      <c r="GVC148" s="202"/>
      <c r="GVD148" s="202"/>
      <c r="GVE148" s="203"/>
      <c r="GVF148" s="204"/>
      <c r="GVG148" s="204"/>
      <c r="GVH148" s="204"/>
      <c r="GVI148" s="205"/>
      <c r="GVJ148" s="206"/>
      <c r="GVK148" s="207"/>
      <c r="GVL148" s="207"/>
      <c r="GVM148" s="208"/>
      <c r="GVN148" s="209"/>
      <c r="GVO148" s="207"/>
      <c r="GVP148" s="210"/>
      <c r="GVQ148" s="209"/>
      <c r="GVR148" s="204"/>
      <c r="GVS148" s="204"/>
      <c r="GVT148" s="204"/>
      <c r="GVU148" s="199"/>
      <c r="GVV148" s="167"/>
      <c r="GVW148" s="199"/>
      <c r="GVX148" s="200"/>
      <c r="GVY148" s="201"/>
      <c r="GVZ148" s="202"/>
      <c r="GWA148" s="202"/>
      <c r="GWB148" s="202"/>
      <c r="GWC148" s="202"/>
      <c r="GWD148" s="203"/>
      <c r="GWE148" s="204"/>
      <c r="GWF148" s="204"/>
      <c r="GWG148" s="204"/>
      <c r="GWH148" s="205"/>
      <c r="GWI148" s="206"/>
      <c r="GWJ148" s="207"/>
      <c r="GWK148" s="207"/>
      <c r="GWL148" s="208"/>
      <c r="GWM148" s="209"/>
      <c r="GWN148" s="207"/>
      <c r="GWO148" s="210"/>
      <c r="GWP148" s="209"/>
      <c r="GWQ148" s="204"/>
      <c r="GWR148" s="204"/>
      <c r="GWS148" s="204"/>
      <c r="GWT148" s="199"/>
      <c r="GWU148" s="167"/>
      <c r="GWV148" s="199"/>
      <c r="GWW148" s="200"/>
      <c r="GWX148" s="201"/>
      <c r="GWY148" s="202"/>
      <c r="GWZ148" s="202"/>
      <c r="GXA148" s="202"/>
      <c r="GXB148" s="202"/>
      <c r="GXC148" s="203"/>
      <c r="GXD148" s="204"/>
      <c r="GXE148" s="204"/>
      <c r="GXF148" s="204"/>
      <c r="GXG148" s="205"/>
      <c r="GXH148" s="206"/>
      <c r="GXI148" s="207"/>
      <c r="GXJ148" s="207"/>
      <c r="GXK148" s="208"/>
      <c r="GXL148" s="209"/>
      <c r="GXM148" s="207"/>
      <c r="GXN148" s="210"/>
      <c r="GXO148" s="209"/>
      <c r="GXP148" s="204"/>
      <c r="GXQ148" s="204"/>
      <c r="GXR148" s="204"/>
      <c r="GXS148" s="199"/>
      <c r="GXT148" s="167"/>
      <c r="GXU148" s="199"/>
      <c r="GXV148" s="200"/>
      <c r="GXW148" s="201"/>
      <c r="GXX148" s="202"/>
      <c r="GXY148" s="202"/>
      <c r="GXZ148" s="202"/>
      <c r="GYA148" s="202"/>
      <c r="GYB148" s="203"/>
      <c r="GYC148" s="204"/>
      <c r="GYD148" s="204"/>
      <c r="GYE148" s="204"/>
      <c r="GYF148" s="205"/>
      <c r="GYG148" s="206"/>
      <c r="GYH148" s="207"/>
      <c r="GYI148" s="207"/>
      <c r="GYJ148" s="208"/>
      <c r="GYK148" s="209"/>
      <c r="GYL148" s="207"/>
      <c r="GYM148" s="210"/>
      <c r="GYN148" s="209"/>
      <c r="GYO148" s="204"/>
      <c r="GYP148" s="204"/>
      <c r="GYQ148" s="204"/>
      <c r="GYR148" s="199"/>
      <c r="GYS148" s="167"/>
      <c r="GYT148" s="199"/>
      <c r="GYU148" s="200"/>
      <c r="GYV148" s="201"/>
      <c r="GYW148" s="202"/>
      <c r="GYX148" s="202"/>
      <c r="GYY148" s="202"/>
      <c r="GYZ148" s="202"/>
      <c r="GZA148" s="203"/>
      <c r="GZB148" s="204"/>
      <c r="GZC148" s="204"/>
      <c r="GZD148" s="204"/>
      <c r="GZE148" s="205"/>
      <c r="GZF148" s="206"/>
      <c r="GZG148" s="207"/>
      <c r="GZH148" s="207"/>
      <c r="GZI148" s="208"/>
      <c r="GZJ148" s="209"/>
      <c r="GZK148" s="207"/>
      <c r="GZL148" s="210"/>
      <c r="GZM148" s="209"/>
      <c r="GZN148" s="204"/>
      <c r="GZO148" s="204"/>
      <c r="GZP148" s="204"/>
      <c r="GZQ148" s="199"/>
      <c r="GZR148" s="167"/>
      <c r="GZS148" s="199"/>
      <c r="GZT148" s="200"/>
      <c r="GZU148" s="201"/>
      <c r="GZV148" s="202"/>
      <c r="GZW148" s="202"/>
      <c r="GZX148" s="202"/>
      <c r="GZY148" s="202"/>
      <c r="GZZ148" s="203"/>
      <c r="HAA148" s="204"/>
      <c r="HAB148" s="204"/>
      <c r="HAC148" s="204"/>
      <c r="HAD148" s="205"/>
      <c r="HAE148" s="206"/>
      <c r="HAF148" s="207"/>
      <c r="HAG148" s="207"/>
      <c r="HAH148" s="208"/>
      <c r="HAI148" s="209"/>
      <c r="HAJ148" s="207"/>
      <c r="HAK148" s="210"/>
      <c r="HAL148" s="209"/>
      <c r="HAM148" s="204"/>
      <c r="HAN148" s="204"/>
      <c r="HAO148" s="204"/>
      <c r="HAP148" s="199"/>
      <c r="HAQ148" s="167"/>
      <c r="HAR148" s="199"/>
      <c r="HAS148" s="200"/>
      <c r="HAT148" s="201"/>
      <c r="HAU148" s="202"/>
      <c r="HAV148" s="202"/>
      <c r="HAW148" s="202"/>
      <c r="HAX148" s="202"/>
      <c r="HAY148" s="203"/>
      <c r="HAZ148" s="204"/>
      <c r="HBA148" s="204"/>
      <c r="HBB148" s="204"/>
      <c r="HBC148" s="205"/>
      <c r="HBD148" s="206"/>
      <c r="HBE148" s="207"/>
      <c r="HBF148" s="207"/>
      <c r="HBG148" s="208"/>
      <c r="HBH148" s="209"/>
      <c r="HBI148" s="207"/>
      <c r="HBJ148" s="210"/>
      <c r="HBK148" s="209"/>
      <c r="HBL148" s="204"/>
      <c r="HBM148" s="204"/>
      <c r="HBN148" s="204"/>
      <c r="HBO148" s="199"/>
      <c r="HBP148" s="167"/>
      <c r="HBQ148" s="199"/>
      <c r="HBR148" s="200"/>
      <c r="HBS148" s="201"/>
      <c r="HBT148" s="202"/>
      <c r="HBU148" s="202"/>
      <c r="HBV148" s="202"/>
      <c r="HBW148" s="202"/>
      <c r="HBX148" s="203"/>
      <c r="HBY148" s="204"/>
      <c r="HBZ148" s="204"/>
      <c r="HCA148" s="204"/>
      <c r="HCB148" s="205"/>
      <c r="HCC148" s="206"/>
      <c r="HCD148" s="207"/>
      <c r="HCE148" s="207"/>
      <c r="HCF148" s="208"/>
      <c r="HCG148" s="209"/>
      <c r="HCH148" s="207"/>
      <c r="HCI148" s="210"/>
      <c r="HCJ148" s="209"/>
      <c r="HCK148" s="204"/>
      <c r="HCL148" s="204"/>
      <c r="HCM148" s="204"/>
      <c r="HCN148" s="199"/>
      <c r="HCO148" s="167"/>
      <c r="HCP148" s="199"/>
      <c r="HCQ148" s="200"/>
      <c r="HCR148" s="201"/>
      <c r="HCS148" s="202"/>
      <c r="HCT148" s="202"/>
      <c r="HCU148" s="202"/>
      <c r="HCV148" s="202"/>
      <c r="HCW148" s="203"/>
      <c r="HCX148" s="204"/>
      <c r="HCY148" s="204"/>
      <c r="HCZ148" s="204"/>
      <c r="HDA148" s="205"/>
      <c r="HDB148" s="206"/>
      <c r="HDC148" s="207"/>
      <c r="HDD148" s="207"/>
      <c r="HDE148" s="208"/>
      <c r="HDF148" s="209"/>
      <c r="HDG148" s="207"/>
      <c r="HDH148" s="210"/>
      <c r="HDI148" s="209"/>
      <c r="HDJ148" s="204"/>
      <c r="HDK148" s="204"/>
      <c r="HDL148" s="204"/>
      <c r="HDM148" s="199"/>
      <c r="HDN148" s="167"/>
      <c r="HDO148" s="199"/>
      <c r="HDP148" s="200"/>
      <c r="HDQ148" s="201"/>
      <c r="HDR148" s="202"/>
      <c r="HDS148" s="202"/>
      <c r="HDT148" s="202"/>
      <c r="HDU148" s="202"/>
      <c r="HDV148" s="203"/>
      <c r="HDW148" s="204"/>
      <c r="HDX148" s="204"/>
      <c r="HDY148" s="204"/>
      <c r="HDZ148" s="205"/>
      <c r="HEA148" s="206"/>
      <c r="HEB148" s="207"/>
      <c r="HEC148" s="207"/>
      <c r="HED148" s="208"/>
      <c r="HEE148" s="209"/>
      <c r="HEF148" s="207"/>
      <c r="HEG148" s="210"/>
      <c r="HEH148" s="209"/>
      <c r="HEI148" s="204"/>
      <c r="HEJ148" s="204"/>
      <c r="HEK148" s="204"/>
      <c r="HEL148" s="199"/>
      <c r="HEM148" s="167"/>
      <c r="HEN148" s="199"/>
      <c r="HEO148" s="200"/>
      <c r="HEP148" s="201"/>
      <c r="HEQ148" s="202"/>
      <c r="HER148" s="202"/>
      <c r="HES148" s="202"/>
      <c r="HET148" s="202"/>
      <c r="HEU148" s="203"/>
      <c r="HEV148" s="204"/>
      <c r="HEW148" s="204"/>
      <c r="HEX148" s="204"/>
      <c r="HEY148" s="205"/>
      <c r="HEZ148" s="206"/>
      <c r="HFA148" s="207"/>
      <c r="HFB148" s="207"/>
      <c r="HFC148" s="208"/>
      <c r="HFD148" s="209"/>
      <c r="HFE148" s="207"/>
      <c r="HFF148" s="210"/>
      <c r="HFG148" s="209"/>
      <c r="HFH148" s="204"/>
      <c r="HFI148" s="204"/>
      <c r="HFJ148" s="204"/>
      <c r="HFK148" s="199"/>
      <c r="HFL148" s="167"/>
      <c r="HFM148" s="199"/>
      <c r="HFN148" s="200"/>
      <c r="HFO148" s="201"/>
      <c r="HFP148" s="202"/>
      <c r="HFQ148" s="202"/>
      <c r="HFR148" s="202"/>
      <c r="HFS148" s="202"/>
      <c r="HFT148" s="203"/>
      <c r="HFU148" s="204"/>
      <c r="HFV148" s="204"/>
      <c r="HFW148" s="204"/>
      <c r="HFX148" s="205"/>
      <c r="HFY148" s="206"/>
      <c r="HFZ148" s="207"/>
      <c r="HGA148" s="207"/>
      <c r="HGB148" s="208"/>
      <c r="HGC148" s="209"/>
      <c r="HGD148" s="207"/>
      <c r="HGE148" s="210"/>
      <c r="HGF148" s="209"/>
      <c r="HGG148" s="204"/>
      <c r="HGH148" s="204"/>
      <c r="HGI148" s="204"/>
      <c r="HGJ148" s="199"/>
      <c r="HGK148" s="167"/>
      <c r="HGL148" s="199"/>
      <c r="HGM148" s="200"/>
      <c r="HGN148" s="201"/>
      <c r="HGO148" s="202"/>
      <c r="HGP148" s="202"/>
      <c r="HGQ148" s="202"/>
      <c r="HGR148" s="202"/>
      <c r="HGS148" s="203"/>
      <c r="HGT148" s="204"/>
      <c r="HGU148" s="204"/>
      <c r="HGV148" s="204"/>
      <c r="HGW148" s="205"/>
      <c r="HGX148" s="206"/>
      <c r="HGY148" s="207"/>
      <c r="HGZ148" s="207"/>
      <c r="HHA148" s="208"/>
      <c r="HHB148" s="209"/>
      <c r="HHC148" s="207"/>
      <c r="HHD148" s="210"/>
      <c r="HHE148" s="209"/>
      <c r="HHF148" s="204"/>
      <c r="HHG148" s="204"/>
      <c r="HHH148" s="204"/>
      <c r="HHI148" s="199"/>
      <c r="HHJ148" s="167"/>
      <c r="HHK148" s="199"/>
      <c r="HHL148" s="200"/>
      <c r="HHM148" s="201"/>
      <c r="HHN148" s="202"/>
      <c r="HHO148" s="202"/>
      <c r="HHP148" s="202"/>
      <c r="HHQ148" s="202"/>
      <c r="HHR148" s="203"/>
      <c r="HHS148" s="204"/>
      <c r="HHT148" s="204"/>
      <c r="HHU148" s="204"/>
      <c r="HHV148" s="205"/>
      <c r="HHW148" s="206"/>
      <c r="HHX148" s="207"/>
      <c r="HHY148" s="207"/>
      <c r="HHZ148" s="208"/>
      <c r="HIA148" s="209"/>
      <c r="HIB148" s="207"/>
      <c r="HIC148" s="210"/>
      <c r="HID148" s="209"/>
      <c r="HIE148" s="204"/>
      <c r="HIF148" s="204"/>
      <c r="HIG148" s="204"/>
      <c r="HIH148" s="199"/>
      <c r="HII148" s="167"/>
      <c r="HIJ148" s="199"/>
      <c r="HIK148" s="200"/>
      <c r="HIL148" s="201"/>
      <c r="HIM148" s="202"/>
      <c r="HIN148" s="202"/>
      <c r="HIO148" s="202"/>
      <c r="HIP148" s="202"/>
      <c r="HIQ148" s="203"/>
      <c r="HIR148" s="204"/>
      <c r="HIS148" s="204"/>
      <c r="HIT148" s="204"/>
      <c r="HIU148" s="205"/>
      <c r="HIV148" s="206"/>
      <c r="HIW148" s="207"/>
      <c r="HIX148" s="207"/>
      <c r="HIY148" s="208"/>
      <c r="HIZ148" s="209"/>
      <c r="HJA148" s="207"/>
      <c r="HJB148" s="210"/>
      <c r="HJC148" s="209"/>
      <c r="HJD148" s="204"/>
      <c r="HJE148" s="204"/>
      <c r="HJF148" s="204"/>
      <c r="HJG148" s="199"/>
      <c r="HJH148" s="167"/>
      <c r="HJI148" s="199"/>
      <c r="HJJ148" s="200"/>
      <c r="HJK148" s="201"/>
      <c r="HJL148" s="202"/>
      <c r="HJM148" s="202"/>
      <c r="HJN148" s="202"/>
      <c r="HJO148" s="202"/>
      <c r="HJP148" s="203"/>
      <c r="HJQ148" s="204"/>
      <c r="HJR148" s="204"/>
      <c r="HJS148" s="204"/>
      <c r="HJT148" s="205"/>
      <c r="HJU148" s="206"/>
      <c r="HJV148" s="207"/>
      <c r="HJW148" s="207"/>
      <c r="HJX148" s="208"/>
      <c r="HJY148" s="209"/>
      <c r="HJZ148" s="207"/>
      <c r="HKA148" s="210"/>
      <c r="HKB148" s="209"/>
      <c r="HKC148" s="204"/>
      <c r="HKD148" s="204"/>
      <c r="HKE148" s="204"/>
      <c r="HKF148" s="199"/>
      <c r="HKG148" s="167"/>
      <c r="HKH148" s="199"/>
      <c r="HKI148" s="200"/>
      <c r="HKJ148" s="201"/>
      <c r="HKK148" s="202"/>
      <c r="HKL148" s="202"/>
      <c r="HKM148" s="202"/>
      <c r="HKN148" s="202"/>
      <c r="HKO148" s="203"/>
      <c r="HKP148" s="204"/>
      <c r="HKQ148" s="204"/>
      <c r="HKR148" s="204"/>
      <c r="HKS148" s="205"/>
      <c r="HKT148" s="206"/>
      <c r="HKU148" s="207"/>
      <c r="HKV148" s="207"/>
      <c r="HKW148" s="208"/>
      <c r="HKX148" s="209"/>
      <c r="HKY148" s="207"/>
      <c r="HKZ148" s="210"/>
      <c r="HLA148" s="209"/>
      <c r="HLB148" s="204"/>
      <c r="HLC148" s="204"/>
      <c r="HLD148" s="204"/>
      <c r="HLE148" s="199"/>
      <c r="HLF148" s="167"/>
      <c r="HLG148" s="199"/>
      <c r="HLH148" s="200"/>
      <c r="HLI148" s="201"/>
      <c r="HLJ148" s="202"/>
      <c r="HLK148" s="202"/>
      <c r="HLL148" s="202"/>
      <c r="HLM148" s="202"/>
      <c r="HLN148" s="203"/>
      <c r="HLO148" s="204"/>
      <c r="HLP148" s="204"/>
      <c r="HLQ148" s="204"/>
      <c r="HLR148" s="205"/>
      <c r="HLS148" s="206"/>
      <c r="HLT148" s="207"/>
      <c r="HLU148" s="207"/>
      <c r="HLV148" s="208"/>
      <c r="HLW148" s="209"/>
      <c r="HLX148" s="207"/>
      <c r="HLY148" s="210"/>
      <c r="HLZ148" s="209"/>
      <c r="HMA148" s="204"/>
      <c r="HMB148" s="204"/>
      <c r="HMC148" s="204"/>
      <c r="HMD148" s="199"/>
      <c r="HME148" s="167"/>
      <c r="HMF148" s="199"/>
      <c r="HMG148" s="200"/>
      <c r="HMH148" s="201"/>
      <c r="HMI148" s="202"/>
      <c r="HMJ148" s="202"/>
      <c r="HMK148" s="202"/>
      <c r="HML148" s="202"/>
      <c r="HMM148" s="203"/>
      <c r="HMN148" s="204"/>
      <c r="HMO148" s="204"/>
      <c r="HMP148" s="204"/>
      <c r="HMQ148" s="205"/>
      <c r="HMR148" s="206"/>
      <c r="HMS148" s="207"/>
      <c r="HMT148" s="207"/>
      <c r="HMU148" s="208"/>
      <c r="HMV148" s="209"/>
      <c r="HMW148" s="207"/>
      <c r="HMX148" s="210"/>
      <c r="HMY148" s="209"/>
      <c r="HMZ148" s="204"/>
      <c r="HNA148" s="204"/>
      <c r="HNB148" s="204"/>
      <c r="HNC148" s="199"/>
      <c r="HND148" s="167"/>
      <c r="HNE148" s="199"/>
      <c r="HNF148" s="200"/>
      <c r="HNG148" s="201"/>
      <c r="HNH148" s="202"/>
      <c r="HNI148" s="202"/>
      <c r="HNJ148" s="202"/>
      <c r="HNK148" s="202"/>
      <c r="HNL148" s="203"/>
      <c r="HNM148" s="204"/>
      <c r="HNN148" s="204"/>
      <c r="HNO148" s="204"/>
      <c r="HNP148" s="205"/>
      <c r="HNQ148" s="206"/>
      <c r="HNR148" s="207"/>
      <c r="HNS148" s="207"/>
      <c r="HNT148" s="208"/>
      <c r="HNU148" s="209"/>
      <c r="HNV148" s="207"/>
      <c r="HNW148" s="210"/>
      <c r="HNX148" s="209"/>
      <c r="HNY148" s="204"/>
      <c r="HNZ148" s="204"/>
      <c r="HOA148" s="204"/>
      <c r="HOB148" s="199"/>
      <c r="HOC148" s="167"/>
      <c r="HOD148" s="199"/>
      <c r="HOE148" s="200"/>
      <c r="HOF148" s="201"/>
      <c r="HOG148" s="202"/>
      <c r="HOH148" s="202"/>
      <c r="HOI148" s="202"/>
      <c r="HOJ148" s="202"/>
      <c r="HOK148" s="203"/>
      <c r="HOL148" s="204"/>
      <c r="HOM148" s="204"/>
      <c r="HON148" s="204"/>
      <c r="HOO148" s="205"/>
      <c r="HOP148" s="206"/>
      <c r="HOQ148" s="207"/>
      <c r="HOR148" s="207"/>
      <c r="HOS148" s="208"/>
      <c r="HOT148" s="209"/>
      <c r="HOU148" s="207"/>
      <c r="HOV148" s="210"/>
      <c r="HOW148" s="209"/>
      <c r="HOX148" s="204"/>
      <c r="HOY148" s="204"/>
      <c r="HOZ148" s="204"/>
      <c r="HPA148" s="199"/>
      <c r="HPB148" s="167"/>
      <c r="HPC148" s="199"/>
      <c r="HPD148" s="200"/>
      <c r="HPE148" s="201"/>
      <c r="HPF148" s="202"/>
      <c r="HPG148" s="202"/>
      <c r="HPH148" s="202"/>
      <c r="HPI148" s="202"/>
      <c r="HPJ148" s="203"/>
      <c r="HPK148" s="204"/>
      <c r="HPL148" s="204"/>
      <c r="HPM148" s="204"/>
      <c r="HPN148" s="205"/>
      <c r="HPO148" s="206"/>
      <c r="HPP148" s="207"/>
      <c r="HPQ148" s="207"/>
      <c r="HPR148" s="208"/>
      <c r="HPS148" s="209"/>
      <c r="HPT148" s="207"/>
      <c r="HPU148" s="210"/>
      <c r="HPV148" s="209"/>
      <c r="HPW148" s="204"/>
      <c r="HPX148" s="204"/>
      <c r="HPY148" s="204"/>
      <c r="HPZ148" s="199"/>
      <c r="HQA148" s="167"/>
      <c r="HQB148" s="199"/>
      <c r="HQC148" s="200"/>
      <c r="HQD148" s="201"/>
      <c r="HQE148" s="202"/>
      <c r="HQF148" s="202"/>
      <c r="HQG148" s="202"/>
      <c r="HQH148" s="202"/>
      <c r="HQI148" s="203"/>
      <c r="HQJ148" s="204"/>
      <c r="HQK148" s="204"/>
      <c r="HQL148" s="204"/>
      <c r="HQM148" s="205"/>
      <c r="HQN148" s="206"/>
      <c r="HQO148" s="207"/>
      <c r="HQP148" s="207"/>
      <c r="HQQ148" s="208"/>
      <c r="HQR148" s="209"/>
      <c r="HQS148" s="207"/>
      <c r="HQT148" s="210"/>
      <c r="HQU148" s="209"/>
      <c r="HQV148" s="204"/>
      <c r="HQW148" s="204"/>
      <c r="HQX148" s="204"/>
      <c r="HQY148" s="199"/>
      <c r="HQZ148" s="167"/>
      <c r="HRA148" s="199"/>
      <c r="HRB148" s="200"/>
      <c r="HRC148" s="201"/>
      <c r="HRD148" s="202"/>
      <c r="HRE148" s="202"/>
      <c r="HRF148" s="202"/>
      <c r="HRG148" s="202"/>
      <c r="HRH148" s="203"/>
      <c r="HRI148" s="204"/>
      <c r="HRJ148" s="204"/>
      <c r="HRK148" s="204"/>
      <c r="HRL148" s="205"/>
      <c r="HRM148" s="206"/>
      <c r="HRN148" s="207"/>
      <c r="HRO148" s="207"/>
      <c r="HRP148" s="208"/>
      <c r="HRQ148" s="209"/>
      <c r="HRR148" s="207"/>
      <c r="HRS148" s="210"/>
      <c r="HRT148" s="209"/>
      <c r="HRU148" s="204"/>
      <c r="HRV148" s="204"/>
      <c r="HRW148" s="204"/>
      <c r="HRX148" s="199"/>
      <c r="HRY148" s="167"/>
      <c r="HRZ148" s="199"/>
      <c r="HSA148" s="200"/>
      <c r="HSB148" s="201"/>
      <c r="HSC148" s="202"/>
      <c r="HSD148" s="202"/>
      <c r="HSE148" s="202"/>
      <c r="HSF148" s="202"/>
      <c r="HSG148" s="203"/>
      <c r="HSH148" s="204"/>
      <c r="HSI148" s="204"/>
      <c r="HSJ148" s="204"/>
      <c r="HSK148" s="205"/>
      <c r="HSL148" s="206"/>
      <c r="HSM148" s="207"/>
      <c r="HSN148" s="207"/>
      <c r="HSO148" s="208"/>
      <c r="HSP148" s="209"/>
      <c r="HSQ148" s="207"/>
      <c r="HSR148" s="210"/>
      <c r="HSS148" s="209"/>
      <c r="HST148" s="204"/>
      <c r="HSU148" s="204"/>
      <c r="HSV148" s="204"/>
      <c r="HSW148" s="199"/>
      <c r="HSX148" s="167"/>
      <c r="HSY148" s="199"/>
      <c r="HSZ148" s="200"/>
      <c r="HTA148" s="201"/>
      <c r="HTB148" s="202"/>
      <c r="HTC148" s="202"/>
      <c r="HTD148" s="202"/>
      <c r="HTE148" s="202"/>
      <c r="HTF148" s="203"/>
      <c r="HTG148" s="204"/>
      <c r="HTH148" s="204"/>
      <c r="HTI148" s="204"/>
      <c r="HTJ148" s="205"/>
      <c r="HTK148" s="206"/>
      <c r="HTL148" s="207"/>
      <c r="HTM148" s="207"/>
      <c r="HTN148" s="208"/>
      <c r="HTO148" s="209"/>
      <c r="HTP148" s="207"/>
      <c r="HTQ148" s="210"/>
      <c r="HTR148" s="209"/>
      <c r="HTS148" s="204"/>
      <c r="HTT148" s="204"/>
      <c r="HTU148" s="204"/>
      <c r="HTV148" s="199"/>
      <c r="HTW148" s="167"/>
      <c r="HTX148" s="199"/>
      <c r="HTY148" s="200"/>
      <c r="HTZ148" s="201"/>
      <c r="HUA148" s="202"/>
      <c r="HUB148" s="202"/>
      <c r="HUC148" s="202"/>
      <c r="HUD148" s="202"/>
      <c r="HUE148" s="203"/>
      <c r="HUF148" s="204"/>
      <c r="HUG148" s="204"/>
      <c r="HUH148" s="204"/>
      <c r="HUI148" s="205"/>
      <c r="HUJ148" s="206"/>
      <c r="HUK148" s="207"/>
      <c r="HUL148" s="207"/>
      <c r="HUM148" s="208"/>
      <c r="HUN148" s="209"/>
      <c r="HUO148" s="207"/>
      <c r="HUP148" s="210"/>
      <c r="HUQ148" s="209"/>
      <c r="HUR148" s="204"/>
      <c r="HUS148" s="204"/>
      <c r="HUT148" s="204"/>
      <c r="HUU148" s="199"/>
      <c r="HUV148" s="167"/>
      <c r="HUW148" s="199"/>
      <c r="HUX148" s="200"/>
      <c r="HUY148" s="201"/>
      <c r="HUZ148" s="202"/>
      <c r="HVA148" s="202"/>
      <c r="HVB148" s="202"/>
      <c r="HVC148" s="202"/>
      <c r="HVD148" s="203"/>
      <c r="HVE148" s="204"/>
      <c r="HVF148" s="204"/>
      <c r="HVG148" s="204"/>
      <c r="HVH148" s="205"/>
      <c r="HVI148" s="206"/>
      <c r="HVJ148" s="207"/>
      <c r="HVK148" s="207"/>
      <c r="HVL148" s="208"/>
      <c r="HVM148" s="209"/>
      <c r="HVN148" s="207"/>
      <c r="HVO148" s="210"/>
      <c r="HVP148" s="209"/>
      <c r="HVQ148" s="204"/>
      <c r="HVR148" s="204"/>
      <c r="HVS148" s="204"/>
      <c r="HVT148" s="199"/>
      <c r="HVU148" s="167"/>
      <c r="HVV148" s="199"/>
      <c r="HVW148" s="200"/>
      <c r="HVX148" s="201"/>
      <c r="HVY148" s="202"/>
      <c r="HVZ148" s="202"/>
      <c r="HWA148" s="202"/>
      <c r="HWB148" s="202"/>
      <c r="HWC148" s="203"/>
      <c r="HWD148" s="204"/>
      <c r="HWE148" s="204"/>
      <c r="HWF148" s="204"/>
      <c r="HWG148" s="205"/>
      <c r="HWH148" s="206"/>
      <c r="HWI148" s="207"/>
      <c r="HWJ148" s="207"/>
      <c r="HWK148" s="208"/>
      <c r="HWL148" s="209"/>
      <c r="HWM148" s="207"/>
      <c r="HWN148" s="210"/>
      <c r="HWO148" s="209"/>
      <c r="HWP148" s="204"/>
      <c r="HWQ148" s="204"/>
      <c r="HWR148" s="204"/>
      <c r="HWS148" s="199"/>
      <c r="HWT148" s="167"/>
      <c r="HWU148" s="199"/>
      <c r="HWV148" s="200"/>
      <c r="HWW148" s="201"/>
      <c r="HWX148" s="202"/>
      <c r="HWY148" s="202"/>
      <c r="HWZ148" s="202"/>
      <c r="HXA148" s="202"/>
      <c r="HXB148" s="203"/>
      <c r="HXC148" s="204"/>
      <c r="HXD148" s="204"/>
      <c r="HXE148" s="204"/>
      <c r="HXF148" s="205"/>
      <c r="HXG148" s="206"/>
      <c r="HXH148" s="207"/>
      <c r="HXI148" s="207"/>
      <c r="HXJ148" s="208"/>
      <c r="HXK148" s="209"/>
      <c r="HXL148" s="207"/>
      <c r="HXM148" s="210"/>
      <c r="HXN148" s="209"/>
      <c r="HXO148" s="204"/>
      <c r="HXP148" s="204"/>
      <c r="HXQ148" s="204"/>
      <c r="HXR148" s="199"/>
      <c r="HXS148" s="167"/>
      <c r="HXT148" s="199"/>
      <c r="HXU148" s="200"/>
      <c r="HXV148" s="201"/>
      <c r="HXW148" s="202"/>
      <c r="HXX148" s="202"/>
      <c r="HXY148" s="202"/>
      <c r="HXZ148" s="202"/>
      <c r="HYA148" s="203"/>
      <c r="HYB148" s="204"/>
      <c r="HYC148" s="204"/>
      <c r="HYD148" s="204"/>
      <c r="HYE148" s="205"/>
      <c r="HYF148" s="206"/>
      <c r="HYG148" s="207"/>
      <c r="HYH148" s="207"/>
      <c r="HYI148" s="208"/>
      <c r="HYJ148" s="209"/>
      <c r="HYK148" s="207"/>
      <c r="HYL148" s="210"/>
      <c r="HYM148" s="209"/>
      <c r="HYN148" s="204"/>
      <c r="HYO148" s="204"/>
      <c r="HYP148" s="204"/>
      <c r="HYQ148" s="199"/>
      <c r="HYR148" s="167"/>
      <c r="HYS148" s="199"/>
      <c r="HYT148" s="200"/>
      <c r="HYU148" s="201"/>
      <c r="HYV148" s="202"/>
      <c r="HYW148" s="202"/>
      <c r="HYX148" s="202"/>
      <c r="HYY148" s="202"/>
      <c r="HYZ148" s="203"/>
      <c r="HZA148" s="204"/>
      <c r="HZB148" s="204"/>
      <c r="HZC148" s="204"/>
      <c r="HZD148" s="205"/>
      <c r="HZE148" s="206"/>
      <c r="HZF148" s="207"/>
      <c r="HZG148" s="207"/>
      <c r="HZH148" s="208"/>
      <c r="HZI148" s="209"/>
      <c r="HZJ148" s="207"/>
      <c r="HZK148" s="210"/>
      <c r="HZL148" s="209"/>
      <c r="HZM148" s="204"/>
      <c r="HZN148" s="204"/>
      <c r="HZO148" s="204"/>
      <c r="HZP148" s="199"/>
      <c r="HZQ148" s="167"/>
      <c r="HZR148" s="199"/>
      <c r="HZS148" s="200"/>
      <c r="HZT148" s="201"/>
      <c r="HZU148" s="202"/>
      <c r="HZV148" s="202"/>
      <c r="HZW148" s="202"/>
      <c r="HZX148" s="202"/>
      <c r="HZY148" s="203"/>
      <c r="HZZ148" s="204"/>
      <c r="IAA148" s="204"/>
      <c r="IAB148" s="204"/>
      <c r="IAC148" s="205"/>
      <c r="IAD148" s="206"/>
      <c r="IAE148" s="207"/>
      <c r="IAF148" s="207"/>
      <c r="IAG148" s="208"/>
      <c r="IAH148" s="209"/>
      <c r="IAI148" s="207"/>
      <c r="IAJ148" s="210"/>
      <c r="IAK148" s="209"/>
      <c r="IAL148" s="204"/>
      <c r="IAM148" s="204"/>
      <c r="IAN148" s="204"/>
      <c r="IAO148" s="199"/>
      <c r="IAP148" s="167"/>
      <c r="IAQ148" s="199"/>
      <c r="IAR148" s="200"/>
      <c r="IAS148" s="201"/>
      <c r="IAT148" s="202"/>
      <c r="IAU148" s="202"/>
      <c r="IAV148" s="202"/>
      <c r="IAW148" s="202"/>
      <c r="IAX148" s="203"/>
      <c r="IAY148" s="204"/>
      <c r="IAZ148" s="204"/>
      <c r="IBA148" s="204"/>
      <c r="IBB148" s="205"/>
      <c r="IBC148" s="206"/>
      <c r="IBD148" s="207"/>
      <c r="IBE148" s="207"/>
      <c r="IBF148" s="208"/>
      <c r="IBG148" s="209"/>
      <c r="IBH148" s="207"/>
      <c r="IBI148" s="210"/>
      <c r="IBJ148" s="209"/>
      <c r="IBK148" s="204"/>
      <c r="IBL148" s="204"/>
      <c r="IBM148" s="204"/>
      <c r="IBN148" s="199"/>
      <c r="IBO148" s="167"/>
      <c r="IBP148" s="199"/>
      <c r="IBQ148" s="200"/>
      <c r="IBR148" s="201"/>
      <c r="IBS148" s="202"/>
      <c r="IBT148" s="202"/>
      <c r="IBU148" s="202"/>
      <c r="IBV148" s="202"/>
      <c r="IBW148" s="203"/>
      <c r="IBX148" s="204"/>
      <c r="IBY148" s="204"/>
      <c r="IBZ148" s="204"/>
      <c r="ICA148" s="205"/>
      <c r="ICB148" s="206"/>
      <c r="ICC148" s="207"/>
      <c r="ICD148" s="207"/>
      <c r="ICE148" s="208"/>
      <c r="ICF148" s="209"/>
      <c r="ICG148" s="207"/>
      <c r="ICH148" s="210"/>
      <c r="ICI148" s="209"/>
      <c r="ICJ148" s="204"/>
      <c r="ICK148" s="204"/>
      <c r="ICL148" s="204"/>
      <c r="ICM148" s="199"/>
      <c r="ICN148" s="167"/>
      <c r="ICO148" s="199"/>
      <c r="ICP148" s="200"/>
      <c r="ICQ148" s="201"/>
      <c r="ICR148" s="202"/>
      <c r="ICS148" s="202"/>
      <c r="ICT148" s="202"/>
      <c r="ICU148" s="202"/>
      <c r="ICV148" s="203"/>
      <c r="ICW148" s="204"/>
      <c r="ICX148" s="204"/>
      <c r="ICY148" s="204"/>
      <c r="ICZ148" s="205"/>
      <c r="IDA148" s="206"/>
      <c r="IDB148" s="207"/>
      <c r="IDC148" s="207"/>
      <c r="IDD148" s="208"/>
      <c r="IDE148" s="209"/>
      <c r="IDF148" s="207"/>
      <c r="IDG148" s="210"/>
      <c r="IDH148" s="209"/>
      <c r="IDI148" s="204"/>
      <c r="IDJ148" s="204"/>
      <c r="IDK148" s="204"/>
      <c r="IDL148" s="199"/>
      <c r="IDM148" s="167"/>
      <c r="IDN148" s="199"/>
      <c r="IDO148" s="200"/>
      <c r="IDP148" s="201"/>
      <c r="IDQ148" s="202"/>
      <c r="IDR148" s="202"/>
      <c r="IDS148" s="202"/>
      <c r="IDT148" s="202"/>
      <c r="IDU148" s="203"/>
      <c r="IDV148" s="204"/>
      <c r="IDW148" s="204"/>
      <c r="IDX148" s="204"/>
      <c r="IDY148" s="205"/>
      <c r="IDZ148" s="206"/>
      <c r="IEA148" s="207"/>
      <c r="IEB148" s="207"/>
      <c r="IEC148" s="208"/>
      <c r="IED148" s="209"/>
      <c r="IEE148" s="207"/>
      <c r="IEF148" s="210"/>
      <c r="IEG148" s="209"/>
      <c r="IEH148" s="204"/>
      <c r="IEI148" s="204"/>
      <c r="IEJ148" s="204"/>
      <c r="IEK148" s="199"/>
      <c r="IEL148" s="167"/>
      <c r="IEM148" s="199"/>
      <c r="IEN148" s="200"/>
      <c r="IEO148" s="201"/>
      <c r="IEP148" s="202"/>
      <c r="IEQ148" s="202"/>
      <c r="IER148" s="202"/>
      <c r="IES148" s="202"/>
      <c r="IET148" s="203"/>
      <c r="IEU148" s="204"/>
      <c r="IEV148" s="204"/>
      <c r="IEW148" s="204"/>
      <c r="IEX148" s="205"/>
      <c r="IEY148" s="206"/>
      <c r="IEZ148" s="207"/>
      <c r="IFA148" s="207"/>
      <c r="IFB148" s="208"/>
      <c r="IFC148" s="209"/>
      <c r="IFD148" s="207"/>
      <c r="IFE148" s="210"/>
      <c r="IFF148" s="209"/>
      <c r="IFG148" s="204"/>
      <c r="IFH148" s="204"/>
      <c r="IFI148" s="204"/>
      <c r="IFJ148" s="199"/>
      <c r="IFK148" s="167"/>
      <c r="IFL148" s="199"/>
      <c r="IFM148" s="200"/>
      <c r="IFN148" s="201"/>
      <c r="IFO148" s="202"/>
      <c r="IFP148" s="202"/>
      <c r="IFQ148" s="202"/>
      <c r="IFR148" s="202"/>
      <c r="IFS148" s="203"/>
      <c r="IFT148" s="204"/>
      <c r="IFU148" s="204"/>
      <c r="IFV148" s="204"/>
      <c r="IFW148" s="205"/>
      <c r="IFX148" s="206"/>
      <c r="IFY148" s="207"/>
      <c r="IFZ148" s="207"/>
      <c r="IGA148" s="208"/>
      <c r="IGB148" s="209"/>
      <c r="IGC148" s="207"/>
      <c r="IGD148" s="210"/>
      <c r="IGE148" s="209"/>
      <c r="IGF148" s="204"/>
      <c r="IGG148" s="204"/>
      <c r="IGH148" s="204"/>
      <c r="IGI148" s="199"/>
      <c r="IGJ148" s="167"/>
      <c r="IGK148" s="199"/>
      <c r="IGL148" s="200"/>
      <c r="IGM148" s="201"/>
      <c r="IGN148" s="202"/>
      <c r="IGO148" s="202"/>
      <c r="IGP148" s="202"/>
      <c r="IGQ148" s="202"/>
      <c r="IGR148" s="203"/>
      <c r="IGS148" s="204"/>
      <c r="IGT148" s="204"/>
      <c r="IGU148" s="204"/>
      <c r="IGV148" s="205"/>
      <c r="IGW148" s="206"/>
      <c r="IGX148" s="207"/>
      <c r="IGY148" s="207"/>
      <c r="IGZ148" s="208"/>
      <c r="IHA148" s="209"/>
      <c r="IHB148" s="207"/>
      <c r="IHC148" s="210"/>
      <c r="IHD148" s="209"/>
      <c r="IHE148" s="204"/>
      <c r="IHF148" s="204"/>
      <c r="IHG148" s="204"/>
      <c r="IHH148" s="199"/>
      <c r="IHI148" s="167"/>
      <c r="IHJ148" s="199"/>
      <c r="IHK148" s="200"/>
      <c r="IHL148" s="201"/>
      <c r="IHM148" s="202"/>
      <c r="IHN148" s="202"/>
      <c r="IHO148" s="202"/>
      <c r="IHP148" s="202"/>
      <c r="IHQ148" s="203"/>
      <c r="IHR148" s="204"/>
      <c r="IHS148" s="204"/>
      <c r="IHT148" s="204"/>
      <c r="IHU148" s="205"/>
      <c r="IHV148" s="206"/>
      <c r="IHW148" s="207"/>
      <c r="IHX148" s="207"/>
      <c r="IHY148" s="208"/>
      <c r="IHZ148" s="209"/>
      <c r="IIA148" s="207"/>
      <c r="IIB148" s="210"/>
      <c r="IIC148" s="209"/>
      <c r="IID148" s="204"/>
      <c r="IIE148" s="204"/>
      <c r="IIF148" s="204"/>
      <c r="IIG148" s="199"/>
      <c r="IIH148" s="167"/>
      <c r="III148" s="199"/>
      <c r="IIJ148" s="200"/>
      <c r="IIK148" s="201"/>
      <c r="IIL148" s="202"/>
      <c r="IIM148" s="202"/>
      <c r="IIN148" s="202"/>
      <c r="IIO148" s="202"/>
      <c r="IIP148" s="203"/>
      <c r="IIQ148" s="204"/>
      <c r="IIR148" s="204"/>
      <c r="IIS148" s="204"/>
      <c r="IIT148" s="205"/>
      <c r="IIU148" s="206"/>
      <c r="IIV148" s="207"/>
      <c r="IIW148" s="207"/>
      <c r="IIX148" s="208"/>
      <c r="IIY148" s="209"/>
      <c r="IIZ148" s="207"/>
      <c r="IJA148" s="210"/>
      <c r="IJB148" s="209"/>
      <c r="IJC148" s="204"/>
      <c r="IJD148" s="204"/>
      <c r="IJE148" s="204"/>
      <c r="IJF148" s="199"/>
      <c r="IJG148" s="167"/>
      <c r="IJH148" s="199"/>
      <c r="IJI148" s="200"/>
      <c r="IJJ148" s="201"/>
      <c r="IJK148" s="202"/>
      <c r="IJL148" s="202"/>
      <c r="IJM148" s="202"/>
      <c r="IJN148" s="202"/>
      <c r="IJO148" s="203"/>
      <c r="IJP148" s="204"/>
      <c r="IJQ148" s="204"/>
      <c r="IJR148" s="204"/>
      <c r="IJS148" s="205"/>
      <c r="IJT148" s="206"/>
      <c r="IJU148" s="207"/>
      <c r="IJV148" s="207"/>
      <c r="IJW148" s="208"/>
      <c r="IJX148" s="209"/>
      <c r="IJY148" s="207"/>
      <c r="IJZ148" s="210"/>
      <c r="IKA148" s="209"/>
      <c r="IKB148" s="204"/>
      <c r="IKC148" s="204"/>
      <c r="IKD148" s="204"/>
      <c r="IKE148" s="199"/>
      <c r="IKF148" s="167"/>
      <c r="IKG148" s="199"/>
      <c r="IKH148" s="200"/>
      <c r="IKI148" s="201"/>
      <c r="IKJ148" s="202"/>
      <c r="IKK148" s="202"/>
      <c r="IKL148" s="202"/>
      <c r="IKM148" s="202"/>
      <c r="IKN148" s="203"/>
      <c r="IKO148" s="204"/>
      <c r="IKP148" s="204"/>
      <c r="IKQ148" s="204"/>
      <c r="IKR148" s="205"/>
      <c r="IKS148" s="206"/>
      <c r="IKT148" s="207"/>
      <c r="IKU148" s="207"/>
      <c r="IKV148" s="208"/>
      <c r="IKW148" s="209"/>
      <c r="IKX148" s="207"/>
      <c r="IKY148" s="210"/>
      <c r="IKZ148" s="209"/>
      <c r="ILA148" s="204"/>
      <c r="ILB148" s="204"/>
      <c r="ILC148" s="204"/>
      <c r="ILD148" s="199"/>
      <c r="ILE148" s="167"/>
      <c r="ILF148" s="199"/>
      <c r="ILG148" s="200"/>
      <c r="ILH148" s="201"/>
      <c r="ILI148" s="202"/>
      <c r="ILJ148" s="202"/>
      <c r="ILK148" s="202"/>
      <c r="ILL148" s="202"/>
      <c r="ILM148" s="203"/>
      <c r="ILN148" s="204"/>
      <c r="ILO148" s="204"/>
      <c r="ILP148" s="204"/>
      <c r="ILQ148" s="205"/>
      <c r="ILR148" s="206"/>
      <c r="ILS148" s="207"/>
      <c r="ILT148" s="207"/>
      <c r="ILU148" s="208"/>
      <c r="ILV148" s="209"/>
      <c r="ILW148" s="207"/>
      <c r="ILX148" s="210"/>
      <c r="ILY148" s="209"/>
      <c r="ILZ148" s="204"/>
      <c r="IMA148" s="204"/>
      <c r="IMB148" s="204"/>
      <c r="IMC148" s="199"/>
      <c r="IMD148" s="167"/>
      <c r="IME148" s="199"/>
      <c r="IMF148" s="200"/>
      <c r="IMG148" s="201"/>
      <c r="IMH148" s="202"/>
      <c r="IMI148" s="202"/>
      <c r="IMJ148" s="202"/>
      <c r="IMK148" s="202"/>
      <c r="IML148" s="203"/>
      <c r="IMM148" s="204"/>
      <c r="IMN148" s="204"/>
      <c r="IMO148" s="204"/>
      <c r="IMP148" s="205"/>
      <c r="IMQ148" s="206"/>
      <c r="IMR148" s="207"/>
      <c r="IMS148" s="207"/>
      <c r="IMT148" s="208"/>
      <c r="IMU148" s="209"/>
      <c r="IMV148" s="207"/>
      <c r="IMW148" s="210"/>
      <c r="IMX148" s="209"/>
      <c r="IMY148" s="204"/>
      <c r="IMZ148" s="204"/>
      <c r="INA148" s="204"/>
      <c r="INB148" s="199"/>
      <c r="INC148" s="167"/>
      <c r="IND148" s="199"/>
      <c r="INE148" s="200"/>
      <c r="INF148" s="201"/>
      <c r="ING148" s="202"/>
      <c r="INH148" s="202"/>
      <c r="INI148" s="202"/>
      <c r="INJ148" s="202"/>
      <c r="INK148" s="203"/>
      <c r="INL148" s="204"/>
      <c r="INM148" s="204"/>
      <c r="INN148" s="204"/>
      <c r="INO148" s="205"/>
      <c r="INP148" s="206"/>
      <c r="INQ148" s="207"/>
      <c r="INR148" s="207"/>
      <c r="INS148" s="208"/>
      <c r="INT148" s="209"/>
      <c r="INU148" s="207"/>
      <c r="INV148" s="210"/>
      <c r="INW148" s="209"/>
      <c r="INX148" s="204"/>
      <c r="INY148" s="204"/>
      <c r="INZ148" s="204"/>
      <c r="IOA148" s="199"/>
      <c r="IOB148" s="167"/>
      <c r="IOC148" s="199"/>
      <c r="IOD148" s="200"/>
      <c r="IOE148" s="201"/>
      <c r="IOF148" s="202"/>
      <c r="IOG148" s="202"/>
      <c r="IOH148" s="202"/>
      <c r="IOI148" s="202"/>
      <c r="IOJ148" s="203"/>
      <c r="IOK148" s="204"/>
      <c r="IOL148" s="204"/>
      <c r="IOM148" s="204"/>
      <c r="ION148" s="205"/>
      <c r="IOO148" s="206"/>
      <c r="IOP148" s="207"/>
      <c r="IOQ148" s="207"/>
      <c r="IOR148" s="208"/>
      <c r="IOS148" s="209"/>
      <c r="IOT148" s="207"/>
      <c r="IOU148" s="210"/>
      <c r="IOV148" s="209"/>
      <c r="IOW148" s="204"/>
      <c r="IOX148" s="204"/>
      <c r="IOY148" s="204"/>
      <c r="IOZ148" s="199"/>
      <c r="IPA148" s="167"/>
      <c r="IPB148" s="199"/>
      <c r="IPC148" s="200"/>
      <c r="IPD148" s="201"/>
      <c r="IPE148" s="202"/>
      <c r="IPF148" s="202"/>
      <c r="IPG148" s="202"/>
      <c r="IPH148" s="202"/>
      <c r="IPI148" s="203"/>
      <c r="IPJ148" s="204"/>
      <c r="IPK148" s="204"/>
      <c r="IPL148" s="204"/>
      <c r="IPM148" s="205"/>
      <c r="IPN148" s="206"/>
      <c r="IPO148" s="207"/>
      <c r="IPP148" s="207"/>
      <c r="IPQ148" s="208"/>
      <c r="IPR148" s="209"/>
      <c r="IPS148" s="207"/>
      <c r="IPT148" s="210"/>
      <c r="IPU148" s="209"/>
      <c r="IPV148" s="204"/>
      <c r="IPW148" s="204"/>
      <c r="IPX148" s="204"/>
      <c r="IPY148" s="199"/>
      <c r="IPZ148" s="167"/>
      <c r="IQA148" s="199"/>
      <c r="IQB148" s="200"/>
      <c r="IQC148" s="201"/>
      <c r="IQD148" s="202"/>
      <c r="IQE148" s="202"/>
      <c r="IQF148" s="202"/>
      <c r="IQG148" s="202"/>
      <c r="IQH148" s="203"/>
      <c r="IQI148" s="204"/>
      <c r="IQJ148" s="204"/>
      <c r="IQK148" s="204"/>
      <c r="IQL148" s="205"/>
      <c r="IQM148" s="206"/>
      <c r="IQN148" s="207"/>
      <c r="IQO148" s="207"/>
      <c r="IQP148" s="208"/>
      <c r="IQQ148" s="209"/>
      <c r="IQR148" s="207"/>
      <c r="IQS148" s="210"/>
      <c r="IQT148" s="209"/>
      <c r="IQU148" s="204"/>
      <c r="IQV148" s="204"/>
      <c r="IQW148" s="204"/>
      <c r="IQX148" s="199"/>
      <c r="IQY148" s="167"/>
      <c r="IQZ148" s="199"/>
      <c r="IRA148" s="200"/>
      <c r="IRB148" s="201"/>
      <c r="IRC148" s="202"/>
      <c r="IRD148" s="202"/>
      <c r="IRE148" s="202"/>
      <c r="IRF148" s="202"/>
      <c r="IRG148" s="203"/>
      <c r="IRH148" s="204"/>
      <c r="IRI148" s="204"/>
      <c r="IRJ148" s="204"/>
      <c r="IRK148" s="205"/>
      <c r="IRL148" s="206"/>
      <c r="IRM148" s="207"/>
      <c r="IRN148" s="207"/>
      <c r="IRO148" s="208"/>
      <c r="IRP148" s="209"/>
      <c r="IRQ148" s="207"/>
      <c r="IRR148" s="210"/>
      <c r="IRS148" s="209"/>
      <c r="IRT148" s="204"/>
      <c r="IRU148" s="204"/>
      <c r="IRV148" s="204"/>
      <c r="IRW148" s="199"/>
      <c r="IRX148" s="167"/>
      <c r="IRY148" s="199"/>
      <c r="IRZ148" s="200"/>
      <c r="ISA148" s="201"/>
      <c r="ISB148" s="202"/>
      <c r="ISC148" s="202"/>
      <c r="ISD148" s="202"/>
      <c r="ISE148" s="202"/>
      <c r="ISF148" s="203"/>
      <c r="ISG148" s="204"/>
      <c r="ISH148" s="204"/>
      <c r="ISI148" s="204"/>
      <c r="ISJ148" s="205"/>
      <c r="ISK148" s="206"/>
      <c r="ISL148" s="207"/>
      <c r="ISM148" s="207"/>
      <c r="ISN148" s="208"/>
      <c r="ISO148" s="209"/>
      <c r="ISP148" s="207"/>
      <c r="ISQ148" s="210"/>
      <c r="ISR148" s="209"/>
      <c r="ISS148" s="204"/>
      <c r="IST148" s="204"/>
      <c r="ISU148" s="204"/>
      <c r="ISV148" s="199"/>
      <c r="ISW148" s="167"/>
      <c r="ISX148" s="199"/>
      <c r="ISY148" s="200"/>
      <c r="ISZ148" s="201"/>
      <c r="ITA148" s="202"/>
      <c r="ITB148" s="202"/>
      <c r="ITC148" s="202"/>
      <c r="ITD148" s="202"/>
      <c r="ITE148" s="203"/>
      <c r="ITF148" s="204"/>
      <c r="ITG148" s="204"/>
      <c r="ITH148" s="204"/>
      <c r="ITI148" s="205"/>
      <c r="ITJ148" s="206"/>
      <c r="ITK148" s="207"/>
      <c r="ITL148" s="207"/>
      <c r="ITM148" s="208"/>
      <c r="ITN148" s="209"/>
      <c r="ITO148" s="207"/>
      <c r="ITP148" s="210"/>
      <c r="ITQ148" s="209"/>
      <c r="ITR148" s="204"/>
      <c r="ITS148" s="204"/>
      <c r="ITT148" s="204"/>
      <c r="ITU148" s="199"/>
      <c r="ITV148" s="167"/>
      <c r="ITW148" s="199"/>
      <c r="ITX148" s="200"/>
      <c r="ITY148" s="201"/>
      <c r="ITZ148" s="202"/>
      <c r="IUA148" s="202"/>
      <c r="IUB148" s="202"/>
      <c r="IUC148" s="202"/>
      <c r="IUD148" s="203"/>
      <c r="IUE148" s="204"/>
      <c r="IUF148" s="204"/>
      <c r="IUG148" s="204"/>
      <c r="IUH148" s="205"/>
      <c r="IUI148" s="206"/>
      <c r="IUJ148" s="207"/>
      <c r="IUK148" s="207"/>
      <c r="IUL148" s="208"/>
      <c r="IUM148" s="209"/>
      <c r="IUN148" s="207"/>
      <c r="IUO148" s="210"/>
      <c r="IUP148" s="209"/>
      <c r="IUQ148" s="204"/>
      <c r="IUR148" s="204"/>
      <c r="IUS148" s="204"/>
      <c r="IUT148" s="199"/>
      <c r="IUU148" s="167"/>
      <c r="IUV148" s="199"/>
      <c r="IUW148" s="200"/>
      <c r="IUX148" s="201"/>
      <c r="IUY148" s="202"/>
      <c r="IUZ148" s="202"/>
      <c r="IVA148" s="202"/>
      <c r="IVB148" s="202"/>
      <c r="IVC148" s="203"/>
      <c r="IVD148" s="204"/>
      <c r="IVE148" s="204"/>
      <c r="IVF148" s="204"/>
      <c r="IVG148" s="205"/>
      <c r="IVH148" s="206"/>
      <c r="IVI148" s="207"/>
      <c r="IVJ148" s="207"/>
      <c r="IVK148" s="208"/>
      <c r="IVL148" s="209"/>
      <c r="IVM148" s="207"/>
      <c r="IVN148" s="210"/>
      <c r="IVO148" s="209"/>
      <c r="IVP148" s="204"/>
      <c r="IVQ148" s="204"/>
      <c r="IVR148" s="204"/>
      <c r="IVS148" s="199"/>
      <c r="IVT148" s="167"/>
      <c r="IVU148" s="199"/>
      <c r="IVV148" s="200"/>
      <c r="IVW148" s="201"/>
      <c r="IVX148" s="202"/>
      <c r="IVY148" s="202"/>
      <c r="IVZ148" s="202"/>
      <c r="IWA148" s="202"/>
      <c r="IWB148" s="203"/>
      <c r="IWC148" s="204"/>
      <c r="IWD148" s="204"/>
      <c r="IWE148" s="204"/>
      <c r="IWF148" s="205"/>
      <c r="IWG148" s="206"/>
      <c r="IWH148" s="207"/>
      <c r="IWI148" s="207"/>
      <c r="IWJ148" s="208"/>
      <c r="IWK148" s="209"/>
      <c r="IWL148" s="207"/>
      <c r="IWM148" s="210"/>
      <c r="IWN148" s="209"/>
      <c r="IWO148" s="204"/>
      <c r="IWP148" s="204"/>
      <c r="IWQ148" s="204"/>
      <c r="IWR148" s="199"/>
      <c r="IWS148" s="167"/>
      <c r="IWT148" s="199"/>
      <c r="IWU148" s="200"/>
      <c r="IWV148" s="201"/>
      <c r="IWW148" s="202"/>
      <c r="IWX148" s="202"/>
      <c r="IWY148" s="202"/>
      <c r="IWZ148" s="202"/>
      <c r="IXA148" s="203"/>
      <c r="IXB148" s="204"/>
      <c r="IXC148" s="204"/>
      <c r="IXD148" s="204"/>
      <c r="IXE148" s="205"/>
      <c r="IXF148" s="206"/>
      <c r="IXG148" s="207"/>
      <c r="IXH148" s="207"/>
      <c r="IXI148" s="208"/>
      <c r="IXJ148" s="209"/>
      <c r="IXK148" s="207"/>
      <c r="IXL148" s="210"/>
      <c r="IXM148" s="209"/>
      <c r="IXN148" s="204"/>
      <c r="IXO148" s="204"/>
      <c r="IXP148" s="204"/>
      <c r="IXQ148" s="199"/>
      <c r="IXR148" s="167"/>
      <c r="IXS148" s="199"/>
      <c r="IXT148" s="200"/>
      <c r="IXU148" s="201"/>
      <c r="IXV148" s="202"/>
      <c r="IXW148" s="202"/>
      <c r="IXX148" s="202"/>
      <c r="IXY148" s="202"/>
      <c r="IXZ148" s="203"/>
      <c r="IYA148" s="204"/>
      <c r="IYB148" s="204"/>
      <c r="IYC148" s="204"/>
      <c r="IYD148" s="205"/>
      <c r="IYE148" s="206"/>
      <c r="IYF148" s="207"/>
      <c r="IYG148" s="207"/>
      <c r="IYH148" s="208"/>
      <c r="IYI148" s="209"/>
      <c r="IYJ148" s="207"/>
      <c r="IYK148" s="210"/>
      <c r="IYL148" s="209"/>
      <c r="IYM148" s="204"/>
      <c r="IYN148" s="204"/>
      <c r="IYO148" s="204"/>
      <c r="IYP148" s="199"/>
      <c r="IYQ148" s="167"/>
      <c r="IYR148" s="199"/>
      <c r="IYS148" s="200"/>
      <c r="IYT148" s="201"/>
      <c r="IYU148" s="202"/>
      <c r="IYV148" s="202"/>
      <c r="IYW148" s="202"/>
      <c r="IYX148" s="202"/>
      <c r="IYY148" s="203"/>
      <c r="IYZ148" s="204"/>
      <c r="IZA148" s="204"/>
      <c r="IZB148" s="204"/>
      <c r="IZC148" s="205"/>
      <c r="IZD148" s="206"/>
      <c r="IZE148" s="207"/>
      <c r="IZF148" s="207"/>
      <c r="IZG148" s="208"/>
      <c r="IZH148" s="209"/>
      <c r="IZI148" s="207"/>
      <c r="IZJ148" s="210"/>
      <c r="IZK148" s="209"/>
      <c r="IZL148" s="204"/>
      <c r="IZM148" s="204"/>
      <c r="IZN148" s="204"/>
      <c r="IZO148" s="199"/>
      <c r="IZP148" s="167"/>
      <c r="IZQ148" s="199"/>
      <c r="IZR148" s="200"/>
      <c r="IZS148" s="201"/>
      <c r="IZT148" s="202"/>
      <c r="IZU148" s="202"/>
      <c r="IZV148" s="202"/>
      <c r="IZW148" s="202"/>
      <c r="IZX148" s="203"/>
      <c r="IZY148" s="204"/>
      <c r="IZZ148" s="204"/>
      <c r="JAA148" s="204"/>
      <c r="JAB148" s="205"/>
      <c r="JAC148" s="206"/>
      <c r="JAD148" s="207"/>
      <c r="JAE148" s="207"/>
      <c r="JAF148" s="208"/>
      <c r="JAG148" s="209"/>
      <c r="JAH148" s="207"/>
      <c r="JAI148" s="210"/>
      <c r="JAJ148" s="209"/>
      <c r="JAK148" s="204"/>
      <c r="JAL148" s="204"/>
      <c r="JAM148" s="204"/>
      <c r="JAN148" s="199"/>
      <c r="JAO148" s="167"/>
      <c r="JAP148" s="199"/>
      <c r="JAQ148" s="200"/>
      <c r="JAR148" s="201"/>
      <c r="JAS148" s="202"/>
      <c r="JAT148" s="202"/>
      <c r="JAU148" s="202"/>
      <c r="JAV148" s="202"/>
      <c r="JAW148" s="203"/>
      <c r="JAX148" s="204"/>
      <c r="JAY148" s="204"/>
      <c r="JAZ148" s="204"/>
      <c r="JBA148" s="205"/>
      <c r="JBB148" s="206"/>
      <c r="JBC148" s="207"/>
      <c r="JBD148" s="207"/>
      <c r="JBE148" s="208"/>
      <c r="JBF148" s="209"/>
      <c r="JBG148" s="207"/>
      <c r="JBH148" s="210"/>
      <c r="JBI148" s="209"/>
      <c r="JBJ148" s="204"/>
      <c r="JBK148" s="204"/>
      <c r="JBL148" s="204"/>
      <c r="JBM148" s="199"/>
      <c r="JBN148" s="167"/>
      <c r="JBO148" s="199"/>
      <c r="JBP148" s="200"/>
      <c r="JBQ148" s="201"/>
      <c r="JBR148" s="202"/>
      <c r="JBS148" s="202"/>
      <c r="JBT148" s="202"/>
      <c r="JBU148" s="202"/>
      <c r="JBV148" s="203"/>
      <c r="JBW148" s="204"/>
      <c r="JBX148" s="204"/>
      <c r="JBY148" s="204"/>
      <c r="JBZ148" s="205"/>
      <c r="JCA148" s="206"/>
      <c r="JCB148" s="207"/>
      <c r="JCC148" s="207"/>
      <c r="JCD148" s="208"/>
      <c r="JCE148" s="209"/>
      <c r="JCF148" s="207"/>
      <c r="JCG148" s="210"/>
      <c r="JCH148" s="209"/>
      <c r="JCI148" s="204"/>
      <c r="JCJ148" s="204"/>
      <c r="JCK148" s="204"/>
      <c r="JCL148" s="199"/>
      <c r="JCM148" s="167"/>
      <c r="JCN148" s="199"/>
      <c r="JCO148" s="200"/>
      <c r="JCP148" s="201"/>
      <c r="JCQ148" s="202"/>
      <c r="JCR148" s="202"/>
      <c r="JCS148" s="202"/>
      <c r="JCT148" s="202"/>
      <c r="JCU148" s="203"/>
      <c r="JCV148" s="204"/>
      <c r="JCW148" s="204"/>
      <c r="JCX148" s="204"/>
      <c r="JCY148" s="205"/>
      <c r="JCZ148" s="206"/>
      <c r="JDA148" s="207"/>
      <c r="JDB148" s="207"/>
      <c r="JDC148" s="208"/>
      <c r="JDD148" s="209"/>
      <c r="JDE148" s="207"/>
      <c r="JDF148" s="210"/>
      <c r="JDG148" s="209"/>
      <c r="JDH148" s="204"/>
      <c r="JDI148" s="204"/>
      <c r="JDJ148" s="204"/>
      <c r="JDK148" s="199"/>
      <c r="JDL148" s="167"/>
      <c r="JDM148" s="199"/>
      <c r="JDN148" s="200"/>
      <c r="JDO148" s="201"/>
      <c r="JDP148" s="202"/>
      <c r="JDQ148" s="202"/>
      <c r="JDR148" s="202"/>
      <c r="JDS148" s="202"/>
      <c r="JDT148" s="203"/>
      <c r="JDU148" s="204"/>
      <c r="JDV148" s="204"/>
      <c r="JDW148" s="204"/>
      <c r="JDX148" s="205"/>
      <c r="JDY148" s="206"/>
      <c r="JDZ148" s="207"/>
      <c r="JEA148" s="207"/>
      <c r="JEB148" s="208"/>
      <c r="JEC148" s="209"/>
      <c r="JED148" s="207"/>
      <c r="JEE148" s="210"/>
      <c r="JEF148" s="209"/>
      <c r="JEG148" s="204"/>
      <c r="JEH148" s="204"/>
      <c r="JEI148" s="204"/>
      <c r="JEJ148" s="199"/>
      <c r="JEK148" s="167"/>
      <c r="JEL148" s="199"/>
      <c r="JEM148" s="200"/>
      <c r="JEN148" s="201"/>
      <c r="JEO148" s="202"/>
      <c r="JEP148" s="202"/>
      <c r="JEQ148" s="202"/>
      <c r="JER148" s="202"/>
      <c r="JES148" s="203"/>
      <c r="JET148" s="204"/>
      <c r="JEU148" s="204"/>
      <c r="JEV148" s="204"/>
      <c r="JEW148" s="205"/>
      <c r="JEX148" s="206"/>
      <c r="JEY148" s="207"/>
      <c r="JEZ148" s="207"/>
      <c r="JFA148" s="208"/>
      <c r="JFB148" s="209"/>
      <c r="JFC148" s="207"/>
      <c r="JFD148" s="210"/>
      <c r="JFE148" s="209"/>
      <c r="JFF148" s="204"/>
      <c r="JFG148" s="204"/>
      <c r="JFH148" s="204"/>
      <c r="JFI148" s="199"/>
      <c r="JFJ148" s="167"/>
      <c r="JFK148" s="199"/>
      <c r="JFL148" s="200"/>
      <c r="JFM148" s="201"/>
      <c r="JFN148" s="202"/>
      <c r="JFO148" s="202"/>
      <c r="JFP148" s="202"/>
      <c r="JFQ148" s="202"/>
      <c r="JFR148" s="203"/>
      <c r="JFS148" s="204"/>
      <c r="JFT148" s="204"/>
      <c r="JFU148" s="204"/>
      <c r="JFV148" s="205"/>
      <c r="JFW148" s="206"/>
      <c r="JFX148" s="207"/>
      <c r="JFY148" s="207"/>
      <c r="JFZ148" s="208"/>
      <c r="JGA148" s="209"/>
      <c r="JGB148" s="207"/>
      <c r="JGC148" s="210"/>
      <c r="JGD148" s="209"/>
      <c r="JGE148" s="204"/>
      <c r="JGF148" s="204"/>
      <c r="JGG148" s="204"/>
      <c r="JGH148" s="199"/>
      <c r="JGI148" s="167"/>
      <c r="JGJ148" s="199"/>
      <c r="JGK148" s="200"/>
      <c r="JGL148" s="201"/>
      <c r="JGM148" s="202"/>
      <c r="JGN148" s="202"/>
      <c r="JGO148" s="202"/>
      <c r="JGP148" s="202"/>
      <c r="JGQ148" s="203"/>
      <c r="JGR148" s="204"/>
      <c r="JGS148" s="204"/>
      <c r="JGT148" s="204"/>
      <c r="JGU148" s="205"/>
      <c r="JGV148" s="206"/>
      <c r="JGW148" s="207"/>
      <c r="JGX148" s="207"/>
      <c r="JGY148" s="208"/>
      <c r="JGZ148" s="209"/>
      <c r="JHA148" s="207"/>
      <c r="JHB148" s="210"/>
      <c r="JHC148" s="209"/>
      <c r="JHD148" s="204"/>
      <c r="JHE148" s="204"/>
      <c r="JHF148" s="204"/>
      <c r="JHG148" s="199"/>
      <c r="JHH148" s="167"/>
      <c r="JHI148" s="199"/>
      <c r="JHJ148" s="200"/>
      <c r="JHK148" s="201"/>
      <c r="JHL148" s="202"/>
      <c r="JHM148" s="202"/>
      <c r="JHN148" s="202"/>
      <c r="JHO148" s="202"/>
      <c r="JHP148" s="203"/>
      <c r="JHQ148" s="204"/>
      <c r="JHR148" s="204"/>
      <c r="JHS148" s="204"/>
      <c r="JHT148" s="205"/>
      <c r="JHU148" s="206"/>
      <c r="JHV148" s="207"/>
      <c r="JHW148" s="207"/>
      <c r="JHX148" s="208"/>
      <c r="JHY148" s="209"/>
      <c r="JHZ148" s="207"/>
      <c r="JIA148" s="210"/>
      <c r="JIB148" s="209"/>
      <c r="JIC148" s="204"/>
      <c r="JID148" s="204"/>
      <c r="JIE148" s="204"/>
      <c r="JIF148" s="199"/>
      <c r="JIG148" s="167"/>
      <c r="JIH148" s="199"/>
      <c r="JII148" s="200"/>
      <c r="JIJ148" s="201"/>
      <c r="JIK148" s="202"/>
      <c r="JIL148" s="202"/>
      <c r="JIM148" s="202"/>
      <c r="JIN148" s="202"/>
      <c r="JIO148" s="203"/>
      <c r="JIP148" s="204"/>
      <c r="JIQ148" s="204"/>
      <c r="JIR148" s="204"/>
      <c r="JIS148" s="205"/>
      <c r="JIT148" s="206"/>
      <c r="JIU148" s="207"/>
      <c r="JIV148" s="207"/>
      <c r="JIW148" s="208"/>
      <c r="JIX148" s="209"/>
      <c r="JIY148" s="207"/>
      <c r="JIZ148" s="210"/>
      <c r="JJA148" s="209"/>
      <c r="JJB148" s="204"/>
      <c r="JJC148" s="204"/>
      <c r="JJD148" s="204"/>
      <c r="JJE148" s="199"/>
      <c r="JJF148" s="167"/>
      <c r="JJG148" s="199"/>
      <c r="JJH148" s="200"/>
      <c r="JJI148" s="201"/>
      <c r="JJJ148" s="202"/>
      <c r="JJK148" s="202"/>
      <c r="JJL148" s="202"/>
      <c r="JJM148" s="202"/>
      <c r="JJN148" s="203"/>
      <c r="JJO148" s="204"/>
      <c r="JJP148" s="204"/>
      <c r="JJQ148" s="204"/>
      <c r="JJR148" s="205"/>
      <c r="JJS148" s="206"/>
      <c r="JJT148" s="207"/>
      <c r="JJU148" s="207"/>
      <c r="JJV148" s="208"/>
      <c r="JJW148" s="209"/>
      <c r="JJX148" s="207"/>
      <c r="JJY148" s="210"/>
      <c r="JJZ148" s="209"/>
      <c r="JKA148" s="204"/>
      <c r="JKB148" s="204"/>
      <c r="JKC148" s="204"/>
      <c r="JKD148" s="199"/>
      <c r="JKE148" s="167"/>
      <c r="JKF148" s="199"/>
      <c r="JKG148" s="200"/>
      <c r="JKH148" s="201"/>
      <c r="JKI148" s="202"/>
      <c r="JKJ148" s="202"/>
      <c r="JKK148" s="202"/>
      <c r="JKL148" s="202"/>
      <c r="JKM148" s="203"/>
      <c r="JKN148" s="204"/>
      <c r="JKO148" s="204"/>
      <c r="JKP148" s="204"/>
      <c r="JKQ148" s="205"/>
      <c r="JKR148" s="206"/>
      <c r="JKS148" s="207"/>
      <c r="JKT148" s="207"/>
      <c r="JKU148" s="208"/>
      <c r="JKV148" s="209"/>
      <c r="JKW148" s="207"/>
      <c r="JKX148" s="210"/>
      <c r="JKY148" s="209"/>
      <c r="JKZ148" s="204"/>
      <c r="JLA148" s="204"/>
      <c r="JLB148" s="204"/>
      <c r="JLC148" s="199"/>
      <c r="JLD148" s="167"/>
      <c r="JLE148" s="199"/>
      <c r="JLF148" s="200"/>
      <c r="JLG148" s="201"/>
      <c r="JLH148" s="202"/>
      <c r="JLI148" s="202"/>
      <c r="JLJ148" s="202"/>
      <c r="JLK148" s="202"/>
      <c r="JLL148" s="203"/>
      <c r="JLM148" s="204"/>
      <c r="JLN148" s="204"/>
      <c r="JLO148" s="204"/>
      <c r="JLP148" s="205"/>
      <c r="JLQ148" s="206"/>
      <c r="JLR148" s="207"/>
      <c r="JLS148" s="207"/>
      <c r="JLT148" s="208"/>
      <c r="JLU148" s="209"/>
      <c r="JLV148" s="207"/>
      <c r="JLW148" s="210"/>
      <c r="JLX148" s="209"/>
      <c r="JLY148" s="204"/>
      <c r="JLZ148" s="204"/>
      <c r="JMA148" s="204"/>
      <c r="JMB148" s="199"/>
      <c r="JMC148" s="167"/>
      <c r="JMD148" s="199"/>
      <c r="JME148" s="200"/>
      <c r="JMF148" s="201"/>
      <c r="JMG148" s="202"/>
      <c r="JMH148" s="202"/>
      <c r="JMI148" s="202"/>
      <c r="JMJ148" s="202"/>
      <c r="JMK148" s="203"/>
      <c r="JML148" s="204"/>
      <c r="JMM148" s="204"/>
      <c r="JMN148" s="204"/>
      <c r="JMO148" s="205"/>
      <c r="JMP148" s="206"/>
      <c r="JMQ148" s="207"/>
      <c r="JMR148" s="207"/>
      <c r="JMS148" s="208"/>
      <c r="JMT148" s="209"/>
      <c r="JMU148" s="207"/>
      <c r="JMV148" s="210"/>
      <c r="JMW148" s="209"/>
      <c r="JMX148" s="204"/>
      <c r="JMY148" s="204"/>
      <c r="JMZ148" s="204"/>
      <c r="JNA148" s="199"/>
      <c r="JNB148" s="167"/>
      <c r="JNC148" s="199"/>
      <c r="JND148" s="200"/>
      <c r="JNE148" s="201"/>
      <c r="JNF148" s="202"/>
      <c r="JNG148" s="202"/>
      <c r="JNH148" s="202"/>
      <c r="JNI148" s="202"/>
      <c r="JNJ148" s="203"/>
      <c r="JNK148" s="204"/>
      <c r="JNL148" s="204"/>
      <c r="JNM148" s="204"/>
      <c r="JNN148" s="205"/>
      <c r="JNO148" s="206"/>
      <c r="JNP148" s="207"/>
      <c r="JNQ148" s="207"/>
      <c r="JNR148" s="208"/>
      <c r="JNS148" s="209"/>
      <c r="JNT148" s="207"/>
      <c r="JNU148" s="210"/>
      <c r="JNV148" s="209"/>
      <c r="JNW148" s="204"/>
      <c r="JNX148" s="204"/>
      <c r="JNY148" s="204"/>
      <c r="JNZ148" s="199"/>
      <c r="JOA148" s="167"/>
      <c r="JOB148" s="199"/>
      <c r="JOC148" s="200"/>
      <c r="JOD148" s="201"/>
      <c r="JOE148" s="202"/>
      <c r="JOF148" s="202"/>
      <c r="JOG148" s="202"/>
      <c r="JOH148" s="202"/>
      <c r="JOI148" s="203"/>
      <c r="JOJ148" s="204"/>
      <c r="JOK148" s="204"/>
      <c r="JOL148" s="204"/>
      <c r="JOM148" s="205"/>
      <c r="JON148" s="206"/>
      <c r="JOO148" s="207"/>
      <c r="JOP148" s="207"/>
      <c r="JOQ148" s="208"/>
      <c r="JOR148" s="209"/>
      <c r="JOS148" s="207"/>
      <c r="JOT148" s="210"/>
      <c r="JOU148" s="209"/>
      <c r="JOV148" s="204"/>
      <c r="JOW148" s="204"/>
      <c r="JOX148" s="204"/>
      <c r="JOY148" s="199"/>
      <c r="JOZ148" s="167"/>
      <c r="JPA148" s="199"/>
      <c r="JPB148" s="200"/>
      <c r="JPC148" s="201"/>
      <c r="JPD148" s="202"/>
      <c r="JPE148" s="202"/>
      <c r="JPF148" s="202"/>
      <c r="JPG148" s="202"/>
      <c r="JPH148" s="203"/>
      <c r="JPI148" s="204"/>
      <c r="JPJ148" s="204"/>
      <c r="JPK148" s="204"/>
      <c r="JPL148" s="205"/>
      <c r="JPM148" s="206"/>
      <c r="JPN148" s="207"/>
      <c r="JPO148" s="207"/>
      <c r="JPP148" s="208"/>
      <c r="JPQ148" s="209"/>
      <c r="JPR148" s="207"/>
      <c r="JPS148" s="210"/>
      <c r="JPT148" s="209"/>
      <c r="JPU148" s="204"/>
      <c r="JPV148" s="204"/>
      <c r="JPW148" s="204"/>
      <c r="JPX148" s="199"/>
      <c r="JPY148" s="167"/>
      <c r="JPZ148" s="199"/>
      <c r="JQA148" s="200"/>
      <c r="JQB148" s="201"/>
      <c r="JQC148" s="202"/>
      <c r="JQD148" s="202"/>
      <c r="JQE148" s="202"/>
      <c r="JQF148" s="202"/>
      <c r="JQG148" s="203"/>
      <c r="JQH148" s="204"/>
      <c r="JQI148" s="204"/>
      <c r="JQJ148" s="204"/>
      <c r="JQK148" s="205"/>
      <c r="JQL148" s="206"/>
      <c r="JQM148" s="207"/>
      <c r="JQN148" s="207"/>
      <c r="JQO148" s="208"/>
      <c r="JQP148" s="209"/>
      <c r="JQQ148" s="207"/>
      <c r="JQR148" s="210"/>
      <c r="JQS148" s="209"/>
      <c r="JQT148" s="204"/>
      <c r="JQU148" s="204"/>
      <c r="JQV148" s="204"/>
      <c r="JQW148" s="199"/>
      <c r="JQX148" s="167"/>
      <c r="JQY148" s="199"/>
      <c r="JQZ148" s="200"/>
      <c r="JRA148" s="201"/>
      <c r="JRB148" s="202"/>
      <c r="JRC148" s="202"/>
      <c r="JRD148" s="202"/>
      <c r="JRE148" s="202"/>
      <c r="JRF148" s="203"/>
      <c r="JRG148" s="204"/>
      <c r="JRH148" s="204"/>
      <c r="JRI148" s="204"/>
      <c r="JRJ148" s="205"/>
      <c r="JRK148" s="206"/>
      <c r="JRL148" s="207"/>
      <c r="JRM148" s="207"/>
      <c r="JRN148" s="208"/>
      <c r="JRO148" s="209"/>
      <c r="JRP148" s="207"/>
      <c r="JRQ148" s="210"/>
      <c r="JRR148" s="209"/>
      <c r="JRS148" s="204"/>
      <c r="JRT148" s="204"/>
      <c r="JRU148" s="204"/>
      <c r="JRV148" s="199"/>
      <c r="JRW148" s="167"/>
      <c r="JRX148" s="199"/>
      <c r="JRY148" s="200"/>
      <c r="JRZ148" s="201"/>
      <c r="JSA148" s="202"/>
      <c r="JSB148" s="202"/>
      <c r="JSC148" s="202"/>
      <c r="JSD148" s="202"/>
      <c r="JSE148" s="203"/>
      <c r="JSF148" s="204"/>
      <c r="JSG148" s="204"/>
      <c r="JSH148" s="204"/>
      <c r="JSI148" s="205"/>
      <c r="JSJ148" s="206"/>
      <c r="JSK148" s="207"/>
      <c r="JSL148" s="207"/>
      <c r="JSM148" s="208"/>
      <c r="JSN148" s="209"/>
      <c r="JSO148" s="207"/>
      <c r="JSP148" s="210"/>
      <c r="JSQ148" s="209"/>
      <c r="JSR148" s="204"/>
      <c r="JSS148" s="204"/>
      <c r="JST148" s="204"/>
      <c r="JSU148" s="199"/>
      <c r="JSV148" s="167"/>
      <c r="JSW148" s="199"/>
      <c r="JSX148" s="200"/>
      <c r="JSY148" s="201"/>
      <c r="JSZ148" s="202"/>
      <c r="JTA148" s="202"/>
      <c r="JTB148" s="202"/>
      <c r="JTC148" s="202"/>
      <c r="JTD148" s="203"/>
      <c r="JTE148" s="204"/>
      <c r="JTF148" s="204"/>
      <c r="JTG148" s="204"/>
      <c r="JTH148" s="205"/>
      <c r="JTI148" s="206"/>
      <c r="JTJ148" s="207"/>
      <c r="JTK148" s="207"/>
      <c r="JTL148" s="208"/>
      <c r="JTM148" s="209"/>
      <c r="JTN148" s="207"/>
      <c r="JTO148" s="210"/>
      <c r="JTP148" s="209"/>
      <c r="JTQ148" s="204"/>
      <c r="JTR148" s="204"/>
      <c r="JTS148" s="204"/>
      <c r="JTT148" s="199"/>
      <c r="JTU148" s="167"/>
      <c r="JTV148" s="199"/>
      <c r="JTW148" s="200"/>
      <c r="JTX148" s="201"/>
      <c r="JTY148" s="202"/>
      <c r="JTZ148" s="202"/>
      <c r="JUA148" s="202"/>
      <c r="JUB148" s="202"/>
      <c r="JUC148" s="203"/>
      <c r="JUD148" s="204"/>
      <c r="JUE148" s="204"/>
      <c r="JUF148" s="204"/>
      <c r="JUG148" s="205"/>
      <c r="JUH148" s="206"/>
      <c r="JUI148" s="207"/>
      <c r="JUJ148" s="207"/>
      <c r="JUK148" s="208"/>
      <c r="JUL148" s="209"/>
      <c r="JUM148" s="207"/>
      <c r="JUN148" s="210"/>
      <c r="JUO148" s="209"/>
      <c r="JUP148" s="204"/>
      <c r="JUQ148" s="204"/>
      <c r="JUR148" s="204"/>
      <c r="JUS148" s="199"/>
      <c r="JUT148" s="167"/>
      <c r="JUU148" s="199"/>
      <c r="JUV148" s="200"/>
      <c r="JUW148" s="201"/>
      <c r="JUX148" s="202"/>
      <c r="JUY148" s="202"/>
      <c r="JUZ148" s="202"/>
      <c r="JVA148" s="202"/>
      <c r="JVB148" s="203"/>
      <c r="JVC148" s="204"/>
      <c r="JVD148" s="204"/>
      <c r="JVE148" s="204"/>
      <c r="JVF148" s="205"/>
      <c r="JVG148" s="206"/>
      <c r="JVH148" s="207"/>
      <c r="JVI148" s="207"/>
      <c r="JVJ148" s="208"/>
      <c r="JVK148" s="209"/>
      <c r="JVL148" s="207"/>
      <c r="JVM148" s="210"/>
      <c r="JVN148" s="209"/>
      <c r="JVO148" s="204"/>
      <c r="JVP148" s="204"/>
      <c r="JVQ148" s="204"/>
      <c r="JVR148" s="199"/>
      <c r="JVS148" s="167"/>
      <c r="JVT148" s="199"/>
      <c r="JVU148" s="200"/>
      <c r="JVV148" s="201"/>
      <c r="JVW148" s="202"/>
      <c r="JVX148" s="202"/>
      <c r="JVY148" s="202"/>
      <c r="JVZ148" s="202"/>
      <c r="JWA148" s="203"/>
      <c r="JWB148" s="204"/>
      <c r="JWC148" s="204"/>
      <c r="JWD148" s="204"/>
      <c r="JWE148" s="205"/>
      <c r="JWF148" s="206"/>
      <c r="JWG148" s="207"/>
      <c r="JWH148" s="207"/>
      <c r="JWI148" s="208"/>
      <c r="JWJ148" s="209"/>
      <c r="JWK148" s="207"/>
      <c r="JWL148" s="210"/>
      <c r="JWM148" s="209"/>
      <c r="JWN148" s="204"/>
      <c r="JWO148" s="204"/>
      <c r="JWP148" s="204"/>
      <c r="JWQ148" s="199"/>
      <c r="JWR148" s="167"/>
      <c r="JWS148" s="199"/>
      <c r="JWT148" s="200"/>
      <c r="JWU148" s="201"/>
      <c r="JWV148" s="202"/>
      <c r="JWW148" s="202"/>
      <c r="JWX148" s="202"/>
      <c r="JWY148" s="202"/>
      <c r="JWZ148" s="203"/>
      <c r="JXA148" s="204"/>
      <c r="JXB148" s="204"/>
      <c r="JXC148" s="204"/>
      <c r="JXD148" s="205"/>
      <c r="JXE148" s="206"/>
      <c r="JXF148" s="207"/>
      <c r="JXG148" s="207"/>
      <c r="JXH148" s="208"/>
      <c r="JXI148" s="209"/>
      <c r="JXJ148" s="207"/>
      <c r="JXK148" s="210"/>
      <c r="JXL148" s="209"/>
      <c r="JXM148" s="204"/>
      <c r="JXN148" s="204"/>
      <c r="JXO148" s="204"/>
      <c r="JXP148" s="199"/>
      <c r="JXQ148" s="167"/>
      <c r="JXR148" s="199"/>
      <c r="JXS148" s="200"/>
      <c r="JXT148" s="201"/>
      <c r="JXU148" s="202"/>
      <c r="JXV148" s="202"/>
      <c r="JXW148" s="202"/>
      <c r="JXX148" s="202"/>
      <c r="JXY148" s="203"/>
      <c r="JXZ148" s="204"/>
      <c r="JYA148" s="204"/>
      <c r="JYB148" s="204"/>
      <c r="JYC148" s="205"/>
      <c r="JYD148" s="206"/>
      <c r="JYE148" s="207"/>
      <c r="JYF148" s="207"/>
      <c r="JYG148" s="208"/>
      <c r="JYH148" s="209"/>
      <c r="JYI148" s="207"/>
      <c r="JYJ148" s="210"/>
      <c r="JYK148" s="209"/>
      <c r="JYL148" s="204"/>
      <c r="JYM148" s="204"/>
      <c r="JYN148" s="204"/>
      <c r="JYO148" s="199"/>
      <c r="JYP148" s="167"/>
      <c r="JYQ148" s="199"/>
      <c r="JYR148" s="200"/>
      <c r="JYS148" s="201"/>
      <c r="JYT148" s="202"/>
      <c r="JYU148" s="202"/>
      <c r="JYV148" s="202"/>
      <c r="JYW148" s="202"/>
      <c r="JYX148" s="203"/>
      <c r="JYY148" s="204"/>
      <c r="JYZ148" s="204"/>
      <c r="JZA148" s="204"/>
      <c r="JZB148" s="205"/>
      <c r="JZC148" s="206"/>
      <c r="JZD148" s="207"/>
      <c r="JZE148" s="207"/>
      <c r="JZF148" s="208"/>
      <c r="JZG148" s="209"/>
      <c r="JZH148" s="207"/>
      <c r="JZI148" s="210"/>
      <c r="JZJ148" s="209"/>
      <c r="JZK148" s="204"/>
      <c r="JZL148" s="204"/>
      <c r="JZM148" s="204"/>
      <c r="JZN148" s="199"/>
      <c r="JZO148" s="167"/>
      <c r="JZP148" s="199"/>
      <c r="JZQ148" s="200"/>
      <c r="JZR148" s="201"/>
      <c r="JZS148" s="202"/>
      <c r="JZT148" s="202"/>
      <c r="JZU148" s="202"/>
      <c r="JZV148" s="202"/>
      <c r="JZW148" s="203"/>
      <c r="JZX148" s="204"/>
      <c r="JZY148" s="204"/>
      <c r="JZZ148" s="204"/>
      <c r="KAA148" s="205"/>
      <c r="KAB148" s="206"/>
      <c r="KAC148" s="207"/>
      <c r="KAD148" s="207"/>
      <c r="KAE148" s="208"/>
      <c r="KAF148" s="209"/>
      <c r="KAG148" s="207"/>
      <c r="KAH148" s="210"/>
      <c r="KAI148" s="209"/>
      <c r="KAJ148" s="204"/>
      <c r="KAK148" s="204"/>
      <c r="KAL148" s="204"/>
      <c r="KAM148" s="199"/>
      <c r="KAN148" s="167"/>
      <c r="KAO148" s="199"/>
      <c r="KAP148" s="200"/>
      <c r="KAQ148" s="201"/>
      <c r="KAR148" s="202"/>
      <c r="KAS148" s="202"/>
      <c r="KAT148" s="202"/>
      <c r="KAU148" s="202"/>
      <c r="KAV148" s="203"/>
      <c r="KAW148" s="204"/>
      <c r="KAX148" s="204"/>
      <c r="KAY148" s="204"/>
      <c r="KAZ148" s="205"/>
      <c r="KBA148" s="206"/>
      <c r="KBB148" s="207"/>
      <c r="KBC148" s="207"/>
      <c r="KBD148" s="208"/>
      <c r="KBE148" s="209"/>
      <c r="KBF148" s="207"/>
      <c r="KBG148" s="210"/>
      <c r="KBH148" s="209"/>
      <c r="KBI148" s="204"/>
      <c r="KBJ148" s="204"/>
      <c r="KBK148" s="204"/>
      <c r="KBL148" s="199"/>
      <c r="KBM148" s="167"/>
      <c r="KBN148" s="199"/>
      <c r="KBO148" s="200"/>
      <c r="KBP148" s="201"/>
      <c r="KBQ148" s="202"/>
      <c r="KBR148" s="202"/>
      <c r="KBS148" s="202"/>
      <c r="KBT148" s="202"/>
      <c r="KBU148" s="203"/>
      <c r="KBV148" s="204"/>
      <c r="KBW148" s="204"/>
      <c r="KBX148" s="204"/>
      <c r="KBY148" s="205"/>
      <c r="KBZ148" s="206"/>
      <c r="KCA148" s="207"/>
      <c r="KCB148" s="207"/>
      <c r="KCC148" s="208"/>
      <c r="KCD148" s="209"/>
      <c r="KCE148" s="207"/>
      <c r="KCF148" s="210"/>
      <c r="KCG148" s="209"/>
      <c r="KCH148" s="204"/>
      <c r="KCI148" s="204"/>
      <c r="KCJ148" s="204"/>
      <c r="KCK148" s="199"/>
      <c r="KCL148" s="167"/>
      <c r="KCM148" s="199"/>
      <c r="KCN148" s="200"/>
      <c r="KCO148" s="201"/>
      <c r="KCP148" s="202"/>
      <c r="KCQ148" s="202"/>
      <c r="KCR148" s="202"/>
      <c r="KCS148" s="202"/>
      <c r="KCT148" s="203"/>
      <c r="KCU148" s="204"/>
      <c r="KCV148" s="204"/>
      <c r="KCW148" s="204"/>
      <c r="KCX148" s="205"/>
      <c r="KCY148" s="206"/>
      <c r="KCZ148" s="207"/>
      <c r="KDA148" s="207"/>
      <c r="KDB148" s="208"/>
      <c r="KDC148" s="209"/>
      <c r="KDD148" s="207"/>
      <c r="KDE148" s="210"/>
      <c r="KDF148" s="209"/>
      <c r="KDG148" s="204"/>
      <c r="KDH148" s="204"/>
      <c r="KDI148" s="204"/>
      <c r="KDJ148" s="199"/>
      <c r="KDK148" s="167"/>
      <c r="KDL148" s="199"/>
      <c r="KDM148" s="200"/>
      <c r="KDN148" s="201"/>
      <c r="KDO148" s="202"/>
      <c r="KDP148" s="202"/>
      <c r="KDQ148" s="202"/>
      <c r="KDR148" s="202"/>
      <c r="KDS148" s="203"/>
      <c r="KDT148" s="204"/>
      <c r="KDU148" s="204"/>
      <c r="KDV148" s="204"/>
      <c r="KDW148" s="205"/>
      <c r="KDX148" s="206"/>
      <c r="KDY148" s="207"/>
      <c r="KDZ148" s="207"/>
      <c r="KEA148" s="208"/>
      <c r="KEB148" s="209"/>
      <c r="KEC148" s="207"/>
      <c r="KED148" s="210"/>
      <c r="KEE148" s="209"/>
      <c r="KEF148" s="204"/>
      <c r="KEG148" s="204"/>
      <c r="KEH148" s="204"/>
      <c r="KEI148" s="199"/>
      <c r="KEJ148" s="167"/>
      <c r="KEK148" s="199"/>
      <c r="KEL148" s="200"/>
      <c r="KEM148" s="201"/>
      <c r="KEN148" s="202"/>
      <c r="KEO148" s="202"/>
      <c r="KEP148" s="202"/>
      <c r="KEQ148" s="202"/>
      <c r="KER148" s="203"/>
      <c r="KES148" s="204"/>
      <c r="KET148" s="204"/>
      <c r="KEU148" s="204"/>
      <c r="KEV148" s="205"/>
      <c r="KEW148" s="206"/>
      <c r="KEX148" s="207"/>
      <c r="KEY148" s="207"/>
      <c r="KEZ148" s="208"/>
      <c r="KFA148" s="209"/>
      <c r="KFB148" s="207"/>
      <c r="KFC148" s="210"/>
      <c r="KFD148" s="209"/>
      <c r="KFE148" s="204"/>
      <c r="KFF148" s="204"/>
      <c r="KFG148" s="204"/>
      <c r="KFH148" s="199"/>
      <c r="KFI148" s="167"/>
      <c r="KFJ148" s="199"/>
      <c r="KFK148" s="200"/>
      <c r="KFL148" s="201"/>
      <c r="KFM148" s="202"/>
      <c r="KFN148" s="202"/>
      <c r="KFO148" s="202"/>
      <c r="KFP148" s="202"/>
      <c r="KFQ148" s="203"/>
      <c r="KFR148" s="204"/>
      <c r="KFS148" s="204"/>
      <c r="KFT148" s="204"/>
      <c r="KFU148" s="205"/>
      <c r="KFV148" s="206"/>
      <c r="KFW148" s="207"/>
      <c r="KFX148" s="207"/>
      <c r="KFY148" s="208"/>
      <c r="KFZ148" s="209"/>
      <c r="KGA148" s="207"/>
      <c r="KGB148" s="210"/>
      <c r="KGC148" s="209"/>
      <c r="KGD148" s="204"/>
      <c r="KGE148" s="204"/>
      <c r="KGF148" s="204"/>
      <c r="KGG148" s="199"/>
      <c r="KGH148" s="167"/>
      <c r="KGI148" s="199"/>
      <c r="KGJ148" s="200"/>
      <c r="KGK148" s="201"/>
      <c r="KGL148" s="202"/>
      <c r="KGM148" s="202"/>
      <c r="KGN148" s="202"/>
      <c r="KGO148" s="202"/>
      <c r="KGP148" s="203"/>
      <c r="KGQ148" s="204"/>
      <c r="KGR148" s="204"/>
      <c r="KGS148" s="204"/>
      <c r="KGT148" s="205"/>
      <c r="KGU148" s="206"/>
      <c r="KGV148" s="207"/>
      <c r="KGW148" s="207"/>
      <c r="KGX148" s="208"/>
      <c r="KGY148" s="209"/>
      <c r="KGZ148" s="207"/>
      <c r="KHA148" s="210"/>
      <c r="KHB148" s="209"/>
      <c r="KHC148" s="204"/>
      <c r="KHD148" s="204"/>
      <c r="KHE148" s="204"/>
      <c r="KHF148" s="199"/>
      <c r="KHG148" s="167"/>
      <c r="KHH148" s="199"/>
      <c r="KHI148" s="200"/>
      <c r="KHJ148" s="201"/>
      <c r="KHK148" s="202"/>
      <c r="KHL148" s="202"/>
      <c r="KHM148" s="202"/>
      <c r="KHN148" s="202"/>
      <c r="KHO148" s="203"/>
      <c r="KHP148" s="204"/>
      <c r="KHQ148" s="204"/>
      <c r="KHR148" s="204"/>
      <c r="KHS148" s="205"/>
      <c r="KHT148" s="206"/>
      <c r="KHU148" s="207"/>
      <c r="KHV148" s="207"/>
      <c r="KHW148" s="208"/>
      <c r="KHX148" s="209"/>
      <c r="KHY148" s="207"/>
      <c r="KHZ148" s="210"/>
      <c r="KIA148" s="209"/>
      <c r="KIB148" s="204"/>
      <c r="KIC148" s="204"/>
      <c r="KID148" s="204"/>
      <c r="KIE148" s="199"/>
      <c r="KIF148" s="167"/>
      <c r="KIG148" s="199"/>
      <c r="KIH148" s="200"/>
      <c r="KII148" s="201"/>
      <c r="KIJ148" s="202"/>
      <c r="KIK148" s="202"/>
      <c r="KIL148" s="202"/>
      <c r="KIM148" s="202"/>
      <c r="KIN148" s="203"/>
      <c r="KIO148" s="204"/>
      <c r="KIP148" s="204"/>
      <c r="KIQ148" s="204"/>
      <c r="KIR148" s="205"/>
      <c r="KIS148" s="206"/>
      <c r="KIT148" s="207"/>
      <c r="KIU148" s="207"/>
      <c r="KIV148" s="208"/>
      <c r="KIW148" s="209"/>
      <c r="KIX148" s="207"/>
      <c r="KIY148" s="210"/>
      <c r="KIZ148" s="209"/>
      <c r="KJA148" s="204"/>
      <c r="KJB148" s="204"/>
      <c r="KJC148" s="204"/>
      <c r="KJD148" s="199"/>
      <c r="KJE148" s="167"/>
      <c r="KJF148" s="199"/>
      <c r="KJG148" s="200"/>
      <c r="KJH148" s="201"/>
      <c r="KJI148" s="202"/>
      <c r="KJJ148" s="202"/>
      <c r="KJK148" s="202"/>
      <c r="KJL148" s="202"/>
      <c r="KJM148" s="203"/>
      <c r="KJN148" s="204"/>
      <c r="KJO148" s="204"/>
      <c r="KJP148" s="204"/>
      <c r="KJQ148" s="205"/>
      <c r="KJR148" s="206"/>
      <c r="KJS148" s="207"/>
      <c r="KJT148" s="207"/>
      <c r="KJU148" s="208"/>
      <c r="KJV148" s="209"/>
      <c r="KJW148" s="207"/>
      <c r="KJX148" s="210"/>
      <c r="KJY148" s="209"/>
      <c r="KJZ148" s="204"/>
      <c r="KKA148" s="204"/>
      <c r="KKB148" s="204"/>
      <c r="KKC148" s="199"/>
      <c r="KKD148" s="167"/>
      <c r="KKE148" s="199"/>
      <c r="KKF148" s="200"/>
      <c r="KKG148" s="201"/>
      <c r="KKH148" s="202"/>
      <c r="KKI148" s="202"/>
      <c r="KKJ148" s="202"/>
      <c r="KKK148" s="202"/>
      <c r="KKL148" s="203"/>
      <c r="KKM148" s="204"/>
      <c r="KKN148" s="204"/>
      <c r="KKO148" s="204"/>
      <c r="KKP148" s="205"/>
      <c r="KKQ148" s="206"/>
      <c r="KKR148" s="207"/>
      <c r="KKS148" s="207"/>
      <c r="KKT148" s="208"/>
      <c r="KKU148" s="209"/>
      <c r="KKV148" s="207"/>
      <c r="KKW148" s="210"/>
      <c r="KKX148" s="209"/>
      <c r="KKY148" s="204"/>
      <c r="KKZ148" s="204"/>
      <c r="KLA148" s="204"/>
      <c r="KLB148" s="199"/>
      <c r="KLC148" s="167"/>
      <c r="KLD148" s="199"/>
      <c r="KLE148" s="200"/>
      <c r="KLF148" s="201"/>
      <c r="KLG148" s="202"/>
      <c r="KLH148" s="202"/>
      <c r="KLI148" s="202"/>
      <c r="KLJ148" s="202"/>
      <c r="KLK148" s="203"/>
      <c r="KLL148" s="204"/>
      <c r="KLM148" s="204"/>
      <c r="KLN148" s="204"/>
      <c r="KLO148" s="205"/>
      <c r="KLP148" s="206"/>
      <c r="KLQ148" s="207"/>
      <c r="KLR148" s="207"/>
      <c r="KLS148" s="208"/>
      <c r="KLT148" s="209"/>
      <c r="KLU148" s="207"/>
      <c r="KLV148" s="210"/>
      <c r="KLW148" s="209"/>
      <c r="KLX148" s="204"/>
      <c r="KLY148" s="204"/>
      <c r="KLZ148" s="204"/>
      <c r="KMA148" s="199"/>
      <c r="KMB148" s="167"/>
      <c r="KMC148" s="199"/>
      <c r="KMD148" s="200"/>
      <c r="KME148" s="201"/>
      <c r="KMF148" s="202"/>
      <c r="KMG148" s="202"/>
      <c r="KMH148" s="202"/>
      <c r="KMI148" s="202"/>
      <c r="KMJ148" s="203"/>
      <c r="KMK148" s="204"/>
      <c r="KML148" s="204"/>
      <c r="KMM148" s="204"/>
      <c r="KMN148" s="205"/>
      <c r="KMO148" s="206"/>
      <c r="KMP148" s="207"/>
      <c r="KMQ148" s="207"/>
      <c r="KMR148" s="208"/>
      <c r="KMS148" s="209"/>
      <c r="KMT148" s="207"/>
      <c r="KMU148" s="210"/>
      <c r="KMV148" s="209"/>
      <c r="KMW148" s="204"/>
      <c r="KMX148" s="204"/>
      <c r="KMY148" s="204"/>
      <c r="KMZ148" s="199"/>
      <c r="KNA148" s="167"/>
      <c r="KNB148" s="199"/>
      <c r="KNC148" s="200"/>
      <c r="KND148" s="201"/>
      <c r="KNE148" s="202"/>
      <c r="KNF148" s="202"/>
      <c r="KNG148" s="202"/>
      <c r="KNH148" s="202"/>
      <c r="KNI148" s="203"/>
      <c r="KNJ148" s="204"/>
      <c r="KNK148" s="204"/>
      <c r="KNL148" s="204"/>
      <c r="KNM148" s="205"/>
      <c r="KNN148" s="206"/>
      <c r="KNO148" s="207"/>
      <c r="KNP148" s="207"/>
      <c r="KNQ148" s="208"/>
      <c r="KNR148" s="209"/>
      <c r="KNS148" s="207"/>
      <c r="KNT148" s="210"/>
      <c r="KNU148" s="209"/>
      <c r="KNV148" s="204"/>
      <c r="KNW148" s="204"/>
      <c r="KNX148" s="204"/>
      <c r="KNY148" s="199"/>
      <c r="KNZ148" s="167"/>
      <c r="KOA148" s="199"/>
      <c r="KOB148" s="200"/>
      <c r="KOC148" s="201"/>
      <c r="KOD148" s="202"/>
      <c r="KOE148" s="202"/>
      <c r="KOF148" s="202"/>
      <c r="KOG148" s="202"/>
      <c r="KOH148" s="203"/>
      <c r="KOI148" s="204"/>
      <c r="KOJ148" s="204"/>
      <c r="KOK148" s="204"/>
      <c r="KOL148" s="205"/>
      <c r="KOM148" s="206"/>
      <c r="KON148" s="207"/>
      <c r="KOO148" s="207"/>
      <c r="KOP148" s="208"/>
      <c r="KOQ148" s="209"/>
      <c r="KOR148" s="207"/>
      <c r="KOS148" s="210"/>
      <c r="KOT148" s="209"/>
      <c r="KOU148" s="204"/>
      <c r="KOV148" s="204"/>
      <c r="KOW148" s="204"/>
      <c r="KOX148" s="199"/>
      <c r="KOY148" s="167"/>
      <c r="KOZ148" s="199"/>
      <c r="KPA148" s="200"/>
      <c r="KPB148" s="201"/>
      <c r="KPC148" s="202"/>
      <c r="KPD148" s="202"/>
      <c r="KPE148" s="202"/>
      <c r="KPF148" s="202"/>
      <c r="KPG148" s="203"/>
      <c r="KPH148" s="204"/>
      <c r="KPI148" s="204"/>
      <c r="KPJ148" s="204"/>
      <c r="KPK148" s="205"/>
      <c r="KPL148" s="206"/>
      <c r="KPM148" s="207"/>
      <c r="KPN148" s="207"/>
      <c r="KPO148" s="208"/>
      <c r="KPP148" s="209"/>
      <c r="KPQ148" s="207"/>
      <c r="KPR148" s="210"/>
      <c r="KPS148" s="209"/>
      <c r="KPT148" s="204"/>
      <c r="KPU148" s="204"/>
      <c r="KPV148" s="204"/>
      <c r="KPW148" s="199"/>
      <c r="KPX148" s="167"/>
      <c r="KPY148" s="199"/>
      <c r="KPZ148" s="200"/>
      <c r="KQA148" s="201"/>
      <c r="KQB148" s="202"/>
      <c r="KQC148" s="202"/>
      <c r="KQD148" s="202"/>
      <c r="KQE148" s="202"/>
      <c r="KQF148" s="203"/>
      <c r="KQG148" s="204"/>
      <c r="KQH148" s="204"/>
      <c r="KQI148" s="204"/>
      <c r="KQJ148" s="205"/>
      <c r="KQK148" s="206"/>
      <c r="KQL148" s="207"/>
      <c r="KQM148" s="207"/>
      <c r="KQN148" s="208"/>
      <c r="KQO148" s="209"/>
      <c r="KQP148" s="207"/>
      <c r="KQQ148" s="210"/>
      <c r="KQR148" s="209"/>
      <c r="KQS148" s="204"/>
      <c r="KQT148" s="204"/>
      <c r="KQU148" s="204"/>
      <c r="KQV148" s="199"/>
      <c r="KQW148" s="167"/>
      <c r="KQX148" s="199"/>
      <c r="KQY148" s="200"/>
      <c r="KQZ148" s="201"/>
      <c r="KRA148" s="202"/>
      <c r="KRB148" s="202"/>
      <c r="KRC148" s="202"/>
      <c r="KRD148" s="202"/>
      <c r="KRE148" s="203"/>
      <c r="KRF148" s="204"/>
      <c r="KRG148" s="204"/>
      <c r="KRH148" s="204"/>
      <c r="KRI148" s="205"/>
      <c r="KRJ148" s="206"/>
      <c r="KRK148" s="207"/>
      <c r="KRL148" s="207"/>
      <c r="KRM148" s="208"/>
      <c r="KRN148" s="209"/>
      <c r="KRO148" s="207"/>
      <c r="KRP148" s="210"/>
      <c r="KRQ148" s="209"/>
      <c r="KRR148" s="204"/>
      <c r="KRS148" s="204"/>
      <c r="KRT148" s="204"/>
      <c r="KRU148" s="199"/>
      <c r="KRV148" s="167"/>
      <c r="KRW148" s="199"/>
      <c r="KRX148" s="200"/>
      <c r="KRY148" s="201"/>
      <c r="KRZ148" s="202"/>
      <c r="KSA148" s="202"/>
      <c r="KSB148" s="202"/>
      <c r="KSC148" s="202"/>
      <c r="KSD148" s="203"/>
      <c r="KSE148" s="204"/>
      <c r="KSF148" s="204"/>
      <c r="KSG148" s="204"/>
      <c r="KSH148" s="205"/>
      <c r="KSI148" s="206"/>
      <c r="KSJ148" s="207"/>
      <c r="KSK148" s="207"/>
      <c r="KSL148" s="208"/>
      <c r="KSM148" s="209"/>
      <c r="KSN148" s="207"/>
      <c r="KSO148" s="210"/>
      <c r="KSP148" s="209"/>
      <c r="KSQ148" s="204"/>
      <c r="KSR148" s="204"/>
      <c r="KSS148" s="204"/>
      <c r="KST148" s="199"/>
      <c r="KSU148" s="167"/>
      <c r="KSV148" s="199"/>
      <c r="KSW148" s="200"/>
      <c r="KSX148" s="201"/>
      <c r="KSY148" s="202"/>
      <c r="KSZ148" s="202"/>
      <c r="KTA148" s="202"/>
      <c r="KTB148" s="202"/>
      <c r="KTC148" s="203"/>
      <c r="KTD148" s="204"/>
      <c r="KTE148" s="204"/>
      <c r="KTF148" s="204"/>
      <c r="KTG148" s="205"/>
      <c r="KTH148" s="206"/>
      <c r="KTI148" s="207"/>
      <c r="KTJ148" s="207"/>
      <c r="KTK148" s="208"/>
      <c r="KTL148" s="209"/>
      <c r="KTM148" s="207"/>
      <c r="KTN148" s="210"/>
      <c r="KTO148" s="209"/>
      <c r="KTP148" s="204"/>
      <c r="KTQ148" s="204"/>
      <c r="KTR148" s="204"/>
      <c r="KTS148" s="199"/>
      <c r="KTT148" s="167"/>
      <c r="KTU148" s="199"/>
      <c r="KTV148" s="200"/>
      <c r="KTW148" s="201"/>
      <c r="KTX148" s="202"/>
      <c r="KTY148" s="202"/>
      <c r="KTZ148" s="202"/>
      <c r="KUA148" s="202"/>
      <c r="KUB148" s="203"/>
      <c r="KUC148" s="204"/>
      <c r="KUD148" s="204"/>
      <c r="KUE148" s="204"/>
      <c r="KUF148" s="205"/>
      <c r="KUG148" s="206"/>
      <c r="KUH148" s="207"/>
      <c r="KUI148" s="207"/>
      <c r="KUJ148" s="208"/>
      <c r="KUK148" s="209"/>
      <c r="KUL148" s="207"/>
      <c r="KUM148" s="210"/>
      <c r="KUN148" s="209"/>
      <c r="KUO148" s="204"/>
      <c r="KUP148" s="204"/>
      <c r="KUQ148" s="204"/>
      <c r="KUR148" s="199"/>
      <c r="KUS148" s="167"/>
      <c r="KUT148" s="199"/>
      <c r="KUU148" s="200"/>
      <c r="KUV148" s="201"/>
      <c r="KUW148" s="202"/>
      <c r="KUX148" s="202"/>
      <c r="KUY148" s="202"/>
      <c r="KUZ148" s="202"/>
      <c r="KVA148" s="203"/>
      <c r="KVB148" s="204"/>
      <c r="KVC148" s="204"/>
      <c r="KVD148" s="204"/>
      <c r="KVE148" s="205"/>
      <c r="KVF148" s="206"/>
      <c r="KVG148" s="207"/>
      <c r="KVH148" s="207"/>
      <c r="KVI148" s="208"/>
      <c r="KVJ148" s="209"/>
      <c r="KVK148" s="207"/>
      <c r="KVL148" s="210"/>
      <c r="KVM148" s="209"/>
      <c r="KVN148" s="204"/>
      <c r="KVO148" s="204"/>
      <c r="KVP148" s="204"/>
      <c r="KVQ148" s="199"/>
      <c r="KVR148" s="167"/>
      <c r="KVS148" s="199"/>
      <c r="KVT148" s="200"/>
      <c r="KVU148" s="201"/>
      <c r="KVV148" s="202"/>
      <c r="KVW148" s="202"/>
      <c r="KVX148" s="202"/>
      <c r="KVY148" s="202"/>
      <c r="KVZ148" s="203"/>
      <c r="KWA148" s="204"/>
      <c r="KWB148" s="204"/>
      <c r="KWC148" s="204"/>
      <c r="KWD148" s="205"/>
      <c r="KWE148" s="206"/>
      <c r="KWF148" s="207"/>
      <c r="KWG148" s="207"/>
      <c r="KWH148" s="208"/>
      <c r="KWI148" s="209"/>
      <c r="KWJ148" s="207"/>
      <c r="KWK148" s="210"/>
      <c r="KWL148" s="209"/>
      <c r="KWM148" s="204"/>
      <c r="KWN148" s="204"/>
      <c r="KWO148" s="204"/>
      <c r="KWP148" s="199"/>
      <c r="KWQ148" s="167"/>
      <c r="KWR148" s="199"/>
      <c r="KWS148" s="200"/>
      <c r="KWT148" s="201"/>
      <c r="KWU148" s="202"/>
      <c r="KWV148" s="202"/>
      <c r="KWW148" s="202"/>
      <c r="KWX148" s="202"/>
      <c r="KWY148" s="203"/>
      <c r="KWZ148" s="204"/>
      <c r="KXA148" s="204"/>
      <c r="KXB148" s="204"/>
      <c r="KXC148" s="205"/>
      <c r="KXD148" s="206"/>
      <c r="KXE148" s="207"/>
      <c r="KXF148" s="207"/>
      <c r="KXG148" s="208"/>
      <c r="KXH148" s="209"/>
      <c r="KXI148" s="207"/>
      <c r="KXJ148" s="210"/>
      <c r="KXK148" s="209"/>
      <c r="KXL148" s="204"/>
      <c r="KXM148" s="204"/>
      <c r="KXN148" s="204"/>
      <c r="KXO148" s="199"/>
      <c r="KXP148" s="167"/>
      <c r="KXQ148" s="199"/>
      <c r="KXR148" s="200"/>
      <c r="KXS148" s="201"/>
      <c r="KXT148" s="202"/>
      <c r="KXU148" s="202"/>
      <c r="KXV148" s="202"/>
      <c r="KXW148" s="202"/>
      <c r="KXX148" s="203"/>
      <c r="KXY148" s="204"/>
      <c r="KXZ148" s="204"/>
      <c r="KYA148" s="204"/>
      <c r="KYB148" s="205"/>
      <c r="KYC148" s="206"/>
      <c r="KYD148" s="207"/>
      <c r="KYE148" s="207"/>
      <c r="KYF148" s="208"/>
      <c r="KYG148" s="209"/>
      <c r="KYH148" s="207"/>
      <c r="KYI148" s="210"/>
      <c r="KYJ148" s="209"/>
      <c r="KYK148" s="204"/>
      <c r="KYL148" s="204"/>
      <c r="KYM148" s="204"/>
      <c r="KYN148" s="199"/>
      <c r="KYO148" s="167"/>
      <c r="KYP148" s="199"/>
      <c r="KYQ148" s="200"/>
      <c r="KYR148" s="201"/>
      <c r="KYS148" s="202"/>
      <c r="KYT148" s="202"/>
      <c r="KYU148" s="202"/>
      <c r="KYV148" s="202"/>
      <c r="KYW148" s="203"/>
      <c r="KYX148" s="204"/>
      <c r="KYY148" s="204"/>
      <c r="KYZ148" s="204"/>
      <c r="KZA148" s="205"/>
      <c r="KZB148" s="206"/>
      <c r="KZC148" s="207"/>
      <c r="KZD148" s="207"/>
      <c r="KZE148" s="208"/>
      <c r="KZF148" s="209"/>
      <c r="KZG148" s="207"/>
      <c r="KZH148" s="210"/>
      <c r="KZI148" s="209"/>
      <c r="KZJ148" s="204"/>
      <c r="KZK148" s="204"/>
      <c r="KZL148" s="204"/>
      <c r="KZM148" s="199"/>
      <c r="KZN148" s="167"/>
      <c r="KZO148" s="199"/>
      <c r="KZP148" s="200"/>
      <c r="KZQ148" s="201"/>
      <c r="KZR148" s="202"/>
      <c r="KZS148" s="202"/>
      <c r="KZT148" s="202"/>
      <c r="KZU148" s="202"/>
      <c r="KZV148" s="203"/>
      <c r="KZW148" s="204"/>
      <c r="KZX148" s="204"/>
      <c r="KZY148" s="204"/>
      <c r="KZZ148" s="205"/>
      <c r="LAA148" s="206"/>
      <c r="LAB148" s="207"/>
      <c r="LAC148" s="207"/>
      <c r="LAD148" s="208"/>
      <c r="LAE148" s="209"/>
      <c r="LAF148" s="207"/>
      <c r="LAG148" s="210"/>
      <c r="LAH148" s="209"/>
      <c r="LAI148" s="204"/>
      <c r="LAJ148" s="204"/>
      <c r="LAK148" s="204"/>
      <c r="LAL148" s="199"/>
      <c r="LAM148" s="167"/>
      <c r="LAN148" s="199"/>
      <c r="LAO148" s="200"/>
      <c r="LAP148" s="201"/>
      <c r="LAQ148" s="202"/>
      <c r="LAR148" s="202"/>
      <c r="LAS148" s="202"/>
      <c r="LAT148" s="202"/>
      <c r="LAU148" s="203"/>
      <c r="LAV148" s="204"/>
      <c r="LAW148" s="204"/>
      <c r="LAX148" s="204"/>
      <c r="LAY148" s="205"/>
      <c r="LAZ148" s="206"/>
      <c r="LBA148" s="207"/>
      <c r="LBB148" s="207"/>
      <c r="LBC148" s="208"/>
      <c r="LBD148" s="209"/>
      <c r="LBE148" s="207"/>
      <c r="LBF148" s="210"/>
      <c r="LBG148" s="209"/>
      <c r="LBH148" s="204"/>
      <c r="LBI148" s="204"/>
      <c r="LBJ148" s="204"/>
      <c r="LBK148" s="199"/>
      <c r="LBL148" s="167"/>
      <c r="LBM148" s="199"/>
      <c r="LBN148" s="200"/>
      <c r="LBO148" s="201"/>
      <c r="LBP148" s="202"/>
      <c r="LBQ148" s="202"/>
      <c r="LBR148" s="202"/>
      <c r="LBS148" s="202"/>
      <c r="LBT148" s="203"/>
      <c r="LBU148" s="204"/>
      <c r="LBV148" s="204"/>
      <c r="LBW148" s="204"/>
      <c r="LBX148" s="205"/>
      <c r="LBY148" s="206"/>
      <c r="LBZ148" s="207"/>
      <c r="LCA148" s="207"/>
      <c r="LCB148" s="208"/>
      <c r="LCC148" s="209"/>
      <c r="LCD148" s="207"/>
      <c r="LCE148" s="210"/>
      <c r="LCF148" s="209"/>
      <c r="LCG148" s="204"/>
      <c r="LCH148" s="204"/>
      <c r="LCI148" s="204"/>
      <c r="LCJ148" s="199"/>
      <c r="LCK148" s="167"/>
      <c r="LCL148" s="199"/>
      <c r="LCM148" s="200"/>
      <c r="LCN148" s="201"/>
      <c r="LCO148" s="202"/>
      <c r="LCP148" s="202"/>
      <c r="LCQ148" s="202"/>
      <c r="LCR148" s="202"/>
      <c r="LCS148" s="203"/>
      <c r="LCT148" s="204"/>
      <c r="LCU148" s="204"/>
      <c r="LCV148" s="204"/>
      <c r="LCW148" s="205"/>
      <c r="LCX148" s="206"/>
      <c r="LCY148" s="207"/>
      <c r="LCZ148" s="207"/>
      <c r="LDA148" s="208"/>
      <c r="LDB148" s="209"/>
      <c r="LDC148" s="207"/>
      <c r="LDD148" s="210"/>
      <c r="LDE148" s="209"/>
      <c r="LDF148" s="204"/>
      <c r="LDG148" s="204"/>
      <c r="LDH148" s="204"/>
      <c r="LDI148" s="199"/>
      <c r="LDJ148" s="167"/>
      <c r="LDK148" s="199"/>
      <c r="LDL148" s="200"/>
      <c r="LDM148" s="201"/>
      <c r="LDN148" s="202"/>
      <c r="LDO148" s="202"/>
      <c r="LDP148" s="202"/>
      <c r="LDQ148" s="202"/>
      <c r="LDR148" s="203"/>
      <c r="LDS148" s="204"/>
      <c r="LDT148" s="204"/>
      <c r="LDU148" s="204"/>
      <c r="LDV148" s="205"/>
      <c r="LDW148" s="206"/>
      <c r="LDX148" s="207"/>
      <c r="LDY148" s="207"/>
      <c r="LDZ148" s="208"/>
      <c r="LEA148" s="209"/>
      <c r="LEB148" s="207"/>
      <c r="LEC148" s="210"/>
      <c r="LED148" s="209"/>
      <c r="LEE148" s="204"/>
      <c r="LEF148" s="204"/>
      <c r="LEG148" s="204"/>
      <c r="LEH148" s="199"/>
      <c r="LEI148" s="167"/>
      <c r="LEJ148" s="199"/>
      <c r="LEK148" s="200"/>
      <c r="LEL148" s="201"/>
      <c r="LEM148" s="202"/>
      <c r="LEN148" s="202"/>
      <c r="LEO148" s="202"/>
      <c r="LEP148" s="202"/>
      <c r="LEQ148" s="203"/>
      <c r="LER148" s="204"/>
      <c r="LES148" s="204"/>
      <c r="LET148" s="204"/>
      <c r="LEU148" s="205"/>
      <c r="LEV148" s="206"/>
      <c r="LEW148" s="207"/>
      <c r="LEX148" s="207"/>
      <c r="LEY148" s="208"/>
      <c r="LEZ148" s="209"/>
      <c r="LFA148" s="207"/>
      <c r="LFB148" s="210"/>
      <c r="LFC148" s="209"/>
      <c r="LFD148" s="204"/>
      <c r="LFE148" s="204"/>
      <c r="LFF148" s="204"/>
      <c r="LFG148" s="199"/>
      <c r="LFH148" s="167"/>
      <c r="LFI148" s="199"/>
      <c r="LFJ148" s="200"/>
      <c r="LFK148" s="201"/>
      <c r="LFL148" s="202"/>
      <c r="LFM148" s="202"/>
      <c r="LFN148" s="202"/>
      <c r="LFO148" s="202"/>
      <c r="LFP148" s="203"/>
      <c r="LFQ148" s="204"/>
      <c r="LFR148" s="204"/>
      <c r="LFS148" s="204"/>
      <c r="LFT148" s="205"/>
      <c r="LFU148" s="206"/>
      <c r="LFV148" s="207"/>
      <c r="LFW148" s="207"/>
      <c r="LFX148" s="208"/>
      <c r="LFY148" s="209"/>
      <c r="LFZ148" s="207"/>
      <c r="LGA148" s="210"/>
      <c r="LGB148" s="209"/>
      <c r="LGC148" s="204"/>
      <c r="LGD148" s="204"/>
      <c r="LGE148" s="204"/>
      <c r="LGF148" s="199"/>
      <c r="LGG148" s="167"/>
      <c r="LGH148" s="199"/>
      <c r="LGI148" s="200"/>
      <c r="LGJ148" s="201"/>
      <c r="LGK148" s="202"/>
      <c r="LGL148" s="202"/>
      <c r="LGM148" s="202"/>
      <c r="LGN148" s="202"/>
      <c r="LGO148" s="203"/>
      <c r="LGP148" s="204"/>
      <c r="LGQ148" s="204"/>
      <c r="LGR148" s="204"/>
      <c r="LGS148" s="205"/>
      <c r="LGT148" s="206"/>
      <c r="LGU148" s="207"/>
      <c r="LGV148" s="207"/>
      <c r="LGW148" s="208"/>
      <c r="LGX148" s="209"/>
      <c r="LGY148" s="207"/>
      <c r="LGZ148" s="210"/>
      <c r="LHA148" s="209"/>
      <c r="LHB148" s="204"/>
      <c r="LHC148" s="204"/>
      <c r="LHD148" s="204"/>
      <c r="LHE148" s="199"/>
      <c r="LHF148" s="167"/>
      <c r="LHG148" s="199"/>
      <c r="LHH148" s="200"/>
      <c r="LHI148" s="201"/>
      <c r="LHJ148" s="202"/>
      <c r="LHK148" s="202"/>
      <c r="LHL148" s="202"/>
      <c r="LHM148" s="202"/>
      <c r="LHN148" s="203"/>
      <c r="LHO148" s="204"/>
      <c r="LHP148" s="204"/>
      <c r="LHQ148" s="204"/>
      <c r="LHR148" s="205"/>
      <c r="LHS148" s="206"/>
      <c r="LHT148" s="207"/>
      <c r="LHU148" s="207"/>
      <c r="LHV148" s="208"/>
      <c r="LHW148" s="209"/>
      <c r="LHX148" s="207"/>
      <c r="LHY148" s="210"/>
      <c r="LHZ148" s="209"/>
      <c r="LIA148" s="204"/>
      <c r="LIB148" s="204"/>
      <c r="LIC148" s="204"/>
      <c r="LID148" s="199"/>
      <c r="LIE148" s="167"/>
      <c r="LIF148" s="199"/>
      <c r="LIG148" s="200"/>
      <c r="LIH148" s="201"/>
      <c r="LII148" s="202"/>
      <c r="LIJ148" s="202"/>
      <c r="LIK148" s="202"/>
      <c r="LIL148" s="202"/>
      <c r="LIM148" s="203"/>
      <c r="LIN148" s="204"/>
      <c r="LIO148" s="204"/>
      <c r="LIP148" s="204"/>
      <c r="LIQ148" s="205"/>
      <c r="LIR148" s="206"/>
      <c r="LIS148" s="207"/>
      <c r="LIT148" s="207"/>
      <c r="LIU148" s="208"/>
      <c r="LIV148" s="209"/>
      <c r="LIW148" s="207"/>
      <c r="LIX148" s="210"/>
      <c r="LIY148" s="209"/>
      <c r="LIZ148" s="204"/>
      <c r="LJA148" s="204"/>
      <c r="LJB148" s="204"/>
      <c r="LJC148" s="199"/>
      <c r="LJD148" s="167"/>
      <c r="LJE148" s="199"/>
      <c r="LJF148" s="200"/>
      <c r="LJG148" s="201"/>
      <c r="LJH148" s="202"/>
      <c r="LJI148" s="202"/>
      <c r="LJJ148" s="202"/>
      <c r="LJK148" s="202"/>
      <c r="LJL148" s="203"/>
      <c r="LJM148" s="204"/>
      <c r="LJN148" s="204"/>
      <c r="LJO148" s="204"/>
      <c r="LJP148" s="205"/>
      <c r="LJQ148" s="206"/>
      <c r="LJR148" s="207"/>
      <c r="LJS148" s="207"/>
      <c r="LJT148" s="208"/>
      <c r="LJU148" s="209"/>
      <c r="LJV148" s="207"/>
      <c r="LJW148" s="210"/>
      <c r="LJX148" s="209"/>
      <c r="LJY148" s="204"/>
      <c r="LJZ148" s="204"/>
      <c r="LKA148" s="204"/>
      <c r="LKB148" s="199"/>
      <c r="LKC148" s="167"/>
      <c r="LKD148" s="199"/>
      <c r="LKE148" s="200"/>
      <c r="LKF148" s="201"/>
      <c r="LKG148" s="202"/>
      <c r="LKH148" s="202"/>
      <c r="LKI148" s="202"/>
      <c r="LKJ148" s="202"/>
      <c r="LKK148" s="203"/>
      <c r="LKL148" s="204"/>
      <c r="LKM148" s="204"/>
      <c r="LKN148" s="204"/>
      <c r="LKO148" s="205"/>
      <c r="LKP148" s="206"/>
      <c r="LKQ148" s="207"/>
      <c r="LKR148" s="207"/>
      <c r="LKS148" s="208"/>
      <c r="LKT148" s="209"/>
      <c r="LKU148" s="207"/>
      <c r="LKV148" s="210"/>
      <c r="LKW148" s="209"/>
      <c r="LKX148" s="204"/>
      <c r="LKY148" s="204"/>
      <c r="LKZ148" s="204"/>
      <c r="LLA148" s="199"/>
      <c r="LLB148" s="167"/>
      <c r="LLC148" s="199"/>
      <c r="LLD148" s="200"/>
      <c r="LLE148" s="201"/>
      <c r="LLF148" s="202"/>
      <c r="LLG148" s="202"/>
      <c r="LLH148" s="202"/>
      <c r="LLI148" s="202"/>
      <c r="LLJ148" s="203"/>
      <c r="LLK148" s="204"/>
      <c r="LLL148" s="204"/>
      <c r="LLM148" s="204"/>
      <c r="LLN148" s="205"/>
      <c r="LLO148" s="206"/>
      <c r="LLP148" s="207"/>
      <c r="LLQ148" s="207"/>
      <c r="LLR148" s="208"/>
      <c r="LLS148" s="209"/>
      <c r="LLT148" s="207"/>
      <c r="LLU148" s="210"/>
      <c r="LLV148" s="209"/>
      <c r="LLW148" s="204"/>
      <c r="LLX148" s="204"/>
      <c r="LLY148" s="204"/>
      <c r="LLZ148" s="199"/>
      <c r="LMA148" s="167"/>
      <c r="LMB148" s="199"/>
      <c r="LMC148" s="200"/>
      <c r="LMD148" s="201"/>
      <c r="LME148" s="202"/>
      <c r="LMF148" s="202"/>
      <c r="LMG148" s="202"/>
      <c r="LMH148" s="202"/>
      <c r="LMI148" s="203"/>
      <c r="LMJ148" s="204"/>
      <c r="LMK148" s="204"/>
      <c r="LML148" s="204"/>
      <c r="LMM148" s="205"/>
      <c r="LMN148" s="206"/>
      <c r="LMO148" s="207"/>
      <c r="LMP148" s="207"/>
      <c r="LMQ148" s="208"/>
      <c r="LMR148" s="209"/>
      <c r="LMS148" s="207"/>
      <c r="LMT148" s="210"/>
      <c r="LMU148" s="209"/>
      <c r="LMV148" s="204"/>
      <c r="LMW148" s="204"/>
      <c r="LMX148" s="204"/>
      <c r="LMY148" s="199"/>
      <c r="LMZ148" s="167"/>
      <c r="LNA148" s="199"/>
      <c r="LNB148" s="200"/>
      <c r="LNC148" s="201"/>
      <c r="LND148" s="202"/>
      <c r="LNE148" s="202"/>
      <c r="LNF148" s="202"/>
      <c r="LNG148" s="202"/>
      <c r="LNH148" s="203"/>
      <c r="LNI148" s="204"/>
      <c r="LNJ148" s="204"/>
      <c r="LNK148" s="204"/>
      <c r="LNL148" s="205"/>
      <c r="LNM148" s="206"/>
      <c r="LNN148" s="207"/>
      <c r="LNO148" s="207"/>
      <c r="LNP148" s="208"/>
      <c r="LNQ148" s="209"/>
      <c r="LNR148" s="207"/>
      <c r="LNS148" s="210"/>
      <c r="LNT148" s="209"/>
      <c r="LNU148" s="204"/>
      <c r="LNV148" s="204"/>
      <c r="LNW148" s="204"/>
      <c r="LNX148" s="199"/>
      <c r="LNY148" s="167"/>
      <c r="LNZ148" s="199"/>
      <c r="LOA148" s="200"/>
      <c r="LOB148" s="201"/>
      <c r="LOC148" s="202"/>
      <c r="LOD148" s="202"/>
      <c r="LOE148" s="202"/>
      <c r="LOF148" s="202"/>
      <c r="LOG148" s="203"/>
      <c r="LOH148" s="204"/>
      <c r="LOI148" s="204"/>
      <c r="LOJ148" s="204"/>
      <c r="LOK148" s="205"/>
      <c r="LOL148" s="206"/>
      <c r="LOM148" s="207"/>
      <c r="LON148" s="207"/>
      <c r="LOO148" s="208"/>
      <c r="LOP148" s="209"/>
      <c r="LOQ148" s="207"/>
      <c r="LOR148" s="210"/>
      <c r="LOS148" s="209"/>
      <c r="LOT148" s="204"/>
      <c r="LOU148" s="204"/>
      <c r="LOV148" s="204"/>
      <c r="LOW148" s="199"/>
      <c r="LOX148" s="167"/>
      <c r="LOY148" s="199"/>
      <c r="LOZ148" s="200"/>
      <c r="LPA148" s="201"/>
      <c r="LPB148" s="202"/>
      <c r="LPC148" s="202"/>
      <c r="LPD148" s="202"/>
      <c r="LPE148" s="202"/>
      <c r="LPF148" s="203"/>
      <c r="LPG148" s="204"/>
      <c r="LPH148" s="204"/>
      <c r="LPI148" s="204"/>
      <c r="LPJ148" s="205"/>
      <c r="LPK148" s="206"/>
      <c r="LPL148" s="207"/>
      <c r="LPM148" s="207"/>
      <c r="LPN148" s="208"/>
      <c r="LPO148" s="209"/>
      <c r="LPP148" s="207"/>
      <c r="LPQ148" s="210"/>
      <c r="LPR148" s="209"/>
      <c r="LPS148" s="204"/>
      <c r="LPT148" s="204"/>
      <c r="LPU148" s="204"/>
      <c r="LPV148" s="199"/>
      <c r="LPW148" s="167"/>
      <c r="LPX148" s="199"/>
      <c r="LPY148" s="200"/>
      <c r="LPZ148" s="201"/>
      <c r="LQA148" s="202"/>
      <c r="LQB148" s="202"/>
      <c r="LQC148" s="202"/>
      <c r="LQD148" s="202"/>
      <c r="LQE148" s="203"/>
      <c r="LQF148" s="204"/>
      <c r="LQG148" s="204"/>
      <c r="LQH148" s="204"/>
      <c r="LQI148" s="205"/>
      <c r="LQJ148" s="206"/>
      <c r="LQK148" s="207"/>
      <c r="LQL148" s="207"/>
      <c r="LQM148" s="208"/>
      <c r="LQN148" s="209"/>
      <c r="LQO148" s="207"/>
      <c r="LQP148" s="210"/>
      <c r="LQQ148" s="209"/>
      <c r="LQR148" s="204"/>
      <c r="LQS148" s="204"/>
      <c r="LQT148" s="204"/>
      <c r="LQU148" s="199"/>
      <c r="LQV148" s="167"/>
      <c r="LQW148" s="199"/>
      <c r="LQX148" s="200"/>
      <c r="LQY148" s="201"/>
      <c r="LQZ148" s="202"/>
      <c r="LRA148" s="202"/>
      <c r="LRB148" s="202"/>
      <c r="LRC148" s="202"/>
      <c r="LRD148" s="203"/>
      <c r="LRE148" s="204"/>
      <c r="LRF148" s="204"/>
      <c r="LRG148" s="204"/>
      <c r="LRH148" s="205"/>
      <c r="LRI148" s="206"/>
      <c r="LRJ148" s="207"/>
      <c r="LRK148" s="207"/>
      <c r="LRL148" s="208"/>
      <c r="LRM148" s="209"/>
      <c r="LRN148" s="207"/>
      <c r="LRO148" s="210"/>
      <c r="LRP148" s="209"/>
      <c r="LRQ148" s="204"/>
      <c r="LRR148" s="204"/>
      <c r="LRS148" s="204"/>
      <c r="LRT148" s="199"/>
      <c r="LRU148" s="167"/>
      <c r="LRV148" s="199"/>
      <c r="LRW148" s="200"/>
      <c r="LRX148" s="201"/>
      <c r="LRY148" s="202"/>
      <c r="LRZ148" s="202"/>
      <c r="LSA148" s="202"/>
      <c r="LSB148" s="202"/>
      <c r="LSC148" s="203"/>
      <c r="LSD148" s="204"/>
      <c r="LSE148" s="204"/>
      <c r="LSF148" s="204"/>
      <c r="LSG148" s="205"/>
      <c r="LSH148" s="206"/>
      <c r="LSI148" s="207"/>
      <c r="LSJ148" s="207"/>
      <c r="LSK148" s="208"/>
      <c r="LSL148" s="209"/>
      <c r="LSM148" s="207"/>
      <c r="LSN148" s="210"/>
      <c r="LSO148" s="209"/>
      <c r="LSP148" s="204"/>
      <c r="LSQ148" s="204"/>
      <c r="LSR148" s="204"/>
      <c r="LSS148" s="199"/>
      <c r="LST148" s="167"/>
      <c r="LSU148" s="199"/>
      <c r="LSV148" s="200"/>
      <c r="LSW148" s="201"/>
      <c r="LSX148" s="202"/>
      <c r="LSY148" s="202"/>
      <c r="LSZ148" s="202"/>
      <c r="LTA148" s="202"/>
      <c r="LTB148" s="203"/>
      <c r="LTC148" s="204"/>
      <c r="LTD148" s="204"/>
      <c r="LTE148" s="204"/>
      <c r="LTF148" s="205"/>
      <c r="LTG148" s="206"/>
      <c r="LTH148" s="207"/>
      <c r="LTI148" s="207"/>
      <c r="LTJ148" s="208"/>
      <c r="LTK148" s="209"/>
      <c r="LTL148" s="207"/>
      <c r="LTM148" s="210"/>
      <c r="LTN148" s="209"/>
      <c r="LTO148" s="204"/>
      <c r="LTP148" s="204"/>
      <c r="LTQ148" s="204"/>
      <c r="LTR148" s="199"/>
      <c r="LTS148" s="167"/>
      <c r="LTT148" s="199"/>
      <c r="LTU148" s="200"/>
      <c r="LTV148" s="201"/>
      <c r="LTW148" s="202"/>
      <c r="LTX148" s="202"/>
      <c r="LTY148" s="202"/>
      <c r="LTZ148" s="202"/>
      <c r="LUA148" s="203"/>
      <c r="LUB148" s="204"/>
      <c r="LUC148" s="204"/>
      <c r="LUD148" s="204"/>
      <c r="LUE148" s="205"/>
      <c r="LUF148" s="206"/>
      <c r="LUG148" s="207"/>
      <c r="LUH148" s="207"/>
      <c r="LUI148" s="208"/>
      <c r="LUJ148" s="209"/>
      <c r="LUK148" s="207"/>
      <c r="LUL148" s="210"/>
      <c r="LUM148" s="209"/>
      <c r="LUN148" s="204"/>
      <c r="LUO148" s="204"/>
      <c r="LUP148" s="204"/>
      <c r="LUQ148" s="199"/>
      <c r="LUR148" s="167"/>
      <c r="LUS148" s="199"/>
      <c r="LUT148" s="200"/>
      <c r="LUU148" s="201"/>
      <c r="LUV148" s="202"/>
      <c r="LUW148" s="202"/>
      <c r="LUX148" s="202"/>
      <c r="LUY148" s="202"/>
      <c r="LUZ148" s="203"/>
      <c r="LVA148" s="204"/>
      <c r="LVB148" s="204"/>
      <c r="LVC148" s="204"/>
      <c r="LVD148" s="205"/>
      <c r="LVE148" s="206"/>
      <c r="LVF148" s="207"/>
      <c r="LVG148" s="207"/>
      <c r="LVH148" s="208"/>
      <c r="LVI148" s="209"/>
      <c r="LVJ148" s="207"/>
      <c r="LVK148" s="210"/>
      <c r="LVL148" s="209"/>
      <c r="LVM148" s="204"/>
      <c r="LVN148" s="204"/>
      <c r="LVO148" s="204"/>
      <c r="LVP148" s="199"/>
      <c r="LVQ148" s="167"/>
      <c r="LVR148" s="199"/>
      <c r="LVS148" s="200"/>
      <c r="LVT148" s="201"/>
      <c r="LVU148" s="202"/>
      <c r="LVV148" s="202"/>
      <c r="LVW148" s="202"/>
      <c r="LVX148" s="202"/>
      <c r="LVY148" s="203"/>
      <c r="LVZ148" s="204"/>
      <c r="LWA148" s="204"/>
      <c r="LWB148" s="204"/>
      <c r="LWC148" s="205"/>
      <c r="LWD148" s="206"/>
      <c r="LWE148" s="207"/>
      <c r="LWF148" s="207"/>
      <c r="LWG148" s="208"/>
      <c r="LWH148" s="209"/>
      <c r="LWI148" s="207"/>
      <c r="LWJ148" s="210"/>
      <c r="LWK148" s="209"/>
      <c r="LWL148" s="204"/>
      <c r="LWM148" s="204"/>
      <c r="LWN148" s="204"/>
      <c r="LWO148" s="199"/>
      <c r="LWP148" s="167"/>
      <c r="LWQ148" s="199"/>
      <c r="LWR148" s="200"/>
      <c r="LWS148" s="201"/>
      <c r="LWT148" s="202"/>
      <c r="LWU148" s="202"/>
      <c r="LWV148" s="202"/>
      <c r="LWW148" s="202"/>
      <c r="LWX148" s="203"/>
      <c r="LWY148" s="204"/>
      <c r="LWZ148" s="204"/>
      <c r="LXA148" s="204"/>
      <c r="LXB148" s="205"/>
      <c r="LXC148" s="206"/>
      <c r="LXD148" s="207"/>
      <c r="LXE148" s="207"/>
      <c r="LXF148" s="208"/>
      <c r="LXG148" s="209"/>
      <c r="LXH148" s="207"/>
      <c r="LXI148" s="210"/>
      <c r="LXJ148" s="209"/>
      <c r="LXK148" s="204"/>
      <c r="LXL148" s="204"/>
      <c r="LXM148" s="204"/>
      <c r="LXN148" s="199"/>
      <c r="LXO148" s="167"/>
      <c r="LXP148" s="199"/>
      <c r="LXQ148" s="200"/>
      <c r="LXR148" s="201"/>
      <c r="LXS148" s="202"/>
      <c r="LXT148" s="202"/>
      <c r="LXU148" s="202"/>
      <c r="LXV148" s="202"/>
      <c r="LXW148" s="203"/>
      <c r="LXX148" s="204"/>
      <c r="LXY148" s="204"/>
      <c r="LXZ148" s="204"/>
      <c r="LYA148" s="205"/>
      <c r="LYB148" s="206"/>
      <c r="LYC148" s="207"/>
      <c r="LYD148" s="207"/>
      <c r="LYE148" s="208"/>
      <c r="LYF148" s="209"/>
      <c r="LYG148" s="207"/>
      <c r="LYH148" s="210"/>
      <c r="LYI148" s="209"/>
      <c r="LYJ148" s="204"/>
      <c r="LYK148" s="204"/>
      <c r="LYL148" s="204"/>
      <c r="LYM148" s="199"/>
      <c r="LYN148" s="167"/>
      <c r="LYO148" s="199"/>
      <c r="LYP148" s="200"/>
      <c r="LYQ148" s="201"/>
      <c r="LYR148" s="202"/>
      <c r="LYS148" s="202"/>
      <c r="LYT148" s="202"/>
      <c r="LYU148" s="202"/>
      <c r="LYV148" s="203"/>
      <c r="LYW148" s="204"/>
      <c r="LYX148" s="204"/>
      <c r="LYY148" s="204"/>
      <c r="LYZ148" s="205"/>
      <c r="LZA148" s="206"/>
      <c r="LZB148" s="207"/>
      <c r="LZC148" s="207"/>
      <c r="LZD148" s="208"/>
      <c r="LZE148" s="209"/>
      <c r="LZF148" s="207"/>
      <c r="LZG148" s="210"/>
      <c r="LZH148" s="209"/>
      <c r="LZI148" s="204"/>
      <c r="LZJ148" s="204"/>
      <c r="LZK148" s="204"/>
      <c r="LZL148" s="199"/>
      <c r="LZM148" s="167"/>
      <c r="LZN148" s="199"/>
      <c r="LZO148" s="200"/>
      <c r="LZP148" s="201"/>
      <c r="LZQ148" s="202"/>
      <c r="LZR148" s="202"/>
      <c r="LZS148" s="202"/>
      <c r="LZT148" s="202"/>
      <c r="LZU148" s="203"/>
      <c r="LZV148" s="204"/>
      <c r="LZW148" s="204"/>
      <c r="LZX148" s="204"/>
      <c r="LZY148" s="205"/>
      <c r="LZZ148" s="206"/>
      <c r="MAA148" s="207"/>
      <c r="MAB148" s="207"/>
      <c r="MAC148" s="208"/>
      <c r="MAD148" s="209"/>
      <c r="MAE148" s="207"/>
      <c r="MAF148" s="210"/>
      <c r="MAG148" s="209"/>
      <c r="MAH148" s="204"/>
      <c r="MAI148" s="204"/>
      <c r="MAJ148" s="204"/>
      <c r="MAK148" s="199"/>
      <c r="MAL148" s="167"/>
      <c r="MAM148" s="199"/>
      <c r="MAN148" s="200"/>
      <c r="MAO148" s="201"/>
      <c r="MAP148" s="202"/>
      <c r="MAQ148" s="202"/>
      <c r="MAR148" s="202"/>
      <c r="MAS148" s="202"/>
      <c r="MAT148" s="203"/>
      <c r="MAU148" s="204"/>
      <c r="MAV148" s="204"/>
      <c r="MAW148" s="204"/>
      <c r="MAX148" s="205"/>
      <c r="MAY148" s="206"/>
      <c r="MAZ148" s="207"/>
      <c r="MBA148" s="207"/>
      <c r="MBB148" s="208"/>
      <c r="MBC148" s="209"/>
      <c r="MBD148" s="207"/>
      <c r="MBE148" s="210"/>
      <c r="MBF148" s="209"/>
      <c r="MBG148" s="204"/>
      <c r="MBH148" s="204"/>
      <c r="MBI148" s="204"/>
      <c r="MBJ148" s="199"/>
      <c r="MBK148" s="167"/>
      <c r="MBL148" s="199"/>
      <c r="MBM148" s="200"/>
      <c r="MBN148" s="201"/>
      <c r="MBO148" s="202"/>
      <c r="MBP148" s="202"/>
      <c r="MBQ148" s="202"/>
      <c r="MBR148" s="202"/>
      <c r="MBS148" s="203"/>
      <c r="MBT148" s="204"/>
      <c r="MBU148" s="204"/>
      <c r="MBV148" s="204"/>
      <c r="MBW148" s="205"/>
      <c r="MBX148" s="206"/>
      <c r="MBY148" s="207"/>
      <c r="MBZ148" s="207"/>
      <c r="MCA148" s="208"/>
      <c r="MCB148" s="209"/>
      <c r="MCC148" s="207"/>
      <c r="MCD148" s="210"/>
      <c r="MCE148" s="209"/>
      <c r="MCF148" s="204"/>
      <c r="MCG148" s="204"/>
      <c r="MCH148" s="204"/>
      <c r="MCI148" s="199"/>
      <c r="MCJ148" s="167"/>
      <c r="MCK148" s="199"/>
      <c r="MCL148" s="200"/>
      <c r="MCM148" s="201"/>
      <c r="MCN148" s="202"/>
      <c r="MCO148" s="202"/>
      <c r="MCP148" s="202"/>
      <c r="MCQ148" s="202"/>
      <c r="MCR148" s="203"/>
      <c r="MCS148" s="204"/>
      <c r="MCT148" s="204"/>
      <c r="MCU148" s="204"/>
      <c r="MCV148" s="205"/>
      <c r="MCW148" s="206"/>
      <c r="MCX148" s="207"/>
      <c r="MCY148" s="207"/>
      <c r="MCZ148" s="208"/>
      <c r="MDA148" s="209"/>
      <c r="MDB148" s="207"/>
      <c r="MDC148" s="210"/>
      <c r="MDD148" s="209"/>
      <c r="MDE148" s="204"/>
      <c r="MDF148" s="204"/>
      <c r="MDG148" s="204"/>
      <c r="MDH148" s="199"/>
      <c r="MDI148" s="167"/>
      <c r="MDJ148" s="199"/>
      <c r="MDK148" s="200"/>
      <c r="MDL148" s="201"/>
      <c r="MDM148" s="202"/>
      <c r="MDN148" s="202"/>
      <c r="MDO148" s="202"/>
      <c r="MDP148" s="202"/>
      <c r="MDQ148" s="203"/>
      <c r="MDR148" s="204"/>
      <c r="MDS148" s="204"/>
      <c r="MDT148" s="204"/>
      <c r="MDU148" s="205"/>
      <c r="MDV148" s="206"/>
      <c r="MDW148" s="207"/>
      <c r="MDX148" s="207"/>
      <c r="MDY148" s="208"/>
      <c r="MDZ148" s="209"/>
      <c r="MEA148" s="207"/>
      <c r="MEB148" s="210"/>
      <c r="MEC148" s="209"/>
      <c r="MED148" s="204"/>
      <c r="MEE148" s="204"/>
      <c r="MEF148" s="204"/>
      <c r="MEG148" s="199"/>
      <c r="MEH148" s="167"/>
      <c r="MEI148" s="199"/>
      <c r="MEJ148" s="200"/>
      <c r="MEK148" s="201"/>
      <c r="MEL148" s="202"/>
      <c r="MEM148" s="202"/>
      <c r="MEN148" s="202"/>
      <c r="MEO148" s="202"/>
      <c r="MEP148" s="203"/>
      <c r="MEQ148" s="204"/>
      <c r="MER148" s="204"/>
      <c r="MES148" s="204"/>
      <c r="MET148" s="205"/>
      <c r="MEU148" s="206"/>
      <c r="MEV148" s="207"/>
      <c r="MEW148" s="207"/>
      <c r="MEX148" s="208"/>
      <c r="MEY148" s="209"/>
      <c r="MEZ148" s="207"/>
      <c r="MFA148" s="210"/>
      <c r="MFB148" s="209"/>
      <c r="MFC148" s="204"/>
      <c r="MFD148" s="204"/>
      <c r="MFE148" s="204"/>
      <c r="MFF148" s="199"/>
      <c r="MFG148" s="167"/>
      <c r="MFH148" s="199"/>
      <c r="MFI148" s="200"/>
      <c r="MFJ148" s="201"/>
      <c r="MFK148" s="202"/>
      <c r="MFL148" s="202"/>
      <c r="MFM148" s="202"/>
      <c r="MFN148" s="202"/>
      <c r="MFO148" s="203"/>
      <c r="MFP148" s="204"/>
      <c r="MFQ148" s="204"/>
      <c r="MFR148" s="204"/>
      <c r="MFS148" s="205"/>
      <c r="MFT148" s="206"/>
      <c r="MFU148" s="207"/>
      <c r="MFV148" s="207"/>
      <c r="MFW148" s="208"/>
      <c r="MFX148" s="209"/>
      <c r="MFY148" s="207"/>
      <c r="MFZ148" s="210"/>
      <c r="MGA148" s="209"/>
      <c r="MGB148" s="204"/>
      <c r="MGC148" s="204"/>
      <c r="MGD148" s="204"/>
      <c r="MGE148" s="199"/>
      <c r="MGF148" s="167"/>
      <c r="MGG148" s="199"/>
      <c r="MGH148" s="200"/>
      <c r="MGI148" s="201"/>
      <c r="MGJ148" s="202"/>
      <c r="MGK148" s="202"/>
      <c r="MGL148" s="202"/>
      <c r="MGM148" s="202"/>
      <c r="MGN148" s="203"/>
      <c r="MGO148" s="204"/>
      <c r="MGP148" s="204"/>
      <c r="MGQ148" s="204"/>
      <c r="MGR148" s="205"/>
      <c r="MGS148" s="206"/>
      <c r="MGT148" s="207"/>
      <c r="MGU148" s="207"/>
      <c r="MGV148" s="208"/>
      <c r="MGW148" s="209"/>
      <c r="MGX148" s="207"/>
      <c r="MGY148" s="210"/>
      <c r="MGZ148" s="209"/>
      <c r="MHA148" s="204"/>
      <c r="MHB148" s="204"/>
      <c r="MHC148" s="204"/>
      <c r="MHD148" s="199"/>
      <c r="MHE148" s="167"/>
      <c r="MHF148" s="199"/>
      <c r="MHG148" s="200"/>
      <c r="MHH148" s="201"/>
      <c r="MHI148" s="202"/>
      <c r="MHJ148" s="202"/>
      <c r="MHK148" s="202"/>
      <c r="MHL148" s="202"/>
      <c r="MHM148" s="203"/>
      <c r="MHN148" s="204"/>
      <c r="MHO148" s="204"/>
      <c r="MHP148" s="204"/>
      <c r="MHQ148" s="205"/>
      <c r="MHR148" s="206"/>
      <c r="MHS148" s="207"/>
      <c r="MHT148" s="207"/>
      <c r="MHU148" s="208"/>
      <c r="MHV148" s="209"/>
      <c r="MHW148" s="207"/>
      <c r="MHX148" s="210"/>
      <c r="MHY148" s="209"/>
      <c r="MHZ148" s="204"/>
      <c r="MIA148" s="204"/>
      <c r="MIB148" s="204"/>
      <c r="MIC148" s="199"/>
      <c r="MID148" s="167"/>
      <c r="MIE148" s="199"/>
      <c r="MIF148" s="200"/>
      <c r="MIG148" s="201"/>
      <c r="MIH148" s="202"/>
      <c r="MII148" s="202"/>
      <c r="MIJ148" s="202"/>
      <c r="MIK148" s="202"/>
      <c r="MIL148" s="203"/>
      <c r="MIM148" s="204"/>
      <c r="MIN148" s="204"/>
      <c r="MIO148" s="204"/>
      <c r="MIP148" s="205"/>
      <c r="MIQ148" s="206"/>
      <c r="MIR148" s="207"/>
      <c r="MIS148" s="207"/>
      <c r="MIT148" s="208"/>
      <c r="MIU148" s="209"/>
      <c r="MIV148" s="207"/>
      <c r="MIW148" s="210"/>
      <c r="MIX148" s="209"/>
      <c r="MIY148" s="204"/>
      <c r="MIZ148" s="204"/>
      <c r="MJA148" s="204"/>
      <c r="MJB148" s="199"/>
      <c r="MJC148" s="167"/>
      <c r="MJD148" s="199"/>
      <c r="MJE148" s="200"/>
      <c r="MJF148" s="201"/>
      <c r="MJG148" s="202"/>
      <c r="MJH148" s="202"/>
      <c r="MJI148" s="202"/>
      <c r="MJJ148" s="202"/>
      <c r="MJK148" s="203"/>
      <c r="MJL148" s="204"/>
      <c r="MJM148" s="204"/>
      <c r="MJN148" s="204"/>
      <c r="MJO148" s="205"/>
      <c r="MJP148" s="206"/>
      <c r="MJQ148" s="207"/>
      <c r="MJR148" s="207"/>
      <c r="MJS148" s="208"/>
      <c r="MJT148" s="209"/>
      <c r="MJU148" s="207"/>
      <c r="MJV148" s="210"/>
      <c r="MJW148" s="209"/>
      <c r="MJX148" s="204"/>
      <c r="MJY148" s="204"/>
      <c r="MJZ148" s="204"/>
      <c r="MKA148" s="199"/>
      <c r="MKB148" s="167"/>
      <c r="MKC148" s="199"/>
      <c r="MKD148" s="200"/>
      <c r="MKE148" s="201"/>
      <c r="MKF148" s="202"/>
      <c r="MKG148" s="202"/>
      <c r="MKH148" s="202"/>
      <c r="MKI148" s="202"/>
      <c r="MKJ148" s="203"/>
      <c r="MKK148" s="204"/>
      <c r="MKL148" s="204"/>
      <c r="MKM148" s="204"/>
      <c r="MKN148" s="205"/>
      <c r="MKO148" s="206"/>
      <c r="MKP148" s="207"/>
      <c r="MKQ148" s="207"/>
      <c r="MKR148" s="208"/>
      <c r="MKS148" s="209"/>
      <c r="MKT148" s="207"/>
      <c r="MKU148" s="210"/>
      <c r="MKV148" s="209"/>
      <c r="MKW148" s="204"/>
      <c r="MKX148" s="204"/>
      <c r="MKY148" s="204"/>
      <c r="MKZ148" s="199"/>
      <c r="MLA148" s="167"/>
      <c r="MLB148" s="199"/>
      <c r="MLC148" s="200"/>
      <c r="MLD148" s="201"/>
      <c r="MLE148" s="202"/>
      <c r="MLF148" s="202"/>
      <c r="MLG148" s="202"/>
      <c r="MLH148" s="202"/>
      <c r="MLI148" s="203"/>
      <c r="MLJ148" s="204"/>
      <c r="MLK148" s="204"/>
      <c r="MLL148" s="204"/>
      <c r="MLM148" s="205"/>
      <c r="MLN148" s="206"/>
      <c r="MLO148" s="207"/>
      <c r="MLP148" s="207"/>
      <c r="MLQ148" s="208"/>
      <c r="MLR148" s="209"/>
      <c r="MLS148" s="207"/>
      <c r="MLT148" s="210"/>
      <c r="MLU148" s="209"/>
      <c r="MLV148" s="204"/>
      <c r="MLW148" s="204"/>
      <c r="MLX148" s="204"/>
      <c r="MLY148" s="199"/>
      <c r="MLZ148" s="167"/>
      <c r="MMA148" s="199"/>
      <c r="MMB148" s="200"/>
      <c r="MMC148" s="201"/>
      <c r="MMD148" s="202"/>
      <c r="MME148" s="202"/>
      <c r="MMF148" s="202"/>
      <c r="MMG148" s="202"/>
      <c r="MMH148" s="203"/>
      <c r="MMI148" s="204"/>
      <c r="MMJ148" s="204"/>
      <c r="MMK148" s="204"/>
      <c r="MML148" s="205"/>
      <c r="MMM148" s="206"/>
      <c r="MMN148" s="207"/>
      <c r="MMO148" s="207"/>
      <c r="MMP148" s="208"/>
      <c r="MMQ148" s="209"/>
      <c r="MMR148" s="207"/>
      <c r="MMS148" s="210"/>
      <c r="MMT148" s="209"/>
      <c r="MMU148" s="204"/>
      <c r="MMV148" s="204"/>
      <c r="MMW148" s="204"/>
      <c r="MMX148" s="199"/>
      <c r="MMY148" s="167"/>
      <c r="MMZ148" s="199"/>
      <c r="MNA148" s="200"/>
      <c r="MNB148" s="201"/>
      <c r="MNC148" s="202"/>
      <c r="MND148" s="202"/>
      <c r="MNE148" s="202"/>
      <c r="MNF148" s="202"/>
      <c r="MNG148" s="203"/>
      <c r="MNH148" s="204"/>
      <c r="MNI148" s="204"/>
      <c r="MNJ148" s="204"/>
      <c r="MNK148" s="205"/>
      <c r="MNL148" s="206"/>
      <c r="MNM148" s="207"/>
      <c r="MNN148" s="207"/>
      <c r="MNO148" s="208"/>
      <c r="MNP148" s="209"/>
      <c r="MNQ148" s="207"/>
      <c r="MNR148" s="210"/>
      <c r="MNS148" s="209"/>
      <c r="MNT148" s="204"/>
      <c r="MNU148" s="204"/>
      <c r="MNV148" s="204"/>
      <c r="MNW148" s="199"/>
      <c r="MNX148" s="167"/>
      <c r="MNY148" s="199"/>
      <c r="MNZ148" s="200"/>
      <c r="MOA148" s="201"/>
      <c r="MOB148" s="202"/>
      <c r="MOC148" s="202"/>
      <c r="MOD148" s="202"/>
      <c r="MOE148" s="202"/>
      <c r="MOF148" s="203"/>
      <c r="MOG148" s="204"/>
      <c r="MOH148" s="204"/>
      <c r="MOI148" s="204"/>
      <c r="MOJ148" s="205"/>
      <c r="MOK148" s="206"/>
      <c r="MOL148" s="207"/>
      <c r="MOM148" s="207"/>
      <c r="MON148" s="208"/>
      <c r="MOO148" s="209"/>
      <c r="MOP148" s="207"/>
      <c r="MOQ148" s="210"/>
      <c r="MOR148" s="209"/>
      <c r="MOS148" s="204"/>
      <c r="MOT148" s="204"/>
      <c r="MOU148" s="204"/>
      <c r="MOV148" s="199"/>
      <c r="MOW148" s="167"/>
      <c r="MOX148" s="199"/>
      <c r="MOY148" s="200"/>
      <c r="MOZ148" s="201"/>
      <c r="MPA148" s="202"/>
      <c r="MPB148" s="202"/>
      <c r="MPC148" s="202"/>
      <c r="MPD148" s="202"/>
      <c r="MPE148" s="203"/>
      <c r="MPF148" s="204"/>
      <c r="MPG148" s="204"/>
      <c r="MPH148" s="204"/>
      <c r="MPI148" s="205"/>
      <c r="MPJ148" s="206"/>
      <c r="MPK148" s="207"/>
      <c r="MPL148" s="207"/>
      <c r="MPM148" s="208"/>
      <c r="MPN148" s="209"/>
      <c r="MPO148" s="207"/>
      <c r="MPP148" s="210"/>
      <c r="MPQ148" s="209"/>
      <c r="MPR148" s="204"/>
      <c r="MPS148" s="204"/>
      <c r="MPT148" s="204"/>
      <c r="MPU148" s="199"/>
      <c r="MPV148" s="167"/>
      <c r="MPW148" s="199"/>
      <c r="MPX148" s="200"/>
      <c r="MPY148" s="201"/>
      <c r="MPZ148" s="202"/>
      <c r="MQA148" s="202"/>
      <c r="MQB148" s="202"/>
      <c r="MQC148" s="202"/>
      <c r="MQD148" s="203"/>
      <c r="MQE148" s="204"/>
      <c r="MQF148" s="204"/>
      <c r="MQG148" s="204"/>
      <c r="MQH148" s="205"/>
      <c r="MQI148" s="206"/>
      <c r="MQJ148" s="207"/>
      <c r="MQK148" s="207"/>
      <c r="MQL148" s="208"/>
      <c r="MQM148" s="209"/>
      <c r="MQN148" s="207"/>
      <c r="MQO148" s="210"/>
      <c r="MQP148" s="209"/>
      <c r="MQQ148" s="204"/>
      <c r="MQR148" s="204"/>
      <c r="MQS148" s="204"/>
      <c r="MQT148" s="199"/>
      <c r="MQU148" s="167"/>
      <c r="MQV148" s="199"/>
      <c r="MQW148" s="200"/>
      <c r="MQX148" s="201"/>
      <c r="MQY148" s="202"/>
      <c r="MQZ148" s="202"/>
      <c r="MRA148" s="202"/>
      <c r="MRB148" s="202"/>
      <c r="MRC148" s="203"/>
      <c r="MRD148" s="204"/>
      <c r="MRE148" s="204"/>
      <c r="MRF148" s="204"/>
      <c r="MRG148" s="205"/>
      <c r="MRH148" s="206"/>
      <c r="MRI148" s="207"/>
      <c r="MRJ148" s="207"/>
      <c r="MRK148" s="208"/>
      <c r="MRL148" s="209"/>
      <c r="MRM148" s="207"/>
      <c r="MRN148" s="210"/>
      <c r="MRO148" s="209"/>
      <c r="MRP148" s="204"/>
      <c r="MRQ148" s="204"/>
      <c r="MRR148" s="204"/>
      <c r="MRS148" s="199"/>
      <c r="MRT148" s="167"/>
      <c r="MRU148" s="199"/>
      <c r="MRV148" s="200"/>
      <c r="MRW148" s="201"/>
      <c r="MRX148" s="202"/>
      <c r="MRY148" s="202"/>
      <c r="MRZ148" s="202"/>
      <c r="MSA148" s="202"/>
      <c r="MSB148" s="203"/>
      <c r="MSC148" s="204"/>
      <c r="MSD148" s="204"/>
      <c r="MSE148" s="204"/>
      <c r="MSF148" s="205"/>
      <c r="MSG148" s="206"/>
      <c r="MSH148" s="207"/>
      <c r="MSI148" s="207"/>
      <c r="MSJ148" s="208"/>
      <c r="MSK148" s="209"/>
      <c r="MSL148" s="207"/>
      <c r="MSM148" s="210"/>
      <c r="MSN148" s="209"/>
      <c r="MSO148" s="204"/>
      <c r="MSP148" s="204"/>
      <c r="MSQ148" s="204"/>
      <c r="MSR148" s="199"/>
      <c r="MSS148" s="167"/>
      <c r="MST148" s="199"/>
      <c r="MSU148" s="200"/>
      <c r="MSV148" s="201"/>
      <c r="MSW148" s="202"/>
      <c r="MSX148" s="202"/>
      <c r="MSY148" s="202"/>
      <c r="MSZ148" s="202"/>
      <c r="MTA148" s="203"/>
      <c r="MTB148" s="204"/>
      <c r="MTC148" s="204"/>
      <c r="MTD148" s="204"/>
      <c r="MTE148" s="205"/>
      <c r="MTF148" s="206"/>
      <c r="MTG148" s="207"/>
      <c r="MTH148" s="207"/>
      <c r="MTI148" s="208"/>
      <c r="MTJ148" s="209"/>
      <c r="MTK148" s="207"/>
      <c r="MTL148" s="210"/>
      <c r="MTM148" s="209"/>
      <c r="MTN148" s="204"/>
      <c r="MTO148" s="204"/>
      <c r="MTP148" s="204"/>
      <c r="MTQ148" s="199"/>
      <c r="MTR148" s="167"/>
      <c r="MTS148" s="199"/>
      <c r="MTT148" s="200"/>
      <c r="MTU148" s="201"/>
      <c r="MTV148" s="202"/>
      <c r="MTW148" s="202"/>
      <c r="MTX148" s="202"/>
      <c r="MTY148" s="202"/>
      <c r="MTZ148" s="203"/>
      <c r="MUA148" s="204"/>
      <c r="MUB148" s="204"/>
      <c r="MUC148" s="204"/>
      <c r="MUD148" s="205"/>
      <c r="MUE148" s="206"/>
      <c r="MUF148" s="207"/>
      <c r="MUG148" s="207"/>
      <c r="MUH148" s="208"/>
      <c r="MUI148" s="209"/>
      <c r="MUJ148" s="207"/>
      <c r="MUK148" s="210"/>
      <c r="MUL148" s="209"/>
      <c r="MUM148" s="204"/>
      <c r="MUN148" s="204"/>
      <c r="MUO148" s="204"/>
      <c r="MUP148" s="199"/>
      <c r="MUQ148" s="167"/>
      <c r="MUR148" s="199"/>
      <c r="MUS148" s="200"/>
      <c r="MUT148" s="201"/>
      <c r="MUU148" s="202"/>
      <c r="MUV148" s="202"/>
      <c r="MUW148" s="202"/>
      <c r="MUX148" s="202"/>
      <c r="MUY148" s="203"/>
      <c r="MUZ148" s="204"/>
      <c r="MVA148" s="204"/>
      <c r="MVB148" s="204"/>
      <c r="MVC148" s="205"/>
      <c r="MVD148" s="206"/>
      <c r="MVE148" s="207"/>
      <c r="MVF148" s="207"/>
      <c r="MVG148" s="208"/>
      <c r="MVH148" s="209"/>
      <c r="MVI148" s="207"/>
      <c r="MVJ148" s="210"/>
      <c r="MVK148" s="209"/>
      <c r="MVL148" s="204"/>
      <c r="MVM148" s="204"/>
      <c r="MVN148" s="204"/>
      <c r="MVO148" s="199"/>
      <c r="MVP148" s="167"/>
      <c r="MVQ148" s="199"/>
      <c r="MVR148" s="200"/>
      <c r="MVS148" s="201"/>
      <c r="MVT148" s="202"/>
      <c r="MVU148" s="202"/>
      <c r="MVV148" s="202"/>
      <c r="MVW148" s="202"/>
      <c r="MVX148" s="203"/>
      <c r="MVY148" s="204"/>
      <c r="MVZ148" s="204"/>
      <c r="MWA148" s="204"/>
      <c r="MWB148" s="205"/>
      <c r="MWC148" s="206"/>
      <c r="MWD148" s="207"/>
      <c r="MWE148" s="207"/>
      <c r="MWF148" s="208"/>
      <c r="MWG148" s="209"/>
      <c r="MWH148" s="207"/>
      <c r="MWI148" s="210"/>
      <c r="MWJ148" s="209"/>
      <c r="MWK148" s="204"/>
      <c r="MWL148" s="204"/>
      <c r="MWM148" s="204"/>
      <c r="MWN148" s="199"/>
      <c r="MWO148" s="167"/>
      <c r="MWP148" s="199"/>
      <c r="MWQ148" s="200"/>
      <c r="MWR148" s="201"/>
      <c r="MWS148" s="202"/>
      <c r="MWT148" s="202"/>
      <c r="MWU148" s="202"/>
      <c r="MWV148" s="202"/>
      <c r="MWW148" s="203"/>
      <c r="MWX148" s="204"/>
      <c r="MWY148" s="204"/>
      <c r="MWZ148" s="204"/>
      <c r="MXA148" s="205"/>
      <c r="MXB148" s="206"/>
      <c r="MXC148" s="207"/>
      <c r="MXD148" s="207"/>
      <c r="MXE148" s="208"/>
      <c r="MXF148" s="209"/>
      <c r="MXG148" s="207"/>
      <c r="MXH148" s="210"/>
      <c r="MXI148" s="209"/>
      <c r="MXJ148" s="204"/>
      <c r="MXK148" s="204"/>
      <c r="MXL148" s="204"/>
      <c r="MXM148" s="199"/>
      <c r="MXN148" s="167"/>
      <c r="MXO148" s="199"/>
      <c r="MXP148" s="200"/>
      <c r="MXQ148" s="201"/>
      <c r="MXR148" s="202"/>
      <c r="MXS148" s="202"/>
      <c r="MXT148" s="202"/>
      <c r="MXU148" s="202"/>
      <c r="MXV148" s="203"/>
      <c r="MXW148" s="204"/>
      <c r="MXX148" s="204"/>
      <c r="MXY148" s="204"/>
      <c r="MXZ148" s="205"/>
      <c r="MYA148" s="206"/>
      <c r="MYB148" s="207"/>
      <c r="MYC148" s="207"/>
      <c r="MYD148" s="208"/>
      <c r="MYE148" s="209"/>
      <c r="MYF148" s="207"/>
      <c r="MYG148" s="210"/>
      <c r="MYH148" s="209"/>
      <c r="MYI148" s="204"/>
      <c r="MYJ148" s="204"/>
      <c r="MYK148" s="204"/>
      <c r="MYL148" s="199"/>
      <c r="MYM148" s="167"/>
      <c r="MYN148" s="199"/>
      <c r="MYO148" s="200"/>
      <c r="MYP148" s="201"/>
      <c r="MYQ148" s="202"/>
      <c r="MYR148" s="202"/>
      <c r="MYS148" s="202"/>
      <c r="MYT148" s="202"/>
      <c r="MYU148" s="203"/>
      <c r="MYV148" s="204"/>
      <c r="MYW148" s="204"/>
      <c r="MYX148" s="204"/>
      <c r="MYY148" s="205"/>
      <c r="MYZ148" s="206"/>
      <c r="MZA148" s="207"/>
      <c r="MZB148" s="207"/>
      <c r="MZC148" s="208"/>
      <c r="MZD148" s="209"/>
      <c r="MZE148" s="207"/>
      <c r="MZF148" s="210"/>
      <c r="MZG148" s="209"/>
      <c r="MZH148" s="204"/>
      <c r="MZI148" s="204"/>
      <c r="MZJ148" s="204"/>
      <c r="MZK148" s="199"/>
      <c r="MZL148" s="167"/>
      <c r="MZM148" s="199"/>
      <c r="MZN148" s="200"/>
      <c r="MZO148" s="201"/>
      <c r="MZP148" s="202"/>
      <c r="MZQ148" s="202"/>
      <c r="MZR148" s="202"/>
      <c r="MZS148" s="202"/>
      <c r="MZT148" s="203"/>
      <c r="MZU148" s="204"/>
      <c r="MZV148" s="204"/>
      <c r="MZW148" s="204"/>
      <c r="MZX148" s="205"/>
      <c r="MZY148" s="206"/>
      <c r="MZZ148" s="207"/>
      <c r="NAA148" s="207"/>
      <c r="NAB148" s="208"/>
      <c r="NAC148" s="209"/>
      <c r="NAD148" s="207"/>
      <c r="NAE148" s="210"/>
      <c r="NAF148" s="209"/>
      <c r="NAG148" s="204"/>
      <c r="NAH148" s="204"/>
      <c r="NAI148" s="204"/>
      <c r="NAJ148" s="199"/>
      <c r="NAK148" s="167"/>
      <c r="NAL148" s="199"/>
      <c r="NAM148" s="200"/>
      <c r="NAN148" s="201"/>
      <c r="NAO148" s="202"/>
      <c r="NAP148" s="202"/>
      <c r="NAQ148" s="202"/>
      <c r="NAR148" s="202"/>
      <c r="NAS148" s="203"/>
      <c r="NAT148" s="204"/>
      <c r="NAU148" s="204"/>
      <c r="NAV148" s="204"/>
      <c r="NAW148" s="205"/>
      <c r="NAX148" s="206"/>
      <c r="NAY148" s="207"/>
      <c r="NAZ148" s="207"/>
      <c r="NBA148" s="208"/>
      <c r="NBB148" s="209"/>
      <c r="NBC148" s="207"/>
      <c r="NBD148" s="210"/>
      <c r="NBE148" s="209"/>
      <c r="NBF148" s="204"/>
      <c r="NBG148" s="204"/>
      <c r="NBH148" s="204"/>
      <c r="NBI148" s="199"/>
      <c r="NBJ148" s="167"/>
      <c r="NBK148" s="199"/>
      <c r="NBL148" s="200"/>
      <c r="NBM148" s="201"/>
      <c r="NBN148" s="202"/>
      <c r="NBO148" s="202"/>
      <c r="NBP148" s="202"/>
      <c r="NBQ148" s="202"/>
      <c r="NBR148" s="203"/>
      <c r="NBS148" s="204"/>
      <c r="NBT148" s="204"/>
      <c r="NBU148" s="204"/>
      <c r="NBV148" s="205"/>
      <c r="NBW148" s="206"/>
      <c r="NBX148" s="207"/>
      <c r="NBY148" s="207"/>
      <c r="NBZ148" s="208"/>
      <c r="NCA148" s="209"/>
      <c r="NCB148" s="207"/>
      <c r="NCC148" s="210"/>
      <c r="NCD148" s="209"/>
      <c r="NCE148" s="204"/>
      <c r="NCF148" s="204"/>
      <c r="NCG148" s="204"/>
      <c r="NCH148" s="199"/>
      <c r="NCI148" s="167"/>
      <c r="NCJ148" s="199"/>
      <c r="NCK148" s="200"/>
      <c r="NCL148" s="201"/>
      <c r="NCM148" s="202"/>
      <c r="NCN148" s="202"/>
      <c r="NCO148" s="202"/>
      <c r="NCP148" s="202"/>
      <c r="NCQ148" s="203"/>
      <c r="NCR148" s="204"/>
      <c r="NCS148" s="204"/>
      <c r="NCT148" s="204"/>
      <c r="NCU148" s="205"/>
      <c r="NCV148" s="206"/>
      <c r="NCW148" s="207"/>
      <c r="NCX148" s="207"/>
      <c r="NCY148" s="208"/>
      <c r="NCZ148" s="209"/>
      <c r="NDA148" s="207"/>
      <c r="NDB148" s="210"/>
      <c r="NDC148" s="209"/>
      <c r="NDD148" s="204"/>
      <c r="NDE148" s="204"/>
      <c r="NDF148" s="204"/>
      <c r="NDG148" s="199"/>
      <c r="NDH148" s="167"/>
      <c r="NDI148" s="199"/>
      <c r="NDJ148" s="200"/>
      <c r="NDK148" s="201"/>
      <c r="NDL148" s="202"/>
      <c r="NDM148" s="202"/>
      <c r="NDN148" s="202"/>
      <c r="NDO148" s="202"/>
      <c r="NDP148" s="203"/>
      <c r="NDQ148" s="204"/>
      <c r="NDR148" s="204"/>
      <c r="NDS148" s="204"/>
      <c r="NDT148" s="205"/>
      <c r="NDU148" s="206"/>
      <c r="NDV148" s="207"/>
      <c r="NDW148" s="207"/>
      <c r="NDX148" s="208"/>
      <c r="NDY148" s="209"/>
      <c r="NDZ148" s="207"/>
      <c r="NEA148" s="210"/>
      <c r="NEB148" s="209"/>
      <c r="NEC148" s="204"/>
      <c r="NED148" s="204"/>
      <c r="NEE148" s="204"/>
      <c r="NEF148" s="199"/>
      <c r="NEG148" s="167"/>
      <c r="NEH148" s="199"/>
      <c r="NEI148" s="200"/>
      <c r="NEJ148" s="201"/>
      <c r="NEK148" s="202"/>
      <c r="NEL148" s="202"/>
      <c r="NEM148" s="202"/>
      <c r="NEN148" s="202"/>
      <c r="NEO148" s="203"/>
      <c r="NEP148" s="204"/>
      <c r="NEQ148" s="204"/>
      <c r="NER148" s="204"/>
      <c r="NES148" s="205"/>
      <c r="NET148" s="206"/>
      <c r="NEU148" s="207"/>
      <c r="NEV148" s="207"/>
      <c r="NEW148" s="208"/>
      <c r="NEX148" s="209"/>
      <c r="NEY148" s="207"/>
      <c r="NEZ148" s="210"/>
      <c r="NFA148" s="209"/>
      <c r="NFB148" s="204"/>
      <c r="NFC148" s="204"/>
      <c r="NFD148" s="204"/>
      <c r="NFE148" s="199"/>
      <c r="NFF148" s="167"/>
      <c r="NFG148" s="199"/>
      <c r="NFH148" s="200"/>
      <c r="NFI148" s="201"/>
      <c r="NFJ148" s="202"/>
      <c r="NFK148" s="202"/>
      <c r="NFL148" s="202"/>
      <c r="NFM148" s="202"/>
      <c r="NFN148" s="203"/>
      <c r="NFO148" s="204"/>
      <c r="NFP148" s="204"/>
      <c r="NFQ148" s="204"/>
      <c r="NFR148" s="205"/>
      <c r="NFS148" s="206"/>
      <c r="NFT148" s="207"/>
      <c r="NFU148" s="207"/>
      <c r="NFV148" s="208"/>
      <c r="NFW148" s="209"/>
      <c r="NFX148" s="207"/>
      <c r="NFY148" s="210"/>
      <c r="NFZ148" s="209"/>
      <c r="NGA148" s="204"/>
      <c r="NGB148" s="204"/>
      <c r="NGC148" s="204"/>
      <c r="NGD148" s="199"/>
      <c r="NGE148" s="167"/>
      <c r="NGF148" s="199"/>
      <c r="NGG148" s="200"/>
      <c r="NGH148" s="201"/>
      <c r="NGI148" s="202"/>
      <c r="NGJ148" s="202"/>
      <c r="NGK148" s="202"/>
      <c r="NGL148" s="202"/>
      <c r="NGM148" s="203"/>
      <c r="NGN148" s="204"/>
      <c r="NGO148" s="204"/>
      <c r="NGP148" s="204"/>
      <c r="NGQ148" s="205"/>
      <c r="NGR148" s="206"/>
      <c r="NGS148" s="207"/>
      <c r="NGT148" s="207"/>
      <c r="NGU148" s="208"/>
      <c r="NGV148" s="209"/>
      <c r="NGW148" s="207"/>
      <c r="NGX148" s="210"/>
      <c r="NGY148" s="209"/>
      <c r="NGZ148" s="204"/>
      <c r="NHA148" s="204"/>
      <c r="NHB148" s="204"/>
      <c r="NHC148" s="199"/>
      <c r="NHD148" s="167"/>
      <c r="NHE148" s="199"/>
      <c r="NHF148" s="200"/>
      <c r="NHG148" s="201"/>
      <c r="NHH148" s="202"/>
      <c r="NHI148" s="202"/>
      <c r="NHJ148" s="202"/>
      <c r="NHK148" s="202"/>
      <c r="NHL148" s="203"/>
      <c r="NHM148" s="204"/>
      <c r="NHN148" s="204"/>
      <c r="NHO148" s="204"/>
      <c r="NHP148" s="205"/>
      <c r="NHQ148" s="206"/>
      <c r="NHR148" s="207"/>
      <c r="NHS148" s="207"/>
      <c r="NHT148" s="208"/>
      <c r="NHU148" s="209"/>
      <c r="NHV148" s="207"/>
      <c r="NHW148" s="210"/>
      <c r="NHX148" s="209"/>
      <c r="NHY148" s="204"/>
      <c r="NHZ148" s="204"/>
      <c r="NIA148" s="204"/>
      <c r="NIB148" s="199"/>
      <c r="NIC148" s="167"/>
      <c r="NID148" s="199"/>
      <c r="NIE148" s="200"/>
      <c r="NIF148" s="201"/>
      <c r="NIG148" s="202"/>
      <c r="NIH148" s="202"/>
      <c r="NII148" s="202"/>
      <c r="NIJ148" s="202"/>
      <c r="NIK148" s="203"/>
      <c r="NIL148" s="204"/>
      <c r="NIM148" s="204"/>
      <c r="NIN148" s="204"/>
      <c r="NIO148" s="205"/>
      <c r="NIP148" s="206"/>
      <c r="NIQ148" s="207"/>
      <c r="NIR148" s="207"/>
      <c r="NIS148" s="208"/>
      <c r="NIT148" s="209"/>
      <c r="NIU148" s="207"/>
      <c r="NIV148" s="210"/>
      <c r="NIW148" s="209"/>
      <c r="NIX148" s="204"/>
      <c r="NIY148" s="204"/>
      <c r="NIZ148" s="204"/>
      <c r="NJA148" s="199"/>
      <c r="NJB148" s="167"/>
      <c r="NJC148" s="199"/>
      <c r="NJD148" s="200"/>
      <c r="NJE148" s="201"/>
      <c r="NJF148" s="202"/>
      <c r="NJG148" s="202"/>
      <c r="NJH148" s="202"/>
      <c r="NJI148" s="202"/>
      <c r="NJJ148" s="203"/>
      <c r="NJK148" s="204"/>
      <c r="NJL148" s="204"/>
      <c r="NJM148" s="204"/>
      <c r="NJN148" s="205"/>
      <c r="NJO148" s="206"/>
      <c r="NJP148" s="207"/>
      <c r="NJQ148" s="207"/>
      <c r="NJR148" s="208"/>
      <c r="NJS148" s="209"/>
      <c r="NJT148" s="207"/>
      <c r="NJU148" s="210"/>
      <c r="NJV148" s="209"/>
      <c r="NJW148" s="204"/>
      <c r="NJX148" s="204"/>
      <c r="NJY148" s="204"/>
      <c r="NJZ148" s="199"/>
      <c r="NKA148" s="167"/>
      <c r="NKB148" s="199"/>
      <c r="NKC148" s="200"/>
      <c r="NKD148" s="201"/>
      <c r="NKE148" s="202"/>
      <c r="NKF148" s="202"/>
      <c r="NKG148" s="202"/>
      <c r="NKH148" s="202"/>
      <c r="NKI148" s="203"/>
      <c r="NKJ148" s="204"/>
      <c r="NKK148" s="204"/>
      <c r="NKL148" s="204"/>
      <c r="NKM148" s="205"/>
      <c r="NKN148" s="206"/>
      <c r="NKO148" s="207"/>
      <c r="NKP148" s="207"/>
      <c r="NKQ148" s="208"/>
      <c r="NKR148" s="209"/>
      <c r="NKS148" s="207"/>
      <c r="NKT148" s="210"/>
      <c r="NKU148" s="209"/>
      <c r="NKV148" s="204"/>
      <c r="NKW148" s="204"/>
      <c r="NKX148" s="204"/>
      <c r="NKY148" s="199"/>
      <c r="NKZ148" s="167"/>
      <c r="NLA148" s="199"/>
      <c r="NLB148" s="200"/>
      <c r="NLC148" s="201"/>
      <c r="NLD148" s="202"/>
      <c r="NLE148" s="202"/>
      <c r="NLF148" s="202"/>
      <c r="NLG148" s="202"/>
      <c r="NLH148" s="203"/>
      <c r="NLI148" s="204"/>
      <c r="NLJ148" s="204"/>
      <c r="NLK148" s="204"/>
      <c r="NLL148" s="205"/>
      <c r="NLM148" s="206"/>
      <c r="NLN148" s="207"/>
      <c r="NLO148" s="207"/>
      <c r="NLP148" s="208"/>
      <c r="NLQ148" s="209"/>
      <c r="NLR148" s="207"/>
      <c r="NLS148" s="210"/>
      <c r="NLT148" s="209"/>
      <c r="NLU148" s="204"/>
      <c r="NLV148" s="204"/>
      <c r="NLW148" s="204"/>
      <c r="NLX148" s="199"/>
      <c r="NLY148" s="167"/>
      <c r="NLZ148" s="199"/>
      <c r="NMA148" s="200"/>
      <c r="NMB148" s="201"/>
      <c r="NMC148" s="202"/>
      <c r="NMD148" s="202"/>
      <c r="NME148" s="202"/>
      <c r="NMF148" s="202"/>
      <c r="NMG148" s="203"/>
      <c r="NMH148" s="204"/>
      <c r="NMI148" s="204"/>
      <c r="NMJ148" s="204"/>
      <c r="NMK148" s="205"/>
      <c r="NML148" s="206"/>
      <c r="NMM148" s="207"/>
      <c r="NMN148" s="207"/>
      <c r="NMO148" s="208"/>
      <c r="NMP148" s="209"/>
      <c r="NMQ148" s="207"/>
      <c r="NMR148" s="210"/>
      <c r="NMS148" s="209"/>
      <c r="NMT148" s="204"/>
      <c r="NMU148" s="204"/>
      <c r="NMV148" s="204"/>
      <c r="NMW148" s="199"/>
      <c r="NMX148" s="167"/>
      <c r="NMY148" s="199"/>
      <c r="NMZ148" s="200"/>
      <c r="NNA148" s="201"/>
      <c r="NNB148" s="202"/>
      <c r="NNC148" s="202"/>
      <c r="NND148" s="202"/>
      <c r="NNE148" s="202"/>
      <c r="NNF148" s="203"/>
      <c r="NNG148" s="204"/>
      <c r="NNH148" s="204"/>
      <c r="NNI148" s="204"/>
      <c r="NNJ148" s="205"/>
      <c r="NNK148" s="206"/>
      <c r="NNL148" s="207"/>
      <c r="NNM148" s="207"/>
      <c r="NNN148" s="208"/>
      <c r="NNO148" s="209"/>
      <c r="NNP148" s="207"/>
      <c r="NNQ148" s="210"/>
      <c r="NNR148" s="209"/>
      <c r="NNS148" s="204"/>
      <c r="NNT148" s="204"/>
      <c r="NNU148" s="204"/>
      <c r="NNV148" s="199"/>
      <c r="NNW148" s="167"/>
      <c r="NNX148" s="199"/>
      <c r="NNY148" s="200"/>
      <c r="NNZ148" s="201"/>
      <c r="NOA148" s="202"/>
      <c r="NOB148" s="202"/>
      <c r="NOC148" s="202"/>
      <c r="NOD148" s="202"/>
      <c r="NOE148" s="203"/>
      <c r="NOF148" s="204"/>
      <c r="NOG148" s="204"/>
      <c r="NOH148" s="204"/>
      <c r="NOI148" s="205"/>
      <c r="NOJ148" s="206"/>
      <c r="NOK148" s="207"/>
      <c r="NOL148" s="207"/>
      <c r="NOM148" s="208"/>
      <c r="NON148" s="209"/>
      <c r="NOO148" s="207"/>
      <c r="NOP148" s="210"/>
      <c r="NOQ148" s="209"/>
      <c r="NOR148" s="204"/>
      <c r="NOS148" s="204"/>
      <c r="NOT148" s="204"/>
      <c r="NOU148" s="199"/>
      <c r="NOV148" s="167"/>
      <c r="NOW148" s="199"/>
      <c r="NOX148" s="200"/>
      <c r="NOY148" s="201"/>
      <c r="NOZ148" s="202"/>
      <c r="NPA148" s="202"/>
      <c r="NPB148" s="202"/>
      <c r="NPC148" s="202"/>
      <c r="NPD148" s="203"/>
      <c r="NPE148" s="204"/>
      <c r="NPF148" s="204"/>
      <c r="NPG148" s="204"/>
      <c r="NPH148" s="205"/>
      <c r="NPI148" s="206"/>
      <c r="NPJ148" s="207"/>
      <c r="NPK148" s="207"/>
      <c r="NPL148" s="208"/>
      <c r="NPM148" s="209"/>
      <c r="NPN148" s="207"/>
      <c r="NPO148" s="210"/>
      <c r="NPP148" s="209"/>
      <c r="NPQ148" s="204"/>
      <c r="NPR148" s="204"/>
      <c r="NPS148" s="204"/>
      <c r="NPT148" s="199"/>
      <c r="NPU148" s="167"/>
      <c r="NPV148" s="199"/>
      <c r="NPW148" s="200"/>
      <c r="NPX148" s="201"/>
      <c r="NPY148" s="202"/>
      <c r="NPZ148" s="202"/>
      <c r="NQA148" s="202"/>
      <c r="NQB148" s="202"/>
      <c r="NQC148" s="203"/>
      <c r="NQD148" s="204"/>
      <c r="NQE148" s="204"/>
      <c r="NQF148" s="204"/>
      <c r="NQG148" s="205"/>
      <c r="NQH148" s="206"/>
      <c r="NQI148" s="207"/>
      <c r="NQJ148" s="207"/>
      <c r="NQK148" s="208"/>
      <c r="NQL148" s="209"/>
      <c r="NQM148" s="207"/>
      <c r="NQN148" s="210"/>
      <c r="NQO148" s="209"/>
      <c r="NQP148" s="204"/>
      <c r="NQQ148" s="204"/>
      <c r="NQR148" s="204"/>
      <c r="NQS148" s="199"/>
      <c r="NQT148" s="167"/>
      <c r="NQU148" s="199"/>
      <c r="NQV148" s="200"/>
      <c r="NQW148" s="201"/>
      <c r="NQX148" s="202"/>
      <c r="NQY148" s="202"/>
      <c r="NQZ148" s="202"/>
      <c r="NRA148" s="202"/>
      <c r="NRB148" s="203"/>
      <c r="NRC148" s="204"/>
      <c r="NRD148" s="204"/>
      <c r="NRE148" s="204"/>
      <c r="NRF148" s="205"/>
      <c r="NRG148" s="206"/>
      <c r="NRH148" s="207"/>
      <c r="NRI148" s="207"/>
      <c r="NRJ148" s="208"/>
      <c r="NRK148" s="209"/>
      <c r="NRL148" s="207"/>
      <c r="NRM148" s="210"/>
      <c r="NRN148" s="209"/>
      <c r="NRO148" s="204"/>
      <c r="NRP148" s="204"/>
      <c r="NRQ148" s="204"/>
      <c r="NRR148" s="199"/>
      <c r="NRS148" s="167"/>
      <c r="NRT148" s="199"/>
      <c r="NRU148" s="200"/>
      <c r="NRV148" s="201"/>
      <c r="NRW148" s="202"/>
      <c r="NRX148" s="202"/>
      <c r="NRY148" s="202"/>
      <c r="NRZ148" s="202"/>
      <c r="NSA148" s="203"/>
      <c r="NSB148" s="204"/>
      <c r="NSC148" s="204"/>
      <c r="NSD148" s="204"/>
      <c r="NSE148" s="205"/>
      <c r="NSF148" s="206"/>
      <c r="NSG148" s="207"/>
      <c r="NSH148" s="207"/>
      <c r="NSI148" s="208"/>
      <c r="NSJ148" s="209"/>
      <c r="NSK148" s="207"/>
      <c r="NSL148" s="210"/>
      <c r="NSM148" s="209"/>
      <c r="NSN148" s="204"/>
      <c r="NSO148" s="204"/>
      <c r="NSP148" s="204"/>
      <c r="NSQ148" s="199"/>
      <c r="NSR148" s="167"/>
      <c r="NSS148" s="199"/>
      <c r="NST148" s="200"/>
      <c r="NSU148" s="201"/>
      <c r="NSV148" s="202"/>
      <c r="NSW148" s="202"/>
      <c r="NSX148" s="202"/>
      <c r="NSY148" s="202"/>
      <c r="NSZ148" s="203"/>
      <c r="NTA148" s="204"/>
      <c r="NTB148" s="204"/>
      <c r="NTC148" s="204"/>
      <c r="NTD148" s="205"/>
      <c r="NTE148" s="206"/>
      <c r="NTF148" s="207"/>
      <c r="NTG148" s="207"/>
      <c r="NTH148" s="208"/>
      <c r="NTI148" s="209"/>
      <c r="NTJ148" s="207"/>
      <c r="NTK148" s="210"/>
      <c r="NTL148" s="209"/>
      <c r="NTM148" s="204"/>
      <c r="NTN148" s="204"/>
      <c r="NTO148" s="204"/>
      <c r="NTP148" s="199"/>
      <c r="NTQ148" s="167"/>
      <c r="NTR148" s="199"/>
      <c r="NTS148" s="200"/>
      <c r="NTT148" s="201"/>
      <c r="NTU148" s="202"/>
      <c r="NTV148" s="202"/>
      <c r="NTW148" s="202"/>
      <c r="NTX148" s="202"/>
      <c r="NTY148" s="203"/>
      <c r="NTZ148" s="204"/>
      <c r="NUA148" s="204"/>
      <c r="NUB148" s="204"/>
      <c r="NUC148" s="205"/>
      <c r="NUD148" s="206"/>
      <c r="NUE148" s="207"/>
      <c r="NUF148" s="207"/>
      <c r="NUG148" s="208"/>
      <c r="NUH148" s="209"/>
      <c r="NUI148" s="207"/>
      <c r="NUJ148" s="210"/>
      <c r="NUK148" s="209"/>
      <c r="NUL148" s="204"/>
      <c r="NUM148" s="204"/>
      <c r="NUN148" s="204"/>
      <c r="NUO148" s="199"/>
      <c r="NUP148" s="167"/>
      <c r="NUQ148" s="199"/>
      <c r="NUR148" s="200"/>
      <c r="NUS148" s="201"/>
      <c r="NUT148" s="202"/>
      <c r="NUU148" s="202"/>
      <c r="NUV148" s="202"/>
      <c r="NUW148" s="202"/>
      <c r="NUX148" s="203"/>
      <c r="NUY148" s="204"/>
      <c r="NUZ148" s="204"/>
      <c r="NVA148" s="204"/>
      <c r="NVB148" s="205"/>
      <c r="NVC148" s="206"/>
      <c r="NVD148" s="207"/>
      <c r="NVE148" s="207"/>
      <c r="NVF148" s="208"/>
      <c r="NVG148" s="209"/>
      <c r="NVH148" s="207"/>
      <c r="NVI148" s="210"/>
      <c r="NVJ148" s="209"/>
      <c r="NVK148" s="204"/>
      <c r="NVL148" s="204"/>
      <c r="NVM148" s="204"/>
      <c r="NVN148" s="199"/>
      <c r="NVO148" s="167"/>
      <c r="NVP148" s="199"/>
      <c r="NVQ148" s="200"/>
      <c r="NVR148" s="201"/>
      <c r="NVS148" s="202"/>
      <c r="NVT148" s="202"/>
      <c r="NVU148" s="202"/>
      <c r="NVV148" s="202"/>
      <c r="NVW148" s="203"/>
      <c r="NVX148" s="204"/>
      <c r="NVY148" s="204"/>
      <c r="NVZ148" s="204"/>
      <c r="NWA148" s="205"/>
      <c r="NWB148" s="206"/>
      <c r="NWC148" s="207"/>
      <c r="NWD148" s="207"/>
      <c r="NWE148" s="208"/>
      <c r="NWF148" s="209"/>
      <c r="NWG148" s="207"/>
      <c r="NWH148" s="210"/>
      <c r="NWI148" s="209"/>
      <c r="NWJ148" s="204"/>
      <c r="NWK148" s="204"/>
      <c r="NWL148" s="204"/>
      <c r="NWM148" s="199"/>
      <c r="NWN148" s="167"/>
      <c r="NWO148" s="199"/>
      <c r="NWP148" s="200"/>
      <c r="NWQ148" s="201"/>
      <c r="NWR148" s="202"/>
      <c r="NWS148" s="202"/>
      <c r="NWT148" s="202"/>
      <c r="NWU148" s="202"/>
      <c r="NWV148" s="203"/>
      <c r="NWW148" s="204"/>
      <c r="NWX148" s="204"/>
      <c r="NWY148" s="204"/>
      <c r="NWZ148" s="205"/>
      <c r="NXA148" s="206"/>
      <c r="NXB148" s="207"/>
      <c r="NXC148" s="207"/>
      <c r="NXD148" s="208"/>
      <c r="NXE148" s="209"/>
      <c r="NXF148" s="207"/>
      <c r="NXG148" s="210"/>
      <c r="NXH148" s="209"/>
      <c r="NXI148" s="204"/>
      <c r="NXJ148" s="204"/>
      <c r="NXK148" s="204"/>
      <c r="NXL148" s="199"/>
      <c r="NXM148" s="167"/>
      <c r="NXN148" s="199"/>
      <c r="NXO148" s="200"/>
      <c r="NXP148" s="201"/>
      <c r="NXQ148" s="202"/>
      <c r="NXR148" s="202"/>
      <c r="NXS148" s="202"/>
      <c r="NXT148" s="202"/>
      <c r="NXU148" s="203"/>
      <c r="NXV148" s="204"/>
      <c r="NXW148" s="204"/>
      <c r="NXX148" s="204"/>
      <c r="NXY148" s="205"/>
      <c r="NXZ148" s="206"/>
      <c r="NYA148" s="207"/>
      <c r="NYB148" s="207"/>
      <c r="NYC148" s="208"/>
      <c r="NYD148" s="209"/>
      <c r="NYE148" s="207"/>
      <c r="NYF148" s="210"/>
      <c r="NYG148" s="209"/>
      <c r="NYH148" s="204"/>
      <c r="NYI148" s="204"/>
      <c r="NYJ148" s="204"/>
      <c r="NYK148" s="199"/>
      <c r="NYL148" s="167"/>
      <c r="NYM148" s="199"/>
      <c r="NYN148" s="200"/>
      <c r="NYO148" s="201"/>
      <c r="NYP148" s="202"/>
      <c r="NYQ148" s="202"/>
      <c r="NYR148" s="202"/>
      <c r="NYS148" s="202"/>
      <c r="NYT148" s="203"/>
      <c r="NYU148" s="204"/>
      <c r="NYV148" s="204"/>
      <c r="NYW148" s="204"/>
      <c r="NYX148" s="205"/>
      <c r="NYY148" s="206"/>
      <c r="NYZ148" s="207"/>
      <c r="NZA148" s="207"/>
      <c r="NZB148" s="208"/>
      <c r="NZC148" s="209"/>
      <c r="NZD148" s="207"/>
      <c r="NZE148" s="210"/>
      <c r="NZF148" s="209"/>
      <c r="NZG148" s="204"/>
      <c r="NZH148" s="204"/>
      <c r="NZI148" s="204"/>
      <c r="NZJ148" s="199"/>
      <c r="NZK148" s="167"/>
      <c r="NZL148" s="199"/>
      <c r="NZM148" s="200"/>
      <c r="NZN148" s="201"/>
      <c r="NZO148" s="202"/>
      <c r="NZP148" s="202"/>
      <c r="NZQ148" s="202"/>
      <c r="NZR148" s="202"/>
      <c r="NZS148" s="203"/>
      <c r="NZT148" s="204"/>
      <c r="NZU148" s="204"/>
      <c r="NZV148" s="204"/>
      <c r="NZW148" s="205"/>
      <c r="NZX148" s="206"/>
      <c r="NZY148" s="207"/>
      <c r="NZZ148" s="207"/>
      <c r="OAA148" s="208"/>
      <c r="OAB148" s="209"/>
      <c r="OAC148" s="207"/>
      <c r="OAD148" s="210"/>
      <c r="OAE148" s="209"/>
      <c r="OAF148" s="204"/>
      <c r="OAG148" s="204"/>
      <c r="OAH148" s="204"/>
      <c r="OAI148" s="199"/>
      <c r="OAJ148" s="167"/>
      <c r="OAK148" s="199"/>
      <c r="OAL148" s="200"/>
      <c r="OAM148" s="201"/>
      <c r="OAN148" s="202"/>
      <c r="OAO148" s="202"/>
      <c r="OAP148" s="202"/>
      <c r="OAQ148" s="202"/>
      <c r="OAR148" s="203"/>
      <c r="OAS148" s="204"/>
      <c r="OAT148" s="204"/>
      <c r="OAU148" s="204"/>
      <c r="OAV148" s="205"/>
      <c r="OAW148" s="206"/>
      <c r="OAX148" s="207"/>
      <c r="OAY148" s="207"/>
      <c r="OAZ148" s="208"/>
      <c r="OBA148" s="209"/>
      <c r="OBB148" s="207"/>
      <c r="OBC148" s="210"/>
      <c r="OBD148" s="209"/>
      <c r="OBE148" s="204"/>
      <c r="OBF148" s="204"/>
      <c r="OBG148" s="204"/>
      <c r="OBH148" s="199"/>
      <c r="OBI148" s="167"/>
      <c r="OBJ148" s="199"/>
      <c r="OBK148" s="200"/>
      <c r="OBL148" s="201"/>
      <c r="OBM148" s="202"/>
      <c r="OBN148" s="202"/>
      <c r="OBO148" s="202"/>
      <c r="OBP148" s="202"/>
      <c r="OBQ148" s="203"/>
      <c r="OBR148" s="204"/>
      <c r="OBS148" s="204"/>
      <c r="OBT148" s="204"/>
      <c r="OBU148" s="205"/>
      <c r="OBV148" s="206"/>
      <c r="OBW148" s="207"/>
      <c r="OBX148" s="207"/>
      <c r="OBY148" s="208"/>
      <c r="OBZ148" s="209"/>
      <c r="OCA148" s="207"/>
      <c r="OCB148" s="210"/>
      <c r="OCC148" s="209"/>
      <c r="OCD148" s="204"/>
      <c r="OCE148" s="204"/>
      <c r="OCF148" s="204"/>
      <c r="OCG148" s="199"/>
      <c r="OCH148" s="167"/>
      <c r="OCI148" s="199"/>
      <c r="OCJ148" s="200"/>
      <c r="OCK148" s="201"/>
      <c r="OCL148" s="202"/>
      <c r="OCM148" s="202"/>
      <c r="OCN148" s="202"/>
      <c r="OCO148" s="202"/>
      <c r="OCP148" s="203"/>
      <c r="OCQ148" s="204"/>
      <c r="OCR148" s="204"/>
      <c r="OCS148" s="204"/>
      <c r="OCT148" s="205"/>
      <c r="OCU148" s="206"/>
      <c r="OCV148" s="207"/>
      <c r="OCW148" s="207"/>
      <c r="OCX148" s="208"/>
      <c r="OCY148" s="209"/>
      <c r="OCZ148" s="207"/>
      <c r="ODA148" s="210"/>
      <c r="ODB148" s="209"/>
      <c r="ODC148" s="204"/>
      <c r="ODD148" s="204"/>
      <c r="ODE148" s="204"/>
      <c r="ODF148" s="199"/>
      <c r="ODG148" s="167"/>
      <c r="ODH148" s="199"/>
      <c r="ODI148" s="200"/>
      <c r="ODJ148" s="201"/>
      <c r="ODK148" s="202"/>
      <c r="ODL148" s="202"/>
      <c r="ODM148" s="202"/>
      <c r="ODN148" s="202"/>
      <c r="ODO148" s="203"/>
      <c r="ODP148" s="204"/>
      <c r="ODQ148" s="204"/>
      <c r="ODR148" s="204"/>
      <c r="ODS148" s="205"/>
      <c r="ODT148" s="206"/>
      <c r="ODU148" s="207"/>
      <c r="ODV148" s="207"/>
      <c r="ODW148" s="208"/>
      <c r="ODX148" s="209"/>
      <c r="ODY148" s="207"/>
      <c r="ODZ148" s="210"/>
      <c r="OEA148" s="209"/>
      <c r="OEB148" s="204"/>
      <c r="OEC148" s="204"/>
      <c r="OED148" s="204"/>
      <c r="OEE148" s="199"/>
      <c r="OEF148" s="167"/>
      <c r="OEG148" s="199"/>
      <c r="OEH148" s="200"/>
      <c r="OEI148" s="201"/>
      <c r="OEJ148" s="202"/>
      <c r="OEK148" s="202"/>
      <c r="OEL148" s="202"/>
      <c r="OEM148" s="202"/>
      <c r="OEN148" s="203"/>
      <c r="OEO148" s="204"/>
      <c r="OEP148" s="204"/>
      <c r="OEQ148" s="204"/>
      <c r="OER148" s="205"/>
      <c r="OES148" s="206"/>
      <c r="OET148" s="207"/>
      <c r="OEU148" s="207"/>
      <c r="OEV148" s="208"/>
      <c r="OEW148" s="209"/>
      <c r="OEX148" s="207"/>
      <c r="OEY148" s="210"/>
      <c r="OEZ148" s="209"/>
      <c r="OFA148" s="204"/>
      <c r="OFB148" s="204"/>
      <c r="OFC148" s="204"/>
      <c r="OFD148" s="199"/>
      <c r="OFE148" s="167"/>
      <c r="OFF148" s="199"/>
      <c r="OFG148" s="200"/>
      <c r="OFH148" s="201"/>
      <c r="OFI148" s="202"/>
      <c r="OFJ148" s="202"/>
      <c r="OFK148" s="202"/>
      <c r="OFL148" s="202"/>
      <c r="OFM148" s="203"/>
      <c r="OFN148" s="204"/>
      <c r="OFO148" s="204"/>
      <c r="OFP148" s="204"/>
      <c r="OFQ148" s="205"/>
      <c r="OFR148" s="206"/>
      <c r="OFS148" s="207"/>
      <c r="OFT148" s="207"/>
      <c r="OFU148" s="208"/>
      <c r="OFV148" s="209"/>
      <c r="OFW148" s="207"/>
      <c r="OFX148" s="210"/>
      <c r="OFY148" s="209"/>
      <c r="OFZ148" s="204"/>
      <c r="OGA148" s="204"/>
      <c r="OGB148" s="204"/>
      <c r="OGC148" s="199"/>
      <c r="OGD148" s="167"/>
      <c r="OGE148" s="199"/>
      <c r="OGF148" s="200"/>
      <c r="OGG148" s="201"/>
      <c r="OGH148" s="202"/>
      <c r="OGI148" s="202"/>
      <c r="OGJ148" s="202"/>
      <c r="OGK148" s="202"/>
      <c r="OGL148" s="203"/>
      <c r="OGM148" s="204"/>
      <c r="OGN148" s="204"/>
      <c r="OGO148" s="204"/>
      <c r="OGP148" s="205"/>
      <c r="OGQ148" s="206"/>
      <c r="OGR148" s="207"/>
      <c r="OGS148" s="207"/>
      <c r="OGT148" s="208"/>
      <c r="OGU148" s="209"/>
      <c r="OGV148" s="207"/>
      <c r="OGW148" s="210"/>
      <c r="OGX148" s="209"/>
      <c r="OGY148" s="204"/>
      <c r="OGZ148" s="204"/>
      <c r="OHA148" s="204"/>
      <c r="OHB148" s="199"/>
      <c r="OHC148" s="167"/>
      <c r="OHD148" s="199"/>
      <c r="OHE148" s="200"/>
      <c r="OHF148" s="201"/>
      <c r="OHG148" s="202"/>
      <c r="OHH148" s="202"/>
      <c r="OHI148" s="202"/>
      <c r="OHJ148" s="202"/>
      <c r="OHK148" s="203"/>
      <c r="OHL148" s="204"/>
      <c r="OHM148" s="204"/>
      <c r="OHN148" s="204"/>
      <c r="OHO148" s="205"/>
      <c r="OHP148" s="206"/>
      <c r="OHQ148" s="207"/>
      <c r="OHR148" s="207"/>
      <c r="OHS148" s="208"/>
      <c r="OHT148" s="209"/>
      <c r="OHU148" s="207"/>
      <c r="OHV148" s="210"/>
      <c r="OHW148" s="209"/>
      <c r="OHX148" s="204"/>
      <c r="OHY148" s="204"/>
      <c r="OHZ148" s="204"/>
      <c r="OIA148" s="199"/>
      <c r="OIB148" s="167"/>
      <c r="OIC148" s="199"/>
      <c r="OID148" s="200"/>
      <c r="OIE148" s="201"/>
      <c r="OIF148" s="202"/>
      <c r="OIG148" s="202"/>
      <c r="OIH148" s="202"/>
      <c r="OII148" s="202"/>
      <c r="OIJ148" s="203"/>
      <c r="OIK148" s="204"/>
      <c r="OIL148" s="204"/>
      <c r="OIM148" s="204"/>
      <c r="OIN148" s="205"/>
      <c r="OIO148" s="206"/>
      <c r="OIP148" s="207"/>
      <c r="OIQ148" s="207"/>
      <c r="OIR148" s="208"/>
      <c r="OIS148" s="209"/>
      <c r="OIT148" s="207"/>
      <c r="OIU148" s="210"/>
      <c r="OIV148" s="209"/>
      <c r="OIW148" s="204"/>
      <c r="OIX148" s="204"/>
      <c r="OIY148" s="204"/>
      <c r="OIZ148" s="199"/>
      <c r="OJA148" s="167"/>
      <c r="OJB148" s="199"/>
      <c r="OJC148" s="200"/>
      <c r="OJD148" s="201"/>
      <c r="OJE148" s="202"/>
      <c r="OJF148" s="202"/>
      <c r="OJG148" s="202"/>
      <c r="OJH148" s="202"/>
      <c r="OJI148" s="203"/>
      <c r="OJJ148" s="204"/>
      <c r="OJK148" s="204"/>
      <c r="OJL148" s="204"/>
      <c r="OJM148" s="205"/>
      <c r="OJN148" s="206"/>
      <c r="OJO148" s="207"/>
      <c r="OJP148" s="207"/>
      <c r="OJQ148" s="208"/>
      <c r="OJR148" s="209"/>
      <c r="OJS148" s="207"/>
      <c r="OJT148" s="210"/>
      <c r="OJU148" s="209"/>
      <c r="OJV148" s="204"/>
      <c r="OJW148" s="204"/>
      <c r="OJX148" s="204"/>
      <c r="OJY148" s="199"/>
      <c r="OJZ148" s="167"/>
      <c r="OKA148" s="199"/>
      <c r="OKB148" s="200"/>
      <c r="OKC148" s="201"/>
      <c r="OKD148" s="202"/>
      <c r="OKE148" s="202"/>
      <c r="OKF148" s="202"/>
      <c r="OKG148" s="202"/>
      <c r="OKH148" s="203"/>
      <c r="OKI148" s="204"/>
      <c r="OKJ148" s="204"/>
      <c r="OKK148" s="204"/>
      <c r="OKL148" s="205"/>
      <c r="OKM148" s="206"/>
      <c r="OKN148" s="207"/>
      <c r="OKO148" s="207"/>
      <c r="OKP148" s="208"/>
      <c r="OKQ148" s="209"/>
      <c r="OKR148" s="207"/>
      <c r="OKS148" s="210"/>
      <c r="OKT148" s="209"/>
      <c r="OKU148" s="204"/>
      <c r="OKV148" s="204"/>
      <c r="OKW148" s="204"/>
      <c r="OKX148" s="199"/>
      <c r="OKY148" s="167"/>
      <c r="OKZ148" s="199"/>
      <c r="OLA148" s="200"/>
      <c r="OLB148" s="201"/>
      <c r="OLC148" s="202"/>
      <c r="OLD148" s="202"/>
      <c r="OLE148" s="202"/>
      <c r="OLF148" s="202"/>
      <c r="OLG148" s="203"/>
      <c r="OLH148" s="204"/>
      <c r="OLI148" s="204"/>
      <c r="OLJ148" s="204"/>
      <c r="OLK148" s="205"/>
      <c r="OLL148" s="206"/>
      <c r="OLM148" s="207"/>
      <c r="OLN148" s="207"/>
      <c r="OLO148" s="208"/>
      <c r="OLP148" s="209"/>
      <c r="OLQ148" s="207"/>
      <c r="OLR148" s="210"/>
      <c r="OLS148" s="209"/>
      <c r="OLT148" s="204"/>
      <c r="OLU148" s="204"/>
      <c r="OLV148" s="204"/>
      <c r="OLW148" s="199"/>
      <c r="OLX148" s="167"/>
      <c r="OLY148" s="199"/>
      <c r="OLZ148" s="200"/>
      <c r="OMA148" s="201"/>
      <c r="OMB148" s="202"/>
      <c r="OMC148" s="202"/>
      <c r="OMD148" s="202"/>
      <c r="OME148" s="202"/>
      <c r="OMF148" s="203"/>
      <c r="OMG148" s="204"/>
      <c r="OMH148" s="204"/>
      <c r="OMI148" s="204"/>
      <c r="OMJ148" s="205"/>
      <c r="OMK148" s="206"/>
      <c r="OML148" s="207"/>
      <c r="OMM148" s="207"/>
      <c r="OMN148" s="208"/>
      <c r="OMO148" s="209"/>
      <c r="OMP148" s="207"/>
      <c r="OMQ148" s="210"/>
      <c r="OMR148" s="209"/>
      <c r="OMS148" s="204"/>
      <c r="OMT148" s="204"/>
      <c r="OMU148" s="204"/>
      <c r="OMV148" s="199"/>
      <c r="OMW148" s="167"/>
      <c r="OMX148" s="199"/>
      <c r="OMY148" s="200"/>
      <c r="OMZ148" s="201"/>
      <c r="ONA148" s="202"/>
      <c r="ONB148" s="202"/>
      <c r="ONC148" s="202"/>
      <c r="OND148" s="202"/>
      <c r="ONE148" s="203"/>
      <c r="ONF148" s="204"/>
      <c r="ONG148" s="204"/>
      <c r="ONH148" s="204"/>
      <c r="ONI148" s="205"/>
      <c r="ONJ148" s="206"/>
      <c r="ONK148" s="207"/>
      <c r="ONL148" s="207"/>
      <c r="ONM148" s="208"/>
      <c r="ONN148" s="209"/>
      <c r="ONO148" s="207"/>
      <c r="ONP148" s="210"/>
      <c r="ONQ148" s="209"/>
      <c r="ONR148" s="204"/>
      <c r="ONS148" s="204"/>
      <c r="ONT148" s="204"/>
      <c r="ONU148" s="199"/>
      <c r="ONV148" s="167"/>
      <c r="ONW148" s="199"/>
      <c r="ONX148" s="200"/>
      <c r="ONY148" s="201"/>
      <c r="ONZ148" s="202"/>
      <c r="OOA148" s="202"/>
      <c r="OOB148" s="202"/>
      <c r="OOC148" s="202"/>
      <c r="OOD148" s="203"/>
      <c r="OOE148" s="204"/>
      <c r="OOF148" s="204"/>
      <c r="OOG148" s="204"/>
      <c r="OOH148" s="205"/>
      <c r="OOI148" s="206"/>
      <c r="OOJ148" s="207"/>
      <c r="OOK148" s="207"/>
      <c r="OOL148" s="208"/>
      <c r="OOM148" s="209"/>
      <c r="OON148" s="207"/>
      <c r="OOO148" s="210"/>
      <c r="OOP148" s="209"/>
      <c r="OOQ148" s="204"/>
      <c r="OOR148" s="204"/>
      <c r="OOS148" s="204"/>
      <c r="OOT148" s="199"/>
      <c r="OOU148" s="167"/>
      <c r="OOV148" s="199"/>
      <c r="OOW148" s="200"/>
      <c r="OOX148" s="201"/>
      <c r="OOY148" s="202"/>
      <c r="OOZ148" s="202"/>
      <c r="OPA148" s="202"/>
      <c r="OPB148" s="202"/>
      <c r="OPC148" s="203"/>
      <c r="OPD148" s="204"/>
      <c r="OPE148" s="204"/>
      <c r="OPF148" s="204"/>
      <c r="OPG148" s="205"/>
      <c r="OPH148" s="206"/>
      <c r="OPI148" s="207"/>
      <c r="OPJ148" s="207"/>
      <c r="OPK148" s="208"/>
      <c r="OPL148" s="209"/>
      <c r="OPM148" s="207"/>
      <c r="OPN148" s="210"/>
      <c r="OPO148" s="209"/>
      <c r="OPP148" s="204"/>
      <c r="OPQ148" s="204"/>
      <c r="OPR148" s="204"/>
      <c r="OPS148" s="199"/>
      <c r="OPT148" s="167"/>
      <c r="OPU148" s="199"/>
      <c r="OPV148" s="200"/>
      <c r="OPW148" s="201"/>
      <c r="OPX148" s="202"/>
      <c r="OPY148" s="202"/>
      <c r="OPZ148" s="202"/>
      <c r="OQA148" s="202"/>
      <c r="OQB148" s="203"/>
      <c r="OQC148" s="204"/>
      <c r="OQD148" s="204"/>
      <c r="OQE148" s="204"/>
      <c r="OQF148" s="205"/>
      <c r="OQG148" s="206"/>
      <c r="OQH148" s="207"/>
      <c r="OQI148" s="207"/>
      <c r="OQJ148" s="208"/>
      <c r="OQK148" s="209"/>
      <c r="OQL148" s="207"/>
      <c r="OQM148" s="210"/>
      <c r="OQN148" s="209"/>
      <c r="OQO148" s="204"/>
      <c r="OQP148" s="204"/>
      <c r="OQQ148" s="204"/>
      <c r="OQR148" s="199"/>
      <c r="OQS148" s="167"/>
      <c r="OQT148" s="199"/>
      <c r="OQU148" s="200"/>
      <c r="OQV148" s="201"/>
      <c r="OQW148" s="202"/>
      <c r="OQX148" s="202"/>
      <c r="OQY148" s="202"/>
      <c r="OQZ148" s="202"/>
      <c r="ORA148" s="203"/>
      <c r="ORB148" s="204"/>
      <c r="ORC148" s="204"/>
      <c r="ORD148" s="204"/>
      <c r="ORE148" s="205"/>
      <c r="ORF148" s="206"/>
      <c r="ORG148" s="207"/>
      <c r="ORH148" s="207"/>
      <c r="ORI148" s="208"/>
      <c r="ORJ148" s="209"/>
      <c r="ORK148" s="207"/>
      <c r="ORL148" s="210"/>
      <c r="ORM148" s="209"/>
      <c r="ORN148" s="204"/>
      <c r="ORO148" s="204"/>
      <c r="ORP148" s="204"/>
      <c r="ORQ148" s="199"/>
      <c r="ORR148" s="167"/>
      <c r="ORS148" s="199"/>
      <c r="ORT148" s="200"/>
      <c r="ORU148" s="201"/>
      <c r="ORV148" s="202"/>
      <c r="ORW148" s="202"/>
      <c r="ORX148" s="202"/>
      <c r="ORY148" s="202"/>
      <c r="ORZ148" s="203"/>
      <c r="OSA148" s="204"/>
      <c r="OSB148" s="204"/>
      <c r="OSC148" s="204"/>
      <c r="OSD148" s="205"/>
      <c r="OSE148" s="206"/>
      <c r="OSF148" s="207"/>
      <c r="OSG148" s="207"/>
      <c r="OSH148" s="208"/>
      <c r="OSI148" s="209"/>
      <c r="OSJ148" s="207"/>
      <c r="OSK148" s="210"/>
      <c r="OSL148" s="209"/>
      <c r="OSM148" s="204"/>
      <c r="OSN148" s="204"/>
      <c r="OSO148" s="204"/>
      <c r="OSP148" s="199"/>
      <c r="OSQ148" s="167"/>
      <c r="OSR148" s="199"/>
      <c r="OSS148" s="200"/>
      <c r="OST148" s="201"/>
      <c r="OSU148" s="202"/>
      <c r="OSV148" s="202"/>
      <c r="OSW148" s="202"/>
      <c r="OSX148" s="202"/>
      <c r="OSY148" s="203"/>
      <c r="OSZ148" s="204"/>
      <c r="OTA148" s="204"/>
      <c r="OTB148" s="204"/>
      <c r="OTC148" s="205"/>
      <c r="OTD148" s="206"/>
      <c r="OTE148" s="207"/>
      <c r="OTF148" s="207"/>
      <c r="OTG148" s="208"/>
      <c r="OTH148" s="209"/>
      <c r="OTI148" s="207"/>
      <c r="OTJ148" s="210"/>
      <c r="OTK148" s="209"/>
      <c r="OTL148" s="204"/>
      <c r="OTM148" s="204"/>
      <c r="OTN148" s="204"/>
      <c r="OTO148" s="199"/>
      <c r="OTP148" s="167"/>
      <c r="OTQ148" s="199"/>
      <c r="OTR148" s="200"/>
      <c r="OTS148" s="201"/>
      <c r="OTT148" s="202"/>
      <c r="OTU148" s="202"/>
      <c r="OTV148" s="202"/>
      <c r="OTW148" s="202"/>
      <c r="OTX148" s="203"/>
      <c r="OTY148" s="204"/>
      <c r="OTZ148" s="204"/>
      <c r="OUA148" s="204"/>
      <c r="OUB148" s="205"/>
      <c r="OUC148" s="206"/>
      <c r="OUD148" s="207"/>
      <c r="OUE148" s="207"/>
      <c r="OUF148" s="208"/>
      <c r="OUG148" s="209"/>
      <c r="OUH148" s="207"/>
      <c r="OUI148" s="210"/>
      <c r="OUJ148" s="209"/>
      <c r="OUK148" s="204"/>
      <c r="OUL148" s="204"/>
      <c r="OUM148" s="204"/>
      <c r="OUN148" s="199"/>
      <c r="OUO148" s="167"/>
      <c r="OUP148" s="199"/>
      <c r="OUQ148" s="200"/>
      <c r="OUR148" s="201"/>
      <c r="OUS148" s="202"/>
      <c r="OUT148" s="202"/>
      <c r="OUU148" s="202"/>
      <c r="OUV148" s="202"/>
      <c r="OUW148" s="203"/>
      <c r="OUX148" s="204"/>
      <c r="OUY148" s="204"/>
      <c r="OUZ148" s="204"/>
      <c r="OVA148" s="205"/>
      <c r="OVB148" s="206"/>
      <c r="OVC148" s="207"/>
      <c r="OVD148" s="207"/>
      <c r="OVE148" s="208"/>
      <c r="OVF148" s="209"/>
      <c r="OVG148" s="207"/>
      <c r="OVH148" s="210"/>
      <c r="OVI148" s="209"/>
      <c r="OVJ148" s="204"/>
      <c r="OVK148" s="204"/>
      <c r="OVL148" s="204"/>
      <c r="OVM148" s="199"/>
      <c r="OVN148" s="167"/>
      <c r="OVO148" s="199"/>
      <c r="OVP148" s="200"/>
      <c r="OVQ148" s="201"/>
      <c r="OVR148" s="202"/>
      <c r="OVS148" s="202"/>
      <c r="OVT148" s="202"/>
      <c r="OVU148" s="202"/>
      <c r="OVV148" s="203"/>
      <c r="OVW148" s="204"/>
      <c r="OVX148" s="204"/>
      <c r="OVY148" s="204"/>
      <c r="OVZ148" s="205"/>
      <c r="OWA148" s="206"/>
      <c r="OWB148" s="207"/>
      <c r="OWC148" s="207"/>
      <c r="OWD148" s="208"/>
      <c r="OWE148" s="209"/>
      <c r="OWF148" s="207"/>
      <c r="OWG148" s="210"/>
      <c r="OWH148" s="209"/>
      <c r="OWI148" s="204"/>
      <c r="OWJ148" s="204"/>
      <c r="OWK148" s="204"/>
      <c r="OWL148" s="199"/>
      <c r="OWM148" s="167"/>
      <c r="OWN148" s="199"/>
      <c r="OWO148" s="200"/>
      <c r="OWP148" s="201"/>
      <c r="OWQ148" s="202"/>
      <c r="OWR148" s="202"/>
      <c r="OWS148" s="202"/>
      <c r="OWT148" s="202"/>
      <c r="OWU148" s="203"/>
      <c r="OWV148" s="204"/>
      <c r="OWW148" s="204"/>
      <c r="OWX148" s="204"/>
      <c r="OWY148" s="205"/>
      <c r="OWZ148" s="206"/>
      <c r="OXA148" s="207"/>
      <c r="OXB148" s="207"/>
      <c r="OXC148" s="208"/>
      <c r="OXD148" s="209"/>
      <c r="OXE148" s="207"/>
      <c r="OXF148" s="210"/>
      <c r="OXG148" s="209"/>
      <c r="OXH148" s="204"/>
      <c r="OXI148" s="204"/>
      <c r="OXJ148" s="204"/>
      <c r="OXK148" s="199"/>
      <c r="OXL148" s="167"/>
      <c r="OXM148" s="199"/>
      <c r="OXN148" s="200"/>
      <c r="OXO148" s="201"/>
      <c r="OXP148" s="202"/>
      <c r="OXQ148" s="202"/>
      <c r="OXR148" s="202"/>
      <c r="OXS148" s="202"/>
      <c r="OXT148" s="203"/>
      <c r="OXU148" s="204"/>
      <c r="OXV148" s="204"/>
      <c r="OXW148" s="204"/>
      <c r="OXX148" s="205"/>
      <c r="OXY148" s="206"/>
      <c r="OXZ148" s="207"/>
      <c r="OYA148" s="207"/>
      <c r="OYB148" s="208"/>
      <c r="OYC148" s="209"/>
      <c r="OYD148" s="207"/>
      <c r="OYE148" s="210"/>
      <c r="OYF148" s="209"/>
      <c r="OYG148" s="204"/>
      <c r="OYH148" s="204"/>
      <c r="OYI148" s="204"/>
      <c r="OYJ148" s="199"/>
      <c r="OYK148" s="167"/>
      <c r="OYL148" s="199"/>
      <c r="OYM148" s="200"/>
      <c r="OYN148" s="201"/>
      <c r="OYO148" s="202"/>
      <c r="OYP148" s="202"/>
      <c r="OYQ148" s="202"/>
      <c r="OYR148" s="202"/>
      <c r="OYS148" s="203"/>
      <c r="OYT148" s="204"/>
      <c r="OYU148" s="204"/>
      <c r="OYV148" s="204"/>
      <c r="OYW148" s="205"/>
      <c r="OYX148" s="206"/>
      <c r="OYY148" s="207"/>
      <c r="OYZ148" s="207"/>
      <c r="OZA148" s="208"/>
      <c r="OZB148" s="209"/>
      <c r="OZC148" s="207"/>
      <c r="OZD148" s="210"/>
      <c r="OZE148" s="209"/>
      <c r="OZF148" s="204"/>
      <c r="OZG148" s="204"/>
      <c r="OZH148" s="204"/>
      <c r="OZI148" s="199"/>
      <c r="OZJ148" s="167"/>
      <c r="OZK148" s="199"/>
      <c r="OZL148" s="200"/>
      <c r="OZM148" s="201"/>
      <c r="OZN148" s="202"/>
      <c r="OZO148" s="202"/>
      <c r="OZP148" s="202"/>
      <c r="OZQ148" s="202"/>
      <c r="OZR148" s="203"/>
      <c r="OZS148" s="204"/>
      <c r="OZT148" s="204"/>
      <c r="OZU148" s="204"/>
      <c r="OZV148" s="205"/>
      <c r="OZW148" s="206"/>
      <c r="OZX148" s="207"/>
      <c r="OZY148" s="207"/>
      <c r="OZZ148" s="208"/>
      <c r="PAA148" s="209"/>
      <c r="PAB148" s="207"/>
      <c r="PAC148" s="210"/>
      <c r="PAD148" s="209"/>
      <c r="PAE148" s="204"/>
      <c r="PAF148" s="204"/>
      <c r="PAG148" s="204"/>
      <c r="PAH148" s="199"/>
      <c r="PAI148" s="167"/>
      <c r="PAJ148" s="199"/>
      <c r="PAK148" s="200"/>
      <c r="PAL148" s="201"/>
      <c r="PAM148" s="202"/>
      <c r="PAN148" s="202"/>
      <c r="PAO148" s="202"/>
      <c r="PAP148" s="202"/>
      <c r="PAQ148" s="203"/>
      <c r="PAR148" s="204"/>
      <c r="PAS148" s="204"/>
      <c r="PAT148" s="204"/>
      <c r="PAU148" s="205"/>
      <c r="PAV148" s="206"/>
      <c r="PAW148" s="207"/>
      <c r="PAX148" s="207"/>
      <c r="PAY148" s="208"/>
      <c r="PAZ148" s="209"/>
      <c r="PBA148" s="207"/>
      <c r="PBB148" s="210"/>
      <c r="PBC148" s="209"/>
      <c r="PBD148" s="204"/>
      <c r="PBE148" s="204"/>
      <c r="PBF148" s="204"/>
      <c r="PBG148" s="199"/>
      <c r="PBH148" s="167"/>
      <c r="PBI148" s="199"/>
      <c r="PBJ148" s="200"/>
      <c r="PBK148" s="201"/>
      <c r="PBL148" s="202"/>
      <c r="PBM148" s="202"/>
      <c r="PBN148" s="202"/>
      <c r="PBO148" s="202"/>
      <c r="PBP148" s="203"/>
      <c r="PBQ148" s="204"/>
      <c r="PBR148" s="204"/>
      <c r="PBS148" s="204"/>
      <c r="PBT148" s="205"/>
      <c r="PBU148" s="206"/>
      <c r="PBV148" s="207"/>
      <c r="PBW148" s="207"/>
      <c r="PBX148" s="208"/>
      <c r="PBY148" s="209"/>
      <c r="PBZ148" s="207"/>
      <c r="PCA148" s="210"/>
      <c r="PCB148" s="209"/>
      <c r="PCC148" s="204"/>
      <c r="PCD148" s="204"/>
      <c r="PCE148" s="204"/>
      <c r="PCF148" s="199"/>
      <c r="PCG148" s="167"/>
      <c r="PCH148" s="199"/>
      <c r="PCI148" s="200"/>
      <c r="PCJ148" s="201"/>
      <c r="PCK148" s="202"/>
      <c r="PCL148" s="202"/>
      <c r="PCM148" s="202"/>
      <c r="PCN148" s="202"/>
      <c r="PCO148" s="203"/>
      <c r="PCP148" s="204"/>
      <c r="PCQ148" s="204"/>
      <c r="PCR148" s="204"/>
      <c r="PCS148" s="205"/>
      <c r="PCT148" s="206"/>
      <c r="PCU148" s="207"/>
      <c r="PCV148" s="207"/>
      <c r="PCW148" s="208"/>
      <c r="PCX148" s="209"/>
      <c r="PCY148" s="207"/>
      <c r="PCZ148" s="210"/>
      <c r="PDA148" s="209"/>
      <c r="PDB148" s="204"/>
      <c r="PDC148" s="204"/>
      <c r="PDD148" s="204"/>
      <c r="PDE148" s="199"/>
      <c r="PDF148" s="167"/>
      <c r="PDG148" s="199"/>
      <c r="PDH148" s="200"/>
      <c r="PDI148" s="201"/>
      <c r="PDJ148" s="202"/>
      <c r="PDK148" s="202"/>
      <c r="PDL148" s="202"/>
      <c r="PDM148" s="202"/>
      <c r="PDN148" s="203"/>
      <c r="PDO148" s="204"/>
      <c r="PDP148" s="204"/>
      <c r="PDQ148" s="204"/>
      <c r="PDR148" s="205"/>
      <c r="PDS148" s="206"/>
      <c r="PDT148" s="207"/>
      <c r="PDU148" s="207"/>
      <c r="PDV148" s="208"/>
      <c r="PDW148" s="209"/>
      <c r="PDX148" s="207"/>
      <c r="PDY148" s="210"/>
      <c r="PDZ148" s="209"/>
      <c r="PEA148" s="204"/>
      <c r="PEB148" s="204"/>
      <c r="PEC148" s="204"/>
      <c r="PED148" s="199"/>
      <c r="PEE148" s="167"/>
      <c r="PEF148" s="199"/>
      <c r="PEG148" s="200"/>
      <c r="PEH148" s="201"/>
      <c r="PEI148" s="202"/>
      <c r="PEJ148" s="202"/>
      <c r="PEK148" s="202"/>
      <c r="PEL148" s="202"/>
      <c r="PEM148" s="203"/>
      <c r="PEN148" s="204"/>
      <c r="PEO148" s="204"/>
      <c r="PEP148" s="204"/>
      <c r="PEQ148" s="205"/>
      <c r="PER148" s="206"/>
      <c r="PES148" s="207"/>
      <c r="PET148" s="207"/>
      <c r="PEU148" s="208"/>
      <c r="PEV148" s="209"/>
      <c r="PEW148" s="207"/>
      <c r="PEX148" s="210"/>
      <c r="PEY148" s="209"/>
      <c r="PEZ148" s="204"/>
      <c r="PFA148" s="204"/>
      <c r="PFB148" s="204"/>
      <c r="PFC148" s="199"/>
      <c r="PFD148" s="167"/>
      <c r="PFE148" s="199"/>
      <c r="PFF148" s="200"/>
      <c r="PFG148" s="201"/>
      <c r="PFH148" s="202"/>
      <c r="PFI148" s="202"/>
      <c r="PFJ148" s="202"/>
      <c r="PFK148" s="202"/>
      <c r="PFL148" s="203"/>
      <c r="PFM148" s="204"/>
      <c r="PFN148" s="204"/>
      <c r="PFO148" s="204"/>
      <c r="PFP148" s="205"/>
      <c r="PFQ148" s="206"/>
      <c r="PFR148" s="207"/>
      <c r="PFS148" s="207"/>
      <c r="PFT148" s="208"/>
      <c r="PFU148" s="209"/>
      <c r="PFV148" s="207"/>
      <c r="PFW148" s="210"/>
      <c r="PFX148" s="209"/>
      <c r="PFY148" s="204"/>
      <c r="PFZ148" s="204"/>
      <c r="PGA148" s="204"/>
      <c r="PGB148" s="199"/>
      <c r="PGC148" s="167"/>
      <c r="PGD148" s="199"/>
      <c r="PGE148" s="200"/>
      <c r="PGF148" s="201"/>
      <c r="PGG148" s="202"/>
      <c r="PGH148" s="202"/>
      <c r="PGI148" s="202"/>
      <c r="PGJ148" s="202"/>
      <c r="PGK148" s="203"/>
      <c r="PGL148" s="204"/>
      <c r="PGM148" s="204"/>
      <c r="PGN148" s="204"/>
      <c r="PGO148" s="205"/>
      <c r="PGP148" s="206"/>
      <c r="PGQ148" s="207"/>
      <c r="PGR148" s="207"/>
      <c r="PGS148" s="208"/>
      <c r="PGT148" s="209"/>
      <c r="PGU148" s="207"/>
      <c r="PGV148" s="210"/>
      <c r="PGW148" s="209"/>
      <c r="PGX148" s="204"/>
      <c r="PGY148" s="204"/>
      <c r="PGZ148" s="204"/>
      <c r="PHA148" s="199"/>
      <c r="PHB148" s="167"/>
      <c r="PHC148" s="199"/>
      <c r="PHD148" s="200"/>
      <c r="PHE148" s="201"/>
      <c r="PHF148" s="202"/>
      <c r="PHG148" s="202"/>
      <c r="PHH148" s="202"/>
      <c r="PHI148" s="202"/>
      <c r="PHJ148" s="203"/>
      <c r="PHK148" s="204"/>
      <c r="PHL148" s="204"/>
      <c r="PHM148" s="204"/>
      <c r="PHN148" s="205"/>
      <c r="PHO148" s="206"/>
      <c r="PHP148" s="207"/>
      <c r="PHQ148" s="207"/>
      <c r="PHR148" s="208"/>
      <c r="PHS148" s="209"/>
      <c r="PHT148" s="207"/>
      <c r="PHU148" s="210"/>
      <c r="PHV148" s="209"/>
      <c r="PHW148" s="204"/>
      <c r="PHX148" s="204"/>
      <c r="PHY148" s="204"/>
      <c r="PHZ148" s="199"/>
      <c r="PIA148" s="167"/>
      <c r="PIB148" s="199"/>
      <c r="PIC148" s="200"/>
      <c r="PID148" s="201"/>
      <c r="PIE148" s="202"/>
      <c r="PIF148" s="202"/>
      <c r="PIG148" s="202"/>
      <c r="PIH148" s="202"/>
      <c r="PII148" s="203"/>
      <c r="PIJ148" s="204"/>
      <c r="PIK148" s="204"/>
      <c r="PIL148" s="204"/>
      <c r="PIM148" s="205"/>
      <c r="PIN148" s="206"/>
      <c r="PIO148" s="207"/>
      <c r="PIP148" s="207"/>
      <c r="PIQ148" s="208"/>
      <c r="PIR148" s="209"/>
      <c r="PIS148" s="207"/>
      <c r="PIT148" s="210"/>
      <c r="PIU148" s="209"/>
      <c r="PIV148" s="204"/>
      <c r="PIW148" s="204"/>
      <c r="PIX148" s="204"/>
      <c r="PIY148" s="199"/>
      <c r="PIZ148" s="167"/>
      <c r="PJA148" s="199"/>
      <c r="PJB148" s="200"/>
      <c r="PJC148" s="201"/>
      <c r="PJD148" s="202"/>
      <c r="PJE148" s="202"/>
      <c r="PJF148" s="202"/>
      <c r="PJG148" s="202"/>
      <c r="PJH148" s="203"/>
      <c r="PJI148" s="204"/>
      <c r="PJJ148" s="204"/>
      <c r="PJK148" s="204"/>
      <c r="PJL148" s="205"/>
      <c r="PJM148" s="206"/>
      <c r="PJN148" s="207"/>
      <c r="PJO148" s="207"/>
      <c r="PJP148" s="208"/>
      <c r="PJQ148" s="209"/>
      <c r="PJR148" s="207"/>
      <c r="PJS148" s="210"/>
      <c r="PJT148" s="209"/>
      <c r="PJU148" s="204"/>
      <c r="PJV148" s="204"/>
      <c r="PJW148" s="204"/>
      <c r="PJX148" s="199"/>
      <c r="PJY148" s="167"/>
      <c r="PJZ148" s="199"/>
      <c r="PKA148" s="200"/>
      <c r="PKB148" s="201"/>
      <c r="PKC148" s="202"/>
      <c r="PKD148" s="202"/>
      <c r="PKE148" s="202"/>
      <c r="PKF148" s="202"/>
      <c r="PKG148" s="203"/>
      <c r="PKH148" s="204"/>
      <c r="PKI148" s="204"/>
      <c r="PKJ148" s="204"/>
      <c r="PKK148" s="205"/>
      <c r="PKL148" s="206"/>
      <c r="PKM148" s="207"/>
      <c r="PKN148" s="207"/>
      <c r="PKO148" s="208"/>
      <c r="PKP148" s="209"/>
      <c r="PKQ148" s="207"/>
      <c r="PKR148" s="210"/>
      <c r="PKS148" s="209"/>
      <c r="PKT148" s="204"/>
      <c r="PKU148" s="204"/>
      <c r="PKV148" s="204"/>
      <c r="PKW148" s="199"/>
      <c r="PKX148" s="167"/>
      <c r="PKY148" s="199"/>
      <c r="PKZ148" s="200"/>
      <c r="PLA148" s="201"/>
      <c r="PLB148" s="202"/>
      <c r="PLC148" s="202"/>
      <c r="PLD148" s="202"/>
      <c r="PLE148" s="202"/>
      <c r="PLF148" s="203"/>
      <c r="PLG148" s="204"/>
      <c r="PLH148" s="204"/>
      <c r="PLI148" s="204"/>
      <c r="PLJ148" s="205"/>
      <c r="PLK148" s="206"/>
      <c r="PLL148" s="207"/>
      <c r="PLM148" s="207"/>
      <c r="PLN148" s="208"/>
      <c r="PLO148" s="209"/>
      <c r="PLP148" s="207"/>
      <c r="PLQ148" s="210"/>
      <c r="PLR148" s="209"/>
      <c r="PLS148" s="204"/>
      <c r="PLT148" s="204"/>
      <c r="PLU148" s="204"/>
      <c r="PLV148" s="199"/>
      <c r="PLW148" s="167"/>
      <c r="PLX148" s="199"/>
      <c r="PLY148" s="200"/>
      <c r="PLZ148" s="201"/>
      <c r="PMA148" s="202"/>
      <c r="PMB148" s="202"/>
      <c r="PMC148" s="202"/>
      <c r="PMD148" s="202"/>
      <c r="PME148" s="203"/>
      <c r="PMF148" s="204"/>
      <c r="PMG148" s="204"/>
      <c r="PMH148" s="204"/>
      <c r="PMI148" s="205"/>
      <c r="PMJ148" s="206"/>
      <c r="PMK148" s="207"/>
      <c r="PML148" s="207"/>
      <c r="PMM148" s="208"/>
      <c r="PMN148" s="209"/>
      <c r="PMO148" s="207"/>
      <c r="PMP148" s="210"/>
      <c r="PMQ148" s="209"/>
      <c r="PMR148" s="204"/>
      <c r="PMS148" s="204"/>
      <c r="PMT148" s="204"/>
      <c r="PMU148" s="199"/>
      <c r="PMV148" s="167"/>
      <c r="PMW148" s="199"/>
      <c r="PMX148" s="200"/>
      <c r="PMY148" s="201"/>
      <c r="PMZ148" s="202"/>
      <c r="PNA148" s="202"/>
      <c r="PNB148" s="202"/>
      <c r="PNC148" s="202"/>
      <c r="PND148" s="203"/>
      <c r="PNE148" s="204"/>
      <c r="PNF148" s="204"/>
      <c r="PNG148" s="204"/>
      <c r="PNH148" s="205"/>
      <c r="PNI148" s="206"/>
      <c r="PNJ148" s="207"/>
      <c r="PNK148" s="207"/>
      <c r="PNL148" s="208"/>
      <c r="PNM148" s="209"/>
      <c r="PNN148" s="207"/>
      <c r="PNO148" s="210"/>
      <c r="PNP148" s="209"/>
      <c r="PNQ148" s="204"/>
      <c r="PNR148" s="204"/>
      <c r="PNS148" s="204"/>
      <c r="PNT148" s="199"/>
      <c r="PNU148" s="167"/>
      <c r="PNV148" s="199"/>
      <c r="PNW148" s="200"/>
      <c r="PNX148" s="201"/>
      <c r="PNY148" s="202"/>
      <c r="PNZ148" s="202"/>
      <c r="POA148" s="202"/>
      <c r="POB148" s="202"/>
      <c r="POC148" s="203"/>
      <c r="POD148" s="204"/>
      <c r="POE148" s="204"/>
      <c r="POF148" s="204"/>
      <c r="POG148" s="205"/>
      <c r="POH148" s="206"/>
      <c r="POI148" s="207"/>
      <c r="POJ148" s="207"/>
      <c r="POK148" s="208"/>
      <c r="POL148" s="209"/>
      <c r="POM148" s="207"/>
      <c r="PON148" s="210"/>
      <c r="POO148" s="209"/>
      <c r="POP148" s="204"/>
      <c r="POQ148" s="204"/>
      <c r="POR148" s="204"/>
      <c r="POS148" s="199"/>
      <c r="POT148" s="167"/>
      <c r="POU148" s="199"/>
      <c r="POV148" s="200"/>
      <c r="POW148" s="201"/>
      <c r="POX148" s="202"/>
      <c r="POY148" s="202"/>
      <c r="POZ148" s="202"/>
      <c r="PPA148" s="202"/>
      <c r="PPB148" s="203"/>
      <c r="PPC148" s="204"/>
      <c r="PPD148" s="204"/>
      <c r="PPE148" s="204"/>
      <c r="PPF148" s="205"/>
      <c r="PPG148" s="206"/>
      <c r="PPH148" s="207"/>
      <c r="PPI148" s="207"/>
      <c r="PPJ148" s="208"/>
      <c r="PPK148" s="209"/>
      <c r="PPL148" s="207"/>
      <c r="PPM148" s="210"/>
      <c r="PPN148" s="209"/>
      <c r="PPO148" s="204"/>
      <c r="PPP148" s="204"/>
      <c r="PPQ148" s="204"/>
      <c r="PPR148" s="199"/>
      <c r="PPS148" s="167"/>
      <c r="PPT148" s="199"/>
      <c r="PPU148" s="200"/>
      <c r="PPV148" s="201"/>
      <c r="PPW148" s="202"/>
      <c r="PPX148" s="202"/>
      <c r="PPY148" s="202"/>
      <c r="PPZ148" s="202"/>
      <c r="PQA148" s="203"/>
      <c r="PQB148" s="204"/>
      <c r="PQC148" s="204"/>
      <c r="PQD148" s="204"/>
      <c r="PQE148" s="205"/>
      <c r="PQF148" s="206"/>
      <c r="PQG148" s="207"/>
      <c r="PQH148" s="207"/>
      <c r="PQI148" s="208"/>
      <c r="PQJ148" s="209"/>
      <c r="PQK148" s="207"/>
      <c r="PQL148" s="210"/>
      <c r="PQM148" s="209"/>
      <c r="PQN148" s="204"/>
      <c r="PQO148" s="204"/>
      <c r="PQP148" s="204"/>
      <c r="PQQ148" s="199"/>
      <c r="PQR148" s="167"/>
      <c r="PQS148" s="199"/>
      <c r="PQT148" s="200"/>
      <c r="PQU148" s="201"/>
      <c r="PQV148" s="202"/>
      <c r="PQW148" s="202"/>
      <c r="PQX148" s="202"/>
      <c r="PQY148" s="202"/>
      <c r="PQZ148" s="203"/>
      <c r="PRA148" s="204"/>
      <c r="PRB148" s="204"/>
      <c r="PRC148" s="204"/>
      <c r="PRD148" s="205"/>
      <c r="PRE148" s="206"/>
      <c r="PRF148" s="207"/>
      <c r="PRG148" s="207"/>
      <c r="PRH148" s="208"/>
      <c r="PRI148" s="209"/>
      <c r="PRJ148" s="207"/>
      <c r="PRK148" s="210"/>
      <c r="PRL148" s="209"/>
      <c r="PRM148" s="204"/>
      <c r="PRN148" s="204"/>
      <c r="PRO148" s="204"/>
      <c r="PRP148" s="199"/>
      <c r="PRQ148" s="167"/>
      <c r="PRR148" s="199"/>
      <c r="PRS148" s="200"/>
      <c r="PRT148" s="201"/>
      <c r="PRU148" s="202"/>
      <c r="PRV148" s="202"/>
      <c r="PRW148" s="202"/>
      <c r="PRX148" s="202"/>
      <c r="PRY148" s="203"/>
      <c r="PRZ148" s="204"/>
      <c r="PSA148" s="204"/>
      <c r="PSB148" s="204"/>
      <c r="PSC148" s="205"/>
      <c r="PSD148" s="206"/>
      <c r="PSE148" s="207"/>
      <c r="PSF148" s="207"/>
      <c r="PSG148" s="208"/>
      <c r="PSH148" s="209"/>
      <c r="PSI148" s="207"/>
      <c r="PSJ148" s="210"/>
      <c r="PSK148" s="209"/>
      <c r="PSL148" s="204"/>
      <c r="PSM148" s="204"/>
      <c r="PSN148" s="204"/>
      <c r="PSO148" s="199"/>
      <c r="PSP148" s="167"/>
      <c r="PSQ148" s="199"/>
      <c r="PSR148" s="200"/>
      <c r="PSS148" s="201"/>
      <c r="PST148" s="202"/>
      <c r="PSU148" s="202"/>
      <c r="PSV148" s="202"/>
      <c r="PSW148" s="202"/>
      <c r="PSX148" s="203"/>
      <c r="PSY148" s="204"/>
      <c r="PSZ148" s="204"/>
      <c r="PTA148" s="204"/>
      <c r="PTB148" s="205"/>
      <c r="PTC148" s="206"/>
      <c r="PTD148" s="207"/>
      <c r="PTE148" s="207"/>
      <c r="PTF148" s="208"/>
      <c r="PTG148" s="209"/>
      <c r="PTH148" s="207"/>
      <c r="PTI148" s="210"/>
      <c r="PTJ148" s="209"/>
      <c r="PTK148" s="204"/>
      <c r="PTL148" s="204"/>
      <c r="PTM148" s="204"/>
      <c r="PTN148" s="199"/>
      <c r="PTO148" s="167"/>
      <c r="PTP148" s="199"/>
      <c r="PTQ148" s="200"/>
      <c r="PTR148" s="201"/>
      <c r="PTS148" s="202"/>
      <c r="PTT148" s="202"/>
      <c r="PTU148" s="202"/>
      <c r="PTV148" s="202"/>
      <c r="PTW148" s="203"/>
      <c r="PTX148" s="204"/>
      <c r="PTY148" s="204"/>
      <c r="PTZ148" s="204"/>
      <c r="PUA148" s="205"/>
      <c r="PUB148" s="206"/>
      <c r="PUC148" s="207"/>
      <c r="PUD148" s="207"/>
      <c r="PUE148" s="208"/>
      <c r="PUF148" s="209"/>
      <c r="PUG148" s="207"/>
      <c r="PUH148" s="210"/>
      <c r="PUI148" s="209"/>
      <c r="PUJ148" s="204"/>
      <c r="PUK148" s="204"/>
      <c r="PUL148" s="204"/>
      <c r="PUM148" s="199"/>
      <c r="PUN148" s="167"/>
      <c r="PUO148" s="199"/>
      <c r="PUP148" s="200"/>
      <c r="PUQ148" s="201"/>
      <c r="PUR148" s="202"/>
      <c r="PUS148" s="202"/>
      <c r="PUT148" s="202"/>
      <c r="PUU148" s="202"/>
      <c r="PUV148" s="203"/>
      <c r="PUW148" s="204"/>
      <c r="PUX148" s="204"/>
      <c r="PUY148" s="204"/>
      <c r="PUZ148" s="205"/>
      <c r="PVA148" s="206"/>
      <c r="PVB148" s="207"/>
      <c r="PVC148" s="207"/>
      <c r="PVD148" s="208"/>
      <c r="PVE148" s="209"/>
      <c r="PVF148" s="207"/>
      <c r="PVG148" s="210"/>
      <c r="PVH148" s="209"/>
      <c r="PVI148" s="204"/>
      <c r="PVJ148" s="204"/>
      <c r="PVK148" s="204"/>
      <c r="PVL148" s="199"/>
      <c r="PVM148" s="167"/>
      <c r="PVN148" s="199"/>
      <c r="PVO148" s="200"/>
      <c r="PVP148" s="201"/>
      <c r="PVQ148" s="202"/>
      <c r="PVR148" s="202"/>
      <c r="PVS148" s="202"/>
      <c r="PVT148" s="202"/>
      <c r="PVU148" s="203"/>
      <c r="PVV148" s="204"/>
      <c r="PVW148" s="204"/>
      <c r="PVX148" s="204"/>
      <c r="PVY148" s="205"/>
      <c r="PVZ148" s="206"/>
      <c r="PWA148" s="207"/>
      <c r="PWB148" s="207"/>
      <c r="PWC148" s="208"/>
      <c r="PWD148" s="209"/>
      <c r="PWE148" s="207"/>
      <c r="PWF148" s="210"/>
      <c r="PWG148" s="209"/>
      <c r="PWH148" s="204"/>
      <c r="PWI148" s="204"/>
      <c r="PWJ148" s="204"/>
      <c r="PWK148" s="199"/>
      <c r="PWL148" s="167"/>
      <c r="PWM148" s="199"/>
      <c r="PWN148" s="200"/>
      <c r="PWO148" s="201"/>
      <c r="PWP148" s="202"/>
      <c r="PWQ148" s="202"/>
      <c r="PWR148" s="202"/>
      <c r="PWS148" s="202"/>
      <c r="PWT148" s="203"/>
      <c r="PWU148" s="204"/>
      <c r="PWV148" s="204"/>
      <c r="PWW148" s="204"/>
      <c r="PWX148" s="205"/>
      <c r="PWY148" s="206"/>
      <c r="PWZ148" s="207"/>
      <c r="PXA148" s="207"/>
      <c r="PXB148" s="208"/>
      <c r="PXC148" s="209"/>
      <c r="PXD148" s="207"/>
      <c r="PXE148" s="210"/>
      <c r="PXF148" s="209"/>
      <c r="PXG148" s="204"/>
      <c r="PXH148" s="204"/>
      <c r="PXI148" s="204"/>
      <c r="PXJ148" s="199"/>
      <c r="PXK148" s="167"/>
      <c r="PXL148" s="199"/>
      <c r="PXM148" s="200"/>
      <c r="PXN148" s="201"/>
      <c r="PXO148" s="202"/>
      <c r="PXP148" s="202"/>
      <c r="PXQ148" s="202"/>
      <c r="PXR148" s="202"/>
      <c r="PXS148" s="203"/>
      <c r="PXT148" s="204"/>
      <c r="PXU148" s="204"/>
      <c r="PXV148" s="204"/>
      <c r="PXW148" s="205"/>
      <c r="PXX148" s="206"/>
      <c r="PXY148" s="207"/>
      <c r="PXZ148" s="207"/>
      <c r="PYA148" s="208"/>
      <c r="PYB148" s="209"/>
      <c r="PYC148" s="207"/>
      <c r="PYD148" s="210"/>
      <c r="PYE148" s="209"/>
      <c r="PYF148" s="204"/>
      <c r="PYG148" s="204"/>
      <c r="PYH148" s="204"/>
      <c r="PYI148" s="199"/>
      <c r="PYJ148" s="167"/>
      <c r="PYK148" s="199"/>
      <c r="PYL148" s="200"/>
      <c r="PYM148" s="201"/>
      <c r="PYN148" s="202"/>
      <c r="PYO148" s="202"/>
      <c r="PYP148" s="202"/>
      <c r="PYQ148" s="202"/>
      <c r="PYR148" s="203"/>
      <c r="PYS148" s="204"/>
      <c r="PYT148" s="204"/>
      <c r="PYU148" s="204"/>
      <c r="PYV148" s="205"/>
      <c r="PYW148" s="206"/>
      <c r="PYX148" s="207"/>
      <c r="PYY148" s="207"/>
      <c r="PYZ148" s="208"/>
      <c r="PZA148" s="209"/>
      <c r="PZB148" s="207"/>
      <c r="PZC148" s="210"/>
      <c r="PZD148" s="209"/>
      <c r="PZE148" s="204"/>
      <c r="PZF148" s="204"/>
      <c r="PZG148" s="204"/>
      <c r="PZH148" s="199"/>
      <c r="PZI148" s="167"/>
      <c r="PZJ148" s="199"/>
      <c r="PZK148" s="200"/>
      <c r="PZL148" s="201"/>
      <c r="PZM148" s="202"/>
      <c r="PZN148" s="202"/>
      <c r="PZO148" s="202"/>
      <c r="PZP148" s="202"/>
      <c r="PZQ148" s="203"/>
      <c r="PZR148" s="204"/>
      <c r="PZS148" s="204"/>
      <c r="PZT148" s="204"/>
      <c r="PZU148" s="205"/>
      <c r="PZV148" s="206"/>
      <c r="PZW148" s="207"/>
      <c r="PZX148" s="207"/>
      <c r="PZY148" s="208"/>
      <c r="PZZ148" s="209"/>
      <c r="QAA148" s="207"/>
      <c r="QAB148" s="210"/>
      <c r="QAC148" s="209"/>
      <c r="QAD148" s="204"/>
      <c r="QAE148" s="204"/>
      <c r="QAF148" s="204"/>
      <c r="QAG148" s="199"/>
      <c r="QAH148" s="167"/>
      <c r="QAI148" s="199"/>
      <c r="QAJ148" s="200"/>
      <c r="QAK148" s="201"/>
      <c r="QAL148" s="202"/>
      <c r="QAM148" s="202"/>
      <c r="QAN148" s="202"/>
      <c r="QAO148" s="202"/>
      <c r="QAP148" s="203"/>
      <c r="QAQ148" s="204"/>
      <c r="QAR148" s="204"/>
      <c r="QAS148" s="204"/>
      <c r="QAT148" s="205"/>
      <c r="QAU148" s="206"/>
      <c r="QAV148" s="207"/>
      <c r="QAW148" s="207"/>
      <c r="QAX148" s="208"/>
      <c r="QAY148" s="209"/>
      <c r="QAZ148" s="207"/>
      <c r="QBA148" s="210"/>
      <c r="QBB148" s="209"/>
      <c r="QBC148" s="204"/>
      <c r="QBD148" s="204"/>
      <c r="QBE148" s="204"/>
      <c r="QBF148" s="199"/>
      <c r="QBG148" s="167"/>
      <c r="QBH148" s="199"/>
      <c r="QBI148" s="200"/>
      <c r="QBJ148" s="201"/>
      <c r="QBK148" s="202"/>
      <c r="QBL148" s="202"/>
      <c r="QBM148" s="202"/>
      <c r="QBN148" s="202"/>
      <c r="QBO148" s="203"/>
      <c r="QBP148" s="204"/>
      <c r="QBQ148" s="204"/>
      <c r="QBR148" s="204"/>
      <c r="QBS148" s="205"/>
      <c r="QBT148" s="206"/>
      <c r="QBU148" s="207"/>
      <c r="QBV148" s="207"/>
      <c r="QBW148" s="208"/>
      <c r="QBX148" s="209"/>
      <c r="QBY148" s="207"/>
      <c r="QBZ148" s="210"/>
      <c r="QCA148" s="209"/>
      <c r="QCB148" s="204"/>
      <c r="QCC148" s="204"/>
      <c r="QCD148" s="204"/>
      <c r="QCE148" s="199"/>
      <c r="QCF148" s="167"/>
      <c r="QCG148" s="199"/>
      <c r="QCH148" s="200"/>
      <c r="QCI148" s="201"/>
      <c r="QCJ148" s="202"/>
      <c r="QCK148" s="202"/>
      <c r="QCL148" s="202"/>
      <c r="QCM148" s="202"/>
      <c r="QCN148" s="203"/>
      <c r="QCO148" s="204"/>
      <c r="QCP148" s="204"/>
      <c r="QCQ148" s="204"/>
      <c r="QCR148" s="205"/>
      <c r="QCS148" s="206"/>
      <c r="QCT148" s="207"/>
      <c r="QCU148" s="207"/>
      <c r="QCV148" s="208"/>
      <c r="QCW148" s="209"/>
      <c r="QCX148" s="207"/>
      <c r="QCY148" s="210"/>
      <c r="QCZ148" s="209"/>
      <c r="QDA148" s="204"/>
      <c r="QDB148" s="204"/>
      <c r="QDC148" s="204"/>
      <c r="QDD148" s="199"/>
      <c r="QDE148" s="167"/>
      <c r="QDF148" s="199"/>
      <c r="QDG148" s="200"/>
      <c r="QDH148" s="201"/>
      <c r="QDI148" s="202"/>
      <c r="QDJ148" s="202"/>
      <c r="QDK148" s="202"/>
      <c r="QDL148" s="202"/>
      <c r="QDM148" s="203"/>
      <c r="QDN148" s="204"/>
      <c r="QDO148" s="204"/>
      <c r="QDP148" s="204"/>
      <c r="QDQ148" s="205"/>
      <c r="QDR148" s="206"/>
      <c r="QDS148" s="207"/>
      <c r="QDT148" s="207"/>
      <c r="QDU148" s="208"/>
      <c r="QDV148" s="209"/>
      <c r="QDW148" s="207"/>
      <c r="QDX148" s="210"/>
      <c r="QDY148" s="209"/>
      <c r="QDZ148" s="204"/>
      <c r="QEA148" s="204"/>
      <c r="QEB148" s="204"/>
      <c r="QEC148" s="199"/>
      <c r="QED148" s="167"/>
      <c r="QEE148" s="199"/>
      <c r="QEF148" s="200"/>
      <c r="QEG148" s="201"/>
      <c r="QEH148" s="202"/>
      <c r="QEI148" s="202"/>
      <c r="QEJ148" s="202"/>
      <c r="QEK148" s="202"/>
      <c r="QEL148" s="203"/>
      <c r="QEM148" s="204"/>
      <c r="QEN148" s="204"/>
      <c r="QEO148" s="204"/>
      <c r="QEP148" s="205"/>
      <c r="QEQ148" s="206"/>
      <c r="QER148" s="207"/>
      <c r="QES148" s="207"/>
      <c r="QET148" s="208"/>
      <c r="QEU148" s="209"/>
      <c r="QEV148" s="207"/>
      <c r="QEW148" s="210"/>
      <c r="QEX148" s="209"/>
      <c r="QEY148" s="204"/>
      <c r="QEZ148" s="204"/>
      <c r="QFA148" s="204"/>
      <c r="QFB148" s="199"/>
      <c r="QFC148" s="167"/>
      <c r="QFD148" s="199"/>
      <c r="QFE148" s="200"/>
      <c r="QFF148" s="201"/>
      <c r="QFG148" s="202"/>
      <c r="QFH148" s="202"/>
      <c r="QFI148" s="202"/>
      <c r="QFJ148" s="202"/>
      <c r="QFK148" s="203"/>
      <c r="QFL148" s="204"/>
      <c r="QFM148" s="204"/>
      <c r="QFN148" s="204"/>
      <c r="QFO148" s="205"/>
      <c r="QFP148" s="206"/>
      <c r="QFQ148" s="207"/>
      <c r="QFR148" s="207"/>
      <c r="QFS148" s="208"/>
      <c r="QFT148" s="209"/>
      <c r="QFU148" s="207"/>
      <c r="QFV148" s="210"/>
      <c r="QFW148" s="209"/>
      <c r="QFX148" s="204"/>
      <c r="QFY148" s="204"/>
      <c r="QFZ148" s="204"/>
      <c r="QGA148" s="199"/>
      <c r="QGB148" s="167"/>
      <c r="QGC148" s="199"/>
      <c r="QGD148" s="200"/>
      <c r="QGE148" s="201"/>
      <c r="QGF148" s="202"/>
      <c r="QGG148" s="202"/>
      <c r="QGH148" s="202"/>
      <c r="QGI148" s="202"/>
      <c r="QGJ148" s="203"/>
      <c r="QGK148" s="204"/>
      <c r="QGL148" s="204"/>
      <c r="QGM148" s="204"/>
      <c r="QGN148" s="205"/>
      <c r="QGO148" s="206"/>
      <c r="QGP148" s="207"/>
      <c r="QGQ148" s="207"/>
      <c r="QGR148" s="208"/>
      <c r="QGS148" s="209"/>
      <c r="QGT148" s="207"/>
      <c r="QGU148" s="210"/>
      <c r="QGV148" s="209"/>
      <c r="QGW148" s="204"/>
      <c r="QGX148" s="204"/>
      <c r="QGY148" s="204"/>
      <c r="QGZ148" s="199"/>
      <c r="QHA148" s="167"/>
      <c r="QHB148" s="199"/>
      <c r="QHC148" s="200"/>
      <c r="QHD148" s="201"/>
      <c r="QHE148" s="202"/>
      <c r="QHF148" s="202"/>
      <c r="QHG148" s="202"/>
      <c r="QHH148" s="202"/>
      <c r="QHI148" s="203"/>
      <c r="QHJ148" s="204"/>
      <c r="QHK148" s="204"/>
      <c r="QHL148" s="204"/>
      <c r="QHM148" s="205"/>
      <c r="QHN148" s="206"/>
      <c r="QHO148" s="207"/>
      <c r="QHP148" s="207"/>
      <c r="QHQ148" s="208"/>
      <c r="QHR148" s="209"/>
      <c r="QHS148" s="207"/>
      <c r="QHT148" s="210"/>
      <c r="QHU148" s="209"/>
      <c r="QHV148" s="204"/>
      <c r="QHW148" s="204"/>
      <c r="QHX148" s="204"/>
      <c r="QHY148" s="199"/>
      <c r="QHZ148" s="167"/>
      <c r="QIA148" s="199"/>
      <c r="QIB148" s="200"/>
      <c r="QIC148" s="201"/>
      <c r="QID148" s="202"/>
      <c r="QIE148" s="202"/>
      <c r="QIF148" s="202"/>
      <c r="QIG148" s="202"/>
      <c r="QIH148" s="203"/>
      <c r="QII148" s="204"/>
      <c r="QIJ148" s="204"/>
      <c r="QIK148" s="204"/>
      <c r="QIL148" s="205"/>
      <c r="QIM148" s="206"/>
      <c r="QIN148" s="207"/>
      <c r="QIO148" s="207"/>
      <c r="QIP148" s="208"/>
      <c r="QIQ148" s="209"/>
      <c r="QIR148" s="207"/>
      <c r="QIS148" s="210"/>
      <c r="QIT148" s="209"/>
      <c r="QIU148" s="204"/>
      <c r="QIV148" s="204"/>
      <c r="QIW148" s="204"/>
      <c r="QIX148" s="199"/>
      <c r="QIY148" s="167"/>
      <c r="QIZ148" s="199"/>
      <c r="QJA148" s="200"/>
      <c r="QJB148" s="201"/>
      <c r="QJC148" s="202"/>
      <c r="QJD148" s="202"/>
      <c r="QJE148" s="202"/>
      <c r="QJF148" s="202"/>
      <c r="QJG148" s="203"/>
      <c r="QJH148" s="204"/>
      <c r="QJI148" s="204"/>
      <c r="QJJ148" s="204"/>
      <c r="QJK148" s="205"/>
      <c r="QJL148" s="206"/>
      <c r="QJM148" s="207"/>
      <c r="QJN148" s="207"/>
      <c r="QJO148" s="208"/>
      <c r="QJP148" s="209"/>
      <c r="QJQ148" s="207"/>
      <c r="QJR148" s="210"/>
      <c r="QJS148" s="209"/>
      <c r="QJT148" s="204"/>
      <c r="QJU148" s="204"/>
      <c r="QJV148" s="204"/>
      <c r="QJW148" s="199"/>
      <c r="QJX148" s="167"/>
      <c r="QJY148" s="199"/>
      <c r="QJZ148" s="200"/>
      <c r="QKA148" s="201"/>
      <c r="QKB148" s="202"/>
      <c r="QKC148" s="202"/>
      <c r="QKD148" s="202"/>
      <c r="QKE148" s="202"/>
      <c r="QKF148" s="203"/>
      <c r="QKG148" s="204"/>
      <c r="QKH148" s="204"/>
      <c r="QKI148" s="204"/>
      <c r="QKJ148" s="205"/>
      <c r="QKK148" s="206"/>
      <c r="QKL148" s="207"/>
      <c r="QKM148" s="207"/>
      <c r="QKN148" s="208"/>
      <c r="QKO148" s="209"/>
      <c r="QKP148" s="207"/>
      <c r="QKQ148" s="210"/>
      <c r="QKR148" s="209"/>
      <c r="QKS148" s="204"/>
      <c r="QKT148" s="204"/>
      <c r="QKU148" s="204"/>
      <c r="QKV148" s="199"/>
      <c r="QKW148" s="167"/>
      <c r="QKX148" s="199"/>
      <c r="QKY148" s="200"/>
      <c r="QKZ148" s="201"/>
      <c r="QLA148" s="202"/>
      <c r="QLB148" s="202"/>
      <c r="QLC148" s="202"/>
      <c r="QLD148" s="202"/>
      <c r="QLE148" s="203"/>
      <c r="QLF148" s="204"/>
      <c r="QLG148" s="204"/>
      <c r="QLH148" s="204"/>
      <c r="QLI148" s="205"/>
      <c r="QLJ148" s="206"/>
      <c r="QLK148" s="207"/>
      <c r="QLL148" s="207"/>
      <c r="QLM148" s="208"/>
      <c r="QLN148" s="209"/>
      <c r="QLO148" s="207"/>
      <c r="QLP148" s="210"/>
      <c r="QLQ148" s="209"/>
      <c r="QLR148" s="204"/>
      <c r="QLS148" s="204"/>
      <c r="QLT148" s="204"/>
      <c r="QLU148" s="199"/>
      <c r="QLV148" s="167"/>
      <c r="QLW148" s="199"/>
      <c r="QLX148" s="200"/>
      <c r="QLY148" s="201"/>
      <c r="QLZ148" s="202"/>
      <c r="QMA148" s="202"/>
      <c r="QMB148" s="202"/>
      <c r="QMC148" s="202"/>
      <c r="QMD148" s="203"/>
      <c r="QME148" s="204"/>
      <c r="QMF148" s="204"/>
      <c r="QMG148" s="204"/>
      <c r="QMH148" s="205"/>
      <c r="QMI148" s="206"/>
      <c r="QMJ148" s="207"/>
      <c r="QMK148" s="207"/>
      <c r="QML148" s="208"/>
      <c r="QMM148" s="209"/>
      <c r="QMN148" s="207"/>
      <c r="QMO148" s="210"/>
      <c r="QMP148" s="209"/>
      <c r="QMQ148" s="204"/>
      <c r="QMR148" s="204"/>
      <c r="QMS148" s="204"/>
      <c r="QMT148" s="199"/>
      <c r="QMU148" s="167"/>
      <c r="QMV148" s="199"/>
      <c r="QMW148" s="200"/>
      <c r="QMX148" s="201"/>
      <c r="QMY148" s="202"/>
      <c r="QMZ148" s="202"/>
      <c r="QNA148" s="202"/>
      <c r="QNB148" s="202"/>
      <c r="QNC148" s="203"/>
      <c r="QND148" s="204"/>
      <c r="QNE148" s="204"/>
      <c r="QNF148" s="204"/>
      <c r="QNG148" s="205"/>
      <c r="QNH148" s="206"/>
      <c r="QNI148" s="207"/>
      <c r="QNJ148" s="207"/>
      <c r="QNK148" s="208"/>
      <c r="QNL148" s="209"/>
      <c r="QNM148" s="207"/>
      <c r="QNN148" s="210"/>
      <c r="QNO148" s="209"/>
      <c r="QNP148" s="204"/>
      <c r="QNQ148" s="204"/>
      <c r="QNR148" s="204"/>
      <c r="QNS148" s="199"/>
      <c r="QNT148" s="167"/>
      <c r="QNU148" s="199"/>
      <c r="QNV148" s="200"/>
      <c r="QNW148" s="201"/>
      <c r="QNX148" s="202"/>
      <c r="QNY148" s="202"/>
      <c r="QNZ148" s="202"/>
      <c r="QOA148" s="202"/>
      <c r="QOB148" s="203"/>
      <c r="QOC148" s="204"/>
      <c r="QOD148" s="204"/>
      <c r="QOE148" s="204"/>
      <c r="QOF148" s="205"/>
      <c r="QOG148" s="206"/>
      <c r="QOH148" s="207"/>
      <c r="QOI148" s="207"/>
      <c r="QOJ148" s="208"/>
      <c r="QOK148" s="209"/>
      <c r="QOL148" s="207"/>
      <c r="QOM148" s="210"/>
      <c r="QON148" s="209"/>
      <c r="QOO148" s="204"/>
      <c r="QOP148" s="204"/>
      <c r="QOQ148" s="204"/>
      <c r="QOR148" s="199"/>
      <c r="QOS148" s="167"/>
      <c r="QOT148" s="199"/>
      <c r="QOU148" s="200"/>
      <c r="QOV148" s="201"/>
      <c r="QOW148" s="202"/>
      <c r="QOX148" s="202"/>
      <c r="QOY148" s="202"/>
      <c r="QOZ148" s="202"/>
      <c r="QPA148" s="203"/>
      <c r="QPB148" s="204"/>
      <c r="QPC148" s="204"/>
      <c r="QPD148" s="204"/>
      <c r="QPE148" s="205"/>
      <c r="QPF148" s="206"/>
      <c r="QPG148" s="207"/>
      <c r="QPH148" s="207"/>
      <c r="QPI148" s="208"/>
      <c r="QPJ148" s="209"/>
      <c r="QPK148" s="207"/>
      <c r="QPL148" s="210"/>
      <c r="QPM148" s="209"/>
      <c r="QPN148" s="204"/>
      <c r="QPO148" s="204"/>
      <c r="QPP148" s="204"/>
      <c r="QPQ148" s="199"/>
      <c r="QPR148" s="167"/>
      <c r="QPS148" s="199"/>
      <c r="QPT148" s="200"/>
      <c r="QPU148" s="201"/>
      <c r="QPV148" s="202"/>
      <c r="QPW148" s="202"/>
      <c r="QPX148" s="202"/>
      <c r="QPY148" s="202"/>
      <c r="QPZ148" s="203"/>
      <c r="QQA148" s="204"/>
      <c r="QQB148" s="204"/>
      <c r="QQC148" s="204"/>
      <c r="QQD148" s="205"/>
      <c r="QQE148" s="206"/>
      <c r="QQF148" s="207"/>
      <c r="QQG148" s="207"/>
      <c r="QQH148" s="208"/>
      <c r="QQI148" s="209"/>
      <c r="QQJ148" s="207"/>
      <c r="QQK148" s="210"/>
      <c r="QQL148" s="209"/>
      <c r="QQM148" s="204"/>
      <c r="QQN148" s="204"/>
      <c r="QQO148" s="204"/>
      <c r="QQP148" s="199"/>
      <c r="QQQ148" s="167"/>
      <c r="QQR148" s="199"/>
      <c r="QQS148" s="200"/>
      <c r="QQT148" s="201"/>
      <c r="QQU148" s="202"/>
      <c r="QQV148" s="202"/>
      <c r="QQW148" s="202"/>
      <c r="QQX148" s="202"/>
      <c r="QQY148" s="203"/>
      <c r="QQZ148" s="204"/>
      <c r="QRA148" s="204"/>
      <c r="QRB148" s="204"/>
      <c r="QRC148" s="205"/>
      <c r="QRD148" s="206"/>
      <c r="QRE148" s="207"/>
      <c r="QRF148" s="207"/>
      <c r="QRG148" s="208"/>
      <c r="QRH148" s="209"/>
      <c r="QRI148" s="207"/>
      <c r="QRJ148" s="210"/>
      <c r="QRK148" s="209"/>
      <c r="QRL148" s="204"/>
      <c r="QRM148" s="204"/>
      <c r="QRN148" s="204"/>
      <c r="QRO148" s="199"/>
      <c r="QRP148" s="167"/>
      <c r="QRQ148" s="199"/>
      <c r="QRR148" s="200"/>
      <c r="QRS148" s="201"/>
      <c r="QRT148" s="202"/>
      <c r="QRU148" s="202"/>
      <c r="QRV148" s="202"/>
      <c r="QRW148" s="202"/>
      <c r="QRX148" s="203"/>
      <c r="QRY148" s="204"/>
      <c r="QRZ148" s="204"/>
      <c r="QSA148" s="204"/>
      <c r="QSB148" s="205"/>
      <c r="QSC148" s="206"/>
      <c r="QSD148" s="207"/>
      <c r="QSE148" s="207"/>
      <c r="QSF148" s="208"/>
      <c r="QSG148" s="209"/>
      <c r="QSH148" s="207"/>
      <c r="QSI148" s="210"/>
      <c r="QSJ148" s="209"/>
      <c r="QSK148" s="204"/>
      <c r="QSL148" s="204"/>
      <c r="QSM148" s="204"/>
      <c r="QSN148" s="199"/>
      <c r="QSO148" s="167"/>
      <c r="QSP148" s="199"/>
      <c r="QSQ148" s="200"/>
      <c r="QSR148" s="201"/>
      <c r="QSS148" s="202"/>
      <c r="QST148" s="202"/>
      <c r="QSU148" s="202"/>
      <c r="QSV148" s="202"/>
      <c r="QSW148" s="203"/>
      <c r="QSX148" s="204"/>
      <c r="QSY148" s="204"/>
      <c r="QSZ148" s="204"/>
      <c r="QTA148" s="205"/>
      <c r="QTB148" s="206"/>
      <c r="QTC148" s="207"/>
      <c r="QTD148" s="207"/>
      <c r="QTE148" s="208"/>
      <c r="QTF148" s="209"/>
      <c r="QTG148" s="207"/>
      <c r="QTH148" s="210"/>
      <c r="QTI148" s="209"/>
      <c r="QTJ148" s="204"/>
      <c r="QTK148" s="204"/>
      <c r="QTL148" s="204"/>
      <c r="QTM148" s="199"/>
      <c r="QTN148" s="167"/>
      <c r="QTO148" s="199"/>
      <c r="QTP148" s="200"/>
      <c r="QTQ148" s="201"/>
      <c r="QTR148" s="202"/>
      <c r="QTS148" s="202"/>
      <c r="QTT148" s="202"/>
      <c r="QTU148" s="202"/>
      <c r="QTV148" s="203"/>
      <c r="QTW148" s="204"/>
      <c r="QTX148" s="204"/>
      <c r="QTY148" s="204"/>
      <c r="QTZ148" s="205"/>
      <c r="QUA148" s="206"/>
      <c r="QUB148" s="207"/>
      <c r="QUC148" s="207"/>
      <c r="QUD148" s="208"/>
      <c r="QUE148" s="209"/>
      <c r="QUF148" s="207"/>
      <c r="QUG148" s="210"/>
      <c r="QUH148" s="209"/>
      <c r="QUI148" s="204"/>
      <c r="QUJ148" s="204"/>
      <c r="QUK148" s="204"/>
      <c r="QUL148" s="199"/>
      <c r="QUM148" s="167"/>
      <c r="QUN148" s="199"/>
      <c r="QUO148" s="200"/>
      <c r="QUP148" s="201"/>
      <c r="QUQ148" s="202"/>
      <c r="QUR148" s="202"/>
      <c r="QUS148" s="202"/>
      <c r="QUT148" s="202"/>
      <c r="QUU148" s="203"/>
      <c r="QUV148" s="204"/>
      <c r="QUW148" s="204"/>
      <c r="QUX148" s="204"/>
      <c r="QUY148" s="205"/>
      <c r="QUZ148" s="206"/>
      <c r="QVA148" s="207"/>
      <c r="QVB148" s="207"/>
      <c r="QVC148" s="208"/>
      <c r="QVD148" s="209"/>
      <c r="QVE148" s="207"/>
      <c r="QVF148" s="210"/>
      <c r="QVG148" s="209"/>
      <c r="QVH148" s="204"/>
      <c r="QVI148" s="204"/>
      <c r="QVJ148" s="204"/>
      <c r="QVK148" s="199"/>
      <c r="QVL148" s="167"/>
      <c r="QVM148" s="199"/>
      <c r="QVN148" s="200"/>
      <c r="QVO148" s="201"/>
      <c r="QVP148" s="202"/>
      <c r="QVQ148" s="202"/>
      <c r="QVR148" s="202"/>
      <c r="QVS148" s="202"/>
      <c r="QVT148" s="203"/>
      <c r="QVU148" s="204"/>
      <c r="QVV148" s="204"/>
      <c r="QVW148" s="204"/>
      <c r="QVX148" s="205"/>
      <c r="QVY148" s="206"/>
      <c r="QVZ148" s="207"/>
      <c r="QWA148" s="207"/>
      <c r="QWB148" s="208"/>
      <c r="QWC148" s="209"/>
      <c r="QWD148" s="207"/>
      <c r="QWE148" s="210"/>
      <c r="QWF148" s="209"/>
      <c r="QWG148" s="204"/>
      <c r="QWH148" s="204"/>
      <c r="QWI148" s="204"/>
      <c r="QWJ148" s="199"/>
      <c r="QWK148" s="167"/>
      <c r="QWL148" s="199"/>
      <c r="QWM148" s="200"/>
      <c r="QWN148" s="201"/>
      <c r="QWO148" s="202"/>
      <c r="QWP148" s="202"/>
      <c r="QWQ148" s="202"/>
      <c r="QWR148" s="202"/>
      <c r="QWS148" s="203"/>
      <c r="QWT148" s="204"/>
      <c r="QWU148" s="204"/>
      <c r="QWV148" s="204"/>
      <c r="QWW148" s="205"/>
      <c r="QWX148" s="206"/>
      <c r="QWY148" s="207"/>
      <c r="QWZ148" s="207"/>
      <c r="QXA148" s="208"/>
      <c r="QXB148" s="209"/>
      <c r="QXC148" s="207"/>
      <c r="QXD148" s="210"/>
      <c r="QXE148" s="209"/>
      <c r="QXF148" s="204"/>
      <c r="QXG148" s="204"/>
      <c r="QXH148" s="204"/>
      <c r="QXI148" s="199"/>
      <c r="QXJ148" s="167"/>
      <c r="QXK148" s="199"/>
      <c r="QXL148" s="200"/>
      <c r="QXM148" s="201"/>
      <c r="QXN148" s="202"/>
      <c r="QXO148" s="202"/>
      <c r="QXP148" s="202"/>
      <c r="QXQ148" s="202"/>
      <c r="QXR148" s="203"/>
      <c r="QXS148" s="204"/>
      <c r="QXT148" s="204"/>
      <c r="QXU148" s="204"/>
      <c r="QXV148" s="205"/>
      <c r="QXW148" s="206"/>
      <c r="QXX148" s="207"/>
      <c r="QXY148" s="207"/>
      <c r="QXZ148" s="208"/>
      <c r="QYA148" s="209"/>
      <c r="QYB148" s="207"/>
      <c r="QYC148" s="210"/>
      <c r="QYD148" s="209"/>
      <c r="QYE148" s="204"/>
      <c r="QYF148" s="204"/>
      <c r="QYG148" s="204"/>
      <c r="QYH148" s="199"/>
      <c r="QYI148" s="167"/>
      <c r="QYJ148" s="199"/>
      <c r="QYK148" s="200"/>
      <c r="QYL148" s="201"/>
      <c r="QYM148" s="202"/>
      <c r="QYN148" s="202"/>
      <c r="QYO148" s="202"/>
      <c r="QYP148" s="202"/>
      <c r="QYQ148" s="203"/>
      <c r="QYR148" s="204"/>
      <c r="QYS148" s="204"/>
      <c r="QYT148" s="204"/>
      <c r="QYU148" s="205"/>
      <c r="QYV148" s="206"/>
      <c r="QYW148" s="207"/>
      <c r="QYX148" s="207"/>
      <c r="QYY148" s="208"/>
      <c r="QYZ148" s="209"/>
      <c r="QZA148" s="207"/>
      <c r="QZB148" s="210"/>
      <c r="QZC148" s="209"/>
      <c r="QZD148" s="204"/>
      <c r="QZE148" s="204"/>
      <c r="QZF148" s="204"/>
      <c r="QZG148" s="199"/>
      <c r="QZH148" s="167"/>
      <c r="QZI148" s="199"/>
      <c r="QZJ148" s="200"/>
      <c r="QZK148" s="201"/>
      <c r="QZL148" s="202"/>
      <c r="QZM148" s="202"/>
      <c r="QZN148" s="202"/>
      <c r="QZO148" s="202"/>
      <c r="QZP148" s="203"/>
      <c r="QZQ148" s="204"/>
      <c r="QZR148" s="204"/>
      <c r="QZS148" s="204"/>
      <c r="QZT148" s="205"/>
      <c r="QZU148" s="206"/>
      <c r="QZV148" s="207"/>
      <c r="QZW148" s="207"/>
      <c r="QZX148" s="208"/>
      <c r="QZY148" s="209"/>
      <c r="QZZ148" s="207"/>
      <c r="RAA148" s="210"/>
      <c r="RAB148" s="209"/>
      <c r="RAC148" s="204"/>
      <c r="RAD148" s="204"/>
      <c r="RAE148" s="204"/>
      <c r="RAF148" s="199"/>
      <c r="RAG148" s="167"/>
      <c r="RAH148" s="199"/>
      <c r="RAI148" s="200"/>
      <c r="RAJ148" s="201"/>
      <c r="RAK148" s="202"/>
      <c r="RAL148" s="202"/>
      <c r="RAM148" s="202"/>
      <c r="RAN148" s="202"/>
      <c r="RAO148" s="203"/>
      <c r="RAP148" s="204"/>
      <c r="RAQ148" s="204"/>
      <c r="RAR148" s="204"/>
      <c r="RAS148" s="205"/>
      <c r="RAT148" s="206"/>
      <c r="RAU148" s="207"/>
      <c r="RAV148" s="207"/>
      <c r="RAW148" s="208"/>
      <c r="RAX148" s="209"/>
      <c r="RAY148" s="207"/>
      <c r="RAZ148" s="210"/>
      <c r="RBA148" s="209"/>
      <c r="RBB148" s="204"/>
      <c r="RBC148" s="204"/>
      <c r="RBD148" s="204"/>
      <c r="RBE148" s="199"/>
      <c r="RBF148" s="167"/>
      <c r="RBG148" s="199"/>
      <c r="RBH148" s="200"/>
      <c r="RBI148" s="201"/>
      <c r="RBJ148" s="202"/>
      <c r="RBK148" s="202"/>
      <c r="RBL148" s="202"/>
      <c r="RBM148" s="202"/>
      <c r="RBN148" s="203"/>
      <c r="RBO148" s="204"/>
      <c r="RBP148" s="204"/>
      <c r="RBQ148" s="204"/>
      <c r="RBR148" s="205"/>
      <c r="RBS148" s="206"/>
      <c r="RBT148" s="207"/>
      <c r="RBU148" s="207"/>
      <c r="RBV148" s="208"/>
      <c r="RBW148" s="209"/>
      <c r="RBX148" s="207"/>
      <c r="RBY148" s="210"/>
      <c r="RBZ148" s="209"/>
      <c r="RCA148" s="204"/>
      <c r="RCB148" s="204"/>
      <c r="RCC148" s="204"/>
      <c r="RCD148" s="199"/>
      <c r="RCE148" s="167"/>
      <c r="RCF148" s="199"/>
      <c r="RCG148" s="200"/>
      <c r="RCH148" s="201"/>
      <c r="RCI148" s="202"/>
      <c r="RCJ148" s="202"/>
      <c r="RCK148" s="202"/>
      <c r="RCL148" s="202"/>
      <c r="RCM148" s="203"/>
      <c r="RCN148" s="204"/>
      <c r="RCO148" s="204"/>
      <c r="RCP148" s="204"/>
      <c r="RCQ148" s="205"/>
      <c r="RCR148" s="206"/>
      <c r="RCS148" s="207"/>
      <c r="RCT148" s="207"/>
      <c r="RCU148" s="208"/>
      <c r="RCV148" s="209"/>
      <c r="RCW148" s="207"/>
      <c r="RCX148" s="210"/>
      <c r="RCY148" s="209"/>
      <c r="RCZ148" s="204"/>
      <c r="RDA148" s="204"/>
      <c r="RDB148" s="204"/>
      <c r="RDC148" s="199"/>
      <c r="RDD148" s="167"/>
      <c r="RDE148" s="199"/>
      <c r="RDF148" s="200"/>
      <c r="RDG148" s="201"/>
      <c r="RDH148" s="202"/>
      <c r="RDI148" s="202"/>
      <c r="RDJ148" s="202"/>
      <c r="RDK148" s="202"/>
      <c r="RDL148" s="203"/>
      <c r="RDM148" s="204"/>
      <c r="RDN148" s="204"/>
      <c r="RDO148" s="204"/>
      <c r="RDP148" s="205"/>
      <c r="RDQ148" s="206"/>
      <c r="RDR148" s="207"/>
      <c r="RDS148" s="207"/>
      <c r="RDT148" s="208"/>
      <c r="RDU148" s="209"/>
      <c r="RDV148" s="207"/>
      <c r="RDW148" s="210"/>
      <c r="RDX148" s="209"/>
      <c r="RDY148" s="204"/>
      <c r="RDZ148" s="204"/>
      <c r="REA148" s="204"/>
      <c r="REB148" s="199"/>
      <c r="REC148" s="167"/>
      <c r="RED148" s="199"/>
      <c r="REE148" s="200"/>
      <c r="REF148" s="201"/>
      <c r="REG148" s="202"/>
      <c r="REH148" s="202"/>
      <c r="REI148" s="202"/>
      <c r="REJ148" s="202"/>
      <c r="REK148" s="203"/>
      <c r="REL148" s="204"/>
      <c r="REM148" s="204"/>
      <c r="REN148" s="204"/>
      <c r="REO148" s="205"/>
      <c r="REP148" s="206"/>
      <c r="REQ148" s="207"/>
      <c r="RER148" s="207"/>
      <c r="RES148" s="208"/>
      <c r="RET148" s="209"/>
      <c r="REU148" s="207"/>
      <c r="REV148" s="210"/>
      <c r="REW148" s="209"/>
      <c r="REX148" s="204"/>
      <c r="REY148" s="204"/>
      <c r="REZ148" s="204"/>
      <c r="RFA148" s="199"/>
      <c r="RFB148" s="167"/>
      <c r="RFC148" s="199"/>
      <c r="RFD148" s="200"/>
      <c r="RFE148" s="201"/>
      <c r="RFF148" s="202"/>
      <c r="RFG148" s="202"/>
      <c r="RFH148" s="202"/>
      <c r="RFI148" s="202"/>
      <c r="RFJ148" s="203"/>
      <c r="RFK148" s="204"/>
      <c r="RFL148" s="204"/>
      <c r="RFM148" s="204"/>
      <c r="RFN148" s="205"/>
      <c r="RFO148" s="206"/>
      <c r="RFP148" s="207"/>
      <c r="RFQ148" s="207"/>
      <c r="RFR148" s="208"/>
      <c r="RFS148" s="209"/>
      <c r="RFT148" s="207"/>
      <c r="RFU148" s="210"/>
      <c r="RFV148" s="209"/>
      <c r="RFW148" s="204"/>
      <c r="RFX148" s="204"/>
      <c r="RFY148" s="204"/>
      <c r="RFZ148" s="199"/>
      <c r="RGA148" s="167"/>
      <c r="RGB148" s="199"/>
      <c r="RGC148" s="200"/>
      <c r="RGD148" s="201"/>
      <c r="RGE148" s="202"/>
      <c r="RGF148" s="202"/>
      <c r="RGG148" s="202"/>
      <c r="RGH148" s="202"/>
      <c r="RGI148" s="203"/>
      <c r="RGJ148" s="204"/>
      <c r="RGK148" s="204"/>
      <c r="RGL148" s="204"/>
      <c r="RGM148" s="205"/>
      <c r="RGN148" s="206"/>
      <c r="RGO148" s="207"/>
      <c r="RGP148" s="207"/>
      <c r="RGQ148" s="208"/>
      <c r="RGR148" s="209"/>
      <c r="RGS148" s="207"/>
      <c r="RGT148" s="210"/>
      <c r="RGU148" s="209"/>
      <c r="RGV148" s="204"/>
      <c r="RGW148" s="204"/>
      <c r="RGX148" s="204"/>
      <c r="RGY148" s="199"/>
      <c r="RGZ148" s="167"/>
      <c r="RHA148" s="199"/>
      <c r="RHB148" s="200"/>
      <c r="RHC148" s="201"/>
      <c r="RHD148" s="202"/>
      <c r="RHE148" s="202"/>
      <c r="RHF148" s="202"/>
      <c r="RHG148" s="202"/>
      <c r="RHH148" s="203"/>
      <c r="RHI148" s="204"/>
      <c r="RHJ148" s="204"/>
      <c r="RHK148" s="204"/>
      <c r="RHL148" s="205"/>
      <c r="RHM148" s="206"/>
      <c r="RHN148" s="207"/>
      <c r="RHO148" s="207"/>
      <c r="RHP148" s="208"/>
      <c r="RHQ148" s="209"/>
      <c r="RHR148" s="207"/>
      <c r="RHS148" s="210"/>
      <c r="RHT148" s="209"/>
      <c r="RHU148" s="204"/>
      <c r="RHV148" s="204"/>
      <c r="RHW148" s="204"/>
      <c r="RHX148" s="199"/>
      <c r="RHY148" s="167"/>
      <c r="RHZ148" s="199"/>
      <c r="RIA148" s="200"/>
      <c r="RIB148" s="201"/>
      <c r="RIC148" s="202"/>
      <c r="RID148" s="202"/>
      <c r="RIE148" s="202"/>
      <c r="RIF148" s="202"/>
      <c r="RIG148" s="203"/>
      <c r="RIH148" s="204"/>
      <c r="RII148" s="204"/>
      <c r="RIJ148" s="204"/>
      <c r="RIK148" s="205"/>
      <c r="RIL148" s="206"/>
      <c r="RIM148" s="207"/>
      <c r="RIN148" s="207"/>
      <c r="RIO148" s="208"/>
      <c r="RIP148" s="209"/>
      <c r="RIQ148" s="207"/>
      <c r="RIR148" s="210"/>
      <c r="RIS148" s="209"/>
      <c r="RIT148" s="204"/>
      <c r="RIU148" s="204"/>
      <c r="RIV148" s="204"/>
      <c r="RIW148" s="199"/>
      <c r="RIX148" s="167"/>
      <c r="RIY148" s="199"/>
      <c r="RIZ148" s="200"/>
      <c r="RJA148" s="201"/>
      <c r="RJB148" s="202"/>
      <c r="RJC148" s="202"/>
      <c r="RJD148" s="202"/>
      <c r="RJE148" s="202"/>
      <c r="RJF148" s="203"/>
      <c r="RJG148" s="204"/>
      <c r="RJH148" s="204"/>
      <c r="RJI148" s="204"/>
      <c r="RJJ148" s="205"/>
      <c r="RJK148" s="206"/>
      <c r="RJL148" s="207"/>
      <c r="RJM148" s="207"/>
      <c r="RJN148" s="208"/>
      <c r="RJO148" s="209"/>
      <c r="RJP148" s="207"/>
      <c r="RJQ148" s="210"/>
      <c r="RJR148" s="209"/>
      <c r="RJS148" s="204"/>
      <c r="RJT148" s="204"/>
      <c r="RJU148" s="204"/>
      <c r="RJV148" s="199"/>
      <c r="RJW148" s="167"/>
      <c r="RJX148" s="199"/>
      <c r="RJY148" s="200"/>
      <c r="RJZ148" s="201"/>
      <c r="RKA148" s="202"/>
      <c r="RKB148" s="202"/>
      <c r="RKC148" s="202"/>
      <c r="RKD148" s="202"/>
      <c r="RKE148" s="203"/>
      <c r="RKF148" s="204"/>
      <c r="RKG148" s="204"/>
      <c r="RKH148" s="204"/>
      <c r="RKI148" s="205"/>
      <c r="RKJ148" s="206"/>
      <c r="RKK148" s="207"/>
      <c r="RKL148" s="207"/>
      <c r="RKM148" s="208"/>
      <c r="RKN148" s="209"/>
      <c r="RKO148" s="207"/>
      <c r="RKP148" s="210"/>
      <c r="RKQ148" s="209"/>
      <c r="RKR148" s="204"/>
      <c r="RKS148" s="204"/>
      <c r="RKT148" s="204"/>
      <c r="RKU148" s="199"/>
      <c r="RKV148" s="167"/>
      <c r="RKW148" s="199"/>
      <c r="RKX148" s="200"/>
      <c r="RKY148" s="201"/>
      <c r="RKZ148" s="202"/>
      <c r="RLA148" s="202"/>
      <c r="RLB148" s="202"/>
      <c r="RLC148" s="202"/>
      <c r="RLD148" s="203"/>
      <c r="RLE148" s="204"/>
      <c r="RLF148" s="204"/>
      <c r="RLG148" s="204"/>
      <c r="RLH148" s="205"/>
      <c r="RLI148" s="206"/>
      <c r="RLJ148" s="207"/>
      <c r="RLK148" s="207"/>
      <c r="RLL148" s="208"/>
      <c r="RLM148" s="209"/>
      <c r="RLN148" s="207"/>
      <c r="RLO148" s="210"/>
      <c r="RLP148" s="209"/>
      <c r="RLQ148" s="204"/>
      <c r="RLR148" s="204"/>
      <c r="RLS148" s="204"/>
      <c r="RLT148" s="199"/>
      <c r="RLU148" s="167"/>
      <c r="RLV148" s="199"/>
      <c r="RLW148" s="200"/>
      <c r="RLX148" s="201"/>
      <c r="RLY148" s="202"/>
      <c r="RLZ148" s="202"/>
      <c r="RMA148" s="202"/>
      <c r="RMB148" s="202"/>
      <c r="RMC148" s="203"/>
      <c r="RMD148" s="204"/>
      <c r="RME148" s="204"/>
      <c r="RMF148" s="204"/>
      <c r="RMG148" s="205"/>
      <c r="RMH148" s="206"/>
      <c r="RMI148" s="207"/>
      <c r="RMJ148" s="207"/>
      <c r="RMK148" s="208"/>
      <c r="RML148" s="209"/>
      <c r="RMM148" s="207"/>
      <c r="RMN148" s="210"/>
      <c r="RMO148" s="209"/>
      <c r="RMP148" s="204"/>
      <c r="RMQ148" s="204"/>
      <c r="RMR148" s="204"/>
      <c r="RMS148" s="199"/>
      <c r="RMT148" s="167"/>
      <c r="RMU148" s="199"/>
      <c r="RMV148" s="200"/>
      <c r="RMW148" s="201"/>
      <c r="RMX148" s="202"/>
      <c r="RMY148" s="202"/>
      <c r="RMZ148" s="202"/>
      <c r="RNA148" s="202"/>
      <c r="RNB148" s="203"/>
      <c r="RNC148" s="204"/>
      <c r="RND148" s="204"/>
      <c r="RNE148" s="204"/>
      <c r="RNF148" s="205"/>
      <c r="RNG148" s="206"/>
      <c r="RNH148" s="207"/>
      <c r="RNI148" s="207"/>
      <c r="RNJ148" s="208"/>
      <c r="RNK148" s="209"/>
      <c r="RNL148" s="207"/>
      <c r="RNM148" s="210"/>
      <c r="RNN148" s="209"/>
      <c r="RNO148" s="204"/>
      <c r="RNP148" s="204"/>
      <c r="RNQ148" s="204"/>
      <c r="RNR148" s="199"/>
      <c r="RNS148" s="167"/>
      <c r="RNT148" s="199"/>
      <c r="RNU148" s="200"/>
      <c r="RNV148" s="201"/>
      <c r="RNW148" s="202"/>
      <c r="RNX148" s="202"/>
      <c r="RNY148" s="202"/>
      <c r="RNZ148" s="202"/>
      <c r="ROA148" s="203"/>
      <c r="ROB148" s="204"/>
      <c r="ROC148" s="204"/>
      <c r="ROD148" s="204"/>
      <c r="ROE148" s="205"/>
      <c r="ROF148" s="206"/>
      <c r="ROG148" s="207"/>
      <c r="ROH148" s="207"/>
      <c r="ROI148" s="208"/>
      <c r="ROJ148" s="209"/>
      <c r="ROK148" s="207"/>
      <c r="ROL148" s="210"/>
      <c r="ROM148" s="209"/>
      <c r="RON148" s="204"/>
      <c r="ROO148" s="204"/>
      <c r="ROP148" s="204"/>
      <c r="ROQ148" s="199"/>
      <c r="ROR148" s="167"/>
      <c r="ROS148" s="199"/>
      <c r="ROT148" s="200"/>
      <c r="ROU148" s="201"/>
      <c r="ROV148" s="202"/>
      <c r="ROW148" s="202"/>
      <c r="ROX148" s="202"/>
      <c r="ROY148" s="202"/>
      <c r="ROZ148" s="203"/>
      <c r="RPA148" s="204"/>
      <c r="RPB148" s="204"/>
      <c r="RPC148" s="204"/>
      <c r="RPD148" s="205"/>
      <c r="RPE148" s="206"/>
      <c r="RPF148" s="207"/>
      <c r="RPG148" s="207"/>
      <c r="RPH148" s="208"/>
      <c r="RPI148" s="209"/>
      <c r="RPJ148" s="207"/>
      <c r="RPK148" s="210"/>
      <c r="RPL148" s="209"/>
      <c r="RPM148" s="204"/>
      <c r="RPN148" s="204"/>
      <c r="RPO148" s="204"/>
      <c r="RPP148" s="199"/>
      <c r="RPQ148" s="167"/>
      <c r="RPR148" s="199"/>
      <c r="RPS148" s="200"/>
      <c r="RPT148" s="201"/>
      <c r="RPU148" s="202"/>
      <c r="RPV148" s="202"/>
      <c r="RPW148" s="202"/>
      <c r="RPX148" s="202"/>
      <c r="RPY148" s="203"/>
      <c r="RPZ148" s="204"/>
      <c r="RQA148" s="204"/>
      <c r="RQB148" s="204"/>
      <c r="RQC148" s="205"/>
      <c r="RQD148" s="206"/>
      <c r="RQE148" s="207"/>
      <c r="RQF148" s="207"/>
      <c r="RQG148" s="208"/>
      <c r="RQH148" s="209"/>
      <c r="RQI148" s="207"/>
      <c r="RQJ148" s="210"/>
      <c r="RQK148" s="209"/>
      <c r="RQL148" s="204"/>
      <c r="RQM148" s="204"/>
      <c r="RQN148" s="204"/>
      <c r="RQO148" s="199"/>
      <c r="RQP148" s="167"/>
      <c r="RQQ148" s="199"/>
      <c r="RQR148" s="200"/>
      <c r="RQS148" s="201"/>
      <c r="RQT148" s="202"/>
      <c r="RQU148" s="202"/>
      <c r="RQV148" s="202"/>
      <c r="RQW148" s="202"/>
      <c r="RQX148" s="203"/>
      <c r="RQY148" s="204"/>
      <c r="RQZ148" s="204"/>
      <c r="RRA148" s="204"/>
      <c r="RRB148" s="205"/>
      <c r="RRC148" s="206"/>
      <c r="RRD148" s="207"/>
      <c r="RRE148" s="207"/>
      <c r="RRF148" s="208"/>
      <c r="RRG148" s="209"/>
      <c r="RRH148" s="207"/>
      <c r="RRI148" s="210"/>
      <c r="RRJ148" s="209"/>
      <c r="RRK148" s="204"/>
      <c r="RRL148" s="204"/>
      <c r="RRM148" s="204"/>
      <c r="RRN148" s="199"/>
      <c r="RRO148" s="167"/>
      <c r="RRP148" s="199"/>
      <c r="RRQ148" s="200"/>
      <c r="RRR148" s="201"/>
      <c r="RRS148" s="202"/>
      <c r="RRT148" s="202"/>
      <c r="RRU148" s="202"/>
      <c r="RRV148" s="202"/>
      <c r="RRW148" s="203"/>
      <c r="RRX148" s="204"/>
      <c r="RRY148" s="204"/>
      <c r="RRZ148" s="204"/>
      <c r="RSA148" s="205"/>
      <c r="RSB148" s="206"/>
      <c r="RSC148" s="207"/>
      <c r="RSD148" s="207"/>
      <c r="RSE148" s="208"/>
      <c r="RSF148" s="209"/>
      <c r="RSG148" s="207"/>
      <c r="RSH148" s="210"/>
      <c r="RSI148" s="209"/>
      <c r="RSJ148" s="204"/>
      <c r="RSK148" s="204"/>
      <c r="RSL148" s="204"/>
      <c r="RSM148" s="199"/>
      <c r="RSN148" s="167"/>
      <c r="RSO148" s="199"/>
      <c r="RSP148" s="200"/>
      <c r="RSQ148" s="201"/>
      <c r="RSR148" s="202"/>
      <c r="RSS148" s="202"/>
      <c r="RST148" s="202"/>
      <c r="RSU148" s="202"/>
      <c r="RSV148" s="203"/>
      <c r="RSW148" s="204"/>
      <c r="RSX148" s="204"/>
      <c r="RSY148" s="204"/>
      <c r="RSZ148" s="205"/>
      <c r="RTA148" s="206"/>
      <c r="RTB148" s="207"/>
      <c r="RTC148" s="207"/>
      <c r="RTD148" s="208"/>
      <c r="RTE148" s="209"/>
      <c r="RTF148" s="207"/>
      <c r="RTG148" s="210"/>
      <c r="RTH148" s="209"/>
      <c r="RTI148" s="204"/>
      <c r="RTJ148" s="204"/>
      <c r="RTK148" s="204"/>
      <c r="RTL148" s="199"/>
      <c r="RTM148" s="167"/>
      <c r="RTN148" s="199"/>
      <c r="RTO148" s="200"/>
      <c r="RTP148" s="201"/>
      <c r="RTQ148" s="202"/>
      <c r="RTR148" s="202"/>
      <c r="RTS148" s="202"/>
      <c r="RTT148" s="202"/>
      <c r="RTU148" s="203"/>
      <c r="RTV148" s="204"/>
      <c r="RTW148" s="204"/>
      <c r="RTX148" s="204"/>
      <c r="RTY148" s="205"/>
      <c r="RTZ148" s="206"/>
      <c r="RUA148" s="207"/>
      <c r="RUB148" s="207"/>
      <c r="RUC148" s="208"/>
      <c r="RUD148" s="209"/>
      <c r="RUE148" s="207"/>
      <c r="RUF148" s="210"/>
      <c r="RUG148" s="209"/>
      <c r="RUH148" s="204"/>
      <c r="RUI148" s="204"/>
      <c r="RUJ148" s="204"/>
      <c r="RUK148" s="199"/>
      <c r="RUL148" s="167"/>
      <c r="RUM148" s="199"/>
      <c r="RUN148" s="200"/>
      <c r="RUO148" s="201"/>
      <c r="RUP148" s="202"/>
      <c r="RUQ148" s="202"/>
      <c r="RUR148" s="202"/>
      <c r="RUS148" s="202"/>
      <c r="RUT148" s="203"/>
      <c r="RUU148" s="204"/>
      <c r="RUV148" s="204"/>
      <c r="RUW148" s="204"/>
      <c r="RUX148" s="205"/>
      <c r="RUY148" s="206"/>
      <c r="RUZ148" s="207"/>
      <c r="RVA148" s="207"/>
      <c r="RVB148" s="208"/>
      <c r="RVC148" s="209"/>
      <c r="RVD148" s="207"/>
      <c r="RVE148" s="210"/>
      <c r="RVF148" s="209"/>
      <c r="RVG148" s="204"/>
      <c r="RVH148" s="204"/>
      <c r="RVI148" s="204"/>
      <c r="RVJ148" s="199"/>
      <c r="RVK148" s="167"/>
      <c r="RVL148" s="199"/>
      <c r="RVM148" s="200"/>
      <c r="RVN148" s="201"/>
      <c r="RVO148" s="202"/>
      <c r="RVP148" s="202"/>
      <c r="RVQ148" s="202"/>
      <c r="RVR148" s="202"/>
      <c r="RVS148" s="203"/>
      <c r="RVT148" s="204"/>
      <c r="RVU148" s="204"/>
      <c r="RVV148" s="204"/>
      <c r="RVW148" s="205"/>
      <c r="RVX148" s="206"/>
      <c r="RVY148" s="207"/>
      <c r="RVZ148" s="207"/>
      <c r="RWA148" s="208"/>
      <c r="RWB148" s="209"/>
      <c r="RWC148" s="207"/>
      <c r="RWD148" s="210"/>
      <c r="RWE148" s="209"/>
      <c r="RWF148" s="204"/>
      <c r="RWG148" s="204"/>
      <c r="RWH148" s="204"/>
      <c r="RWI148" s="199"/>
      <c r="RWJ148" s="167"/>
      <c r="RWK148" s="199"/>
      <c r="RWL148" s="200"/>
      <c r="RWM148" s="201"/>
      <c r="RWN148" s="202"/>
      <c r="RWO148" s="202"/>
      <c r="RWP148" s="202"/>
      <c r="RWQ148" s="202"/>
      <c r="RWR148" s="203"/>
      <c r="RWS148" s="204"/>
      <c r="RWT148" s="204"/>
      <c r="RWU148" s="204"/>
      <c r="RWV148" s="205"/>
      <c r="RWW148" s="206"/>
      <c r="RWX148" s="207"/>
      <c r="RWY148" s="207"/>
      <c r="RWZ148" s="208"/>
      <c r="RXA148" s="209"/>
      <c r="RXB148" s="207"/>
      <c r="RXC148" s="210"/>
      <c r="RXD148" s="209"/>
      <c r="RXE148" s="204"/>
      <c r="RXF148" s="204"/>
      <c r="RXG148" s="204"/>
      <c r="RXH148" s="199"/>
      <c r="RXI148" s="167"/>
      <c r="RXJ148" s="199"/>
      <c r="RXK148" s="200"/>
      <c r="RXL148" s="201"/>
      <c r="RXM148" s="202"/>
      <c r="RXN148" s="202"/>
      <c r="RXO148" s="202"/>
      <c r="RXP148" s="202"/>
      <c r="RXQ148" s="203"/>
      <c r="RXR148" s="204"/>
      <c r="RXS148" s="204"/>
      <c r="RXT148" s="204"/>
      <c r="RXU148" s="205"/>
      <c r="RXV148" s="206"/>
      <c r="RXW148" s="207"/>
      <c r="RXX148" s="207"/>
      <c r="RXY148" s="208"/>
      <c r="RXZ148" s="209"/>
      <c r="RYA148" s="207"/>
      <c r="RYB148" s="210"/>
      <c r="RYC148" s="209"/>
      <c r="RYD148" s="204"/>
      <c r="RYE148" s="204"/>
      <c r="RYF148" s="204"/>
      <c r="RYG148" s="199"/>
      <c r="RYH148" s="167"/>
      <c r="RYI148" s="199"/>
      <c r="RYJ148" s="200"/>
      <c r="RYK148" s="201"/>
      <c r="RYL148" s="202"/>
      <c r="RYM148" s="202"/>
      <c r="RYN148" s="202"/>
      <c r="RYO148" s="202"/>
      <c r="RYP148" s="203"/>
      <c r="RYQ148" s="204"/>
      <c r="RYR148" s="204"/>
      <c r="RYS148" s="204"/>
      <c r="RYT148" s="205"/>
      <c r="RYU148" s="206"/>
      <c r="RYV148" s="207"/>
      <c r="RYW148" s="207"/>
      <c r="RYX148" s="208"/>
      <c r="RYY148" s="209"/>
      <c r="RYZ148" s="207"/>
      <c r="RZA148" s="210"/>
      <c r="RZB148" s="209"/>
      <c r="RZC148" s="204"/>
      <c r="RZD148" s="204"/>
      <c r="RZE148" s="204"/>
      <c r="RZF148" s="199"/>
      <c r="RZG148" s="167"/>
      <c r="RZH148" s="199"/>
      <c r="RZI148" s="200"/>
      <c r="RZJ148" s="201"/>
      <c r="RZK148" s="202"/>
      <c r="RZL148" s="202"/>
      <c r="RZM148" s="202"/>
      <c r="RZN148" s="202"/>
      <c r="RZO148" s="203"/>
      <c r="RZP148" s="204"/>
      <c r="RZQ148" s="204"/>
      <c r="RZR148" s="204"/>
      <c r="RZS148" s="205"/>
      <c r="RZT148" s="206"/>
      <c r="RZU148" s="207"/>
      <c r="RZV148" s="207"/>
      <c r="RZW148" s="208"/>
      <c r="RZX148" s="209"/>
      <c r="RZY148" s="207"/>
      <c r="RZZ148" s="210"/>
      <c r="SAA148" s="209"/>
      <c r="SAB148" s="204"/>
      <c r="SAC148" s="204"/>
      <c r="SAD148" s="204"/>
      <c r="SAE148" s="199"/>
      <c r="SAF148" s="167"/>
      <c r="SAG148" s="199"/>
      <c r="SAH148" s="200"/>
      <c r="SAI148" s="201"/>
      <c r="SAJ148" s="202"/>
      <c r="SAK148" s="202"/>
      <c r="SAL148" s="202"/>
      <c r="SAM148" s="202"/>
      <c r="SAN148" s="203"/>
      <c r="SAO148" s="204"/>
      <c r="SAP148" s="204"/>
      <c r="SAQ148" s="204"/>
      <c r="SAR148" s="205"/>
      <c r="SAS148" s="206"/>
      <c r="SAT148" s="207"/>
      <c r="SAU148" s="207"/>
      <c r="SAV148" s="208"/>
      <c r="SAW148" s="209"/>
      <c r="SAX148" s="207"/>
      <c r="SAY148" s="210"/>
      <c r="SAZ148" s="209"/>
      <c r="SBA148" s="204"/>
      <c r="SBB148" s="204"/>
      <c r="SBC148" s="204"/>
      <c r="SBD148" s="199"/>
      <c r="SBE148" s="167"/>
      <c r="SBF148" s="199"/>
      <c r="SBG148" s="200"/>
      <c r="SBH148" s="201"/>
      <c r="SBI148" s="202"/>
      <c r="SBJ148" s="202"/>
      <c r="SBK148" s="202"/>
      <c r="SBL148" s="202"/>
      <c r="SBM148" s="203"/>
      <c r="SBN148" s="204"/>
      <c r="SBO148" s="204"/>
      <c r="SBP148" s="204"/>
      <c r="SBQ148" s="205"/>
      <c r="SBR148" s="206"/>
      <c r="SBS148" s="207"/>
      <c r="SBT148" s="207"/>
      <c r="SBU148" s="208"/>
      <c r="SBV148" s="209"/>
      <c r="SBW148" s="207"/>
      <c r="SBX148" s="210"/>
      <c r="SBY148" s="209"/>
      <c r="SBZ148" s="204"/>
      <c r="SCA148" s="204"/>
      <c r="SCB148" s="204"/>
      <c r="SCC148" s="199"/>
      <c r="SCD148" s="167"/>
      <c r="SCE148" s="199"/>
      <c r="SCF148" s="200"/>
      <c r="SCG148" s="201"/>
      <c r="SCH148" s="202"/>
      <c r="SCI148" s="202"/>
      <c r="SCJ148" s="202"/>
      <c r="SCK148" s="202"/>
      <c r="SCL148" s="203"/>
      <c r="SCM148" s="204"/>
      <c r="SCN148" s="204"/>
      <c r="SCO148" s="204"/>
      <c r="SCP148" s="205"/>
      <c r="SCQ148" s="206"/>
      <c r="SCR148" s="207"/>
      <c r="SCS148" s="207"/>
      <c r="SCT148" s="208"/>
      <c r="SCU148" s="209"/>
      <c r="SCV148" s="207"/>
      <c r="SCW148" s="210"/>
      <c r="SCX148" s="209"/>
      <c r="SCY148" s="204"/>
      <c r="SCZ148" s="204"/>
      <c r="SDA148" s="204"/>
      <c r="SDB148" s="199"/>
      <c r="SDC148" s="167"/>
      <c r="SDD148" s="199"/>
      <c r="SDE148" s="200"/>
      <c r="SDF148" s="201"/>
      <c r="SDG148" s="202"/>
      <c r="SDH148" s="202"/>
      <c r="SDI148" s="202"/>
      <c r="SDJ148" s="202"/>
      <c r="SDK148" s="203"/>
      <c r="SDL148" s="204"/>
      <c r="SDM148" s="204"/>
      <c r="SDN148" s="204"/>
      <c r="SDO148" s="205"/>
      <c r="SDP148" s="206"/>
      <c r="SDQ148" s="207"/>
      <c r="SDR148" s="207"/>
      <c r="SDS148" s="208"/>
      <c r="SDT148" s="209"/>
      <c r="SDU148" s="207"/>
      <c r="SDV148" s="210"/>
      <c r="SDW148" s="209"/>
      <c r="SDX148" s="204"/>
      <c r="SDY148" s="204"/>
      <c r="SDZ148" s="204"/>
      <c r="SEA148" s="199"/>
      <c r="SEB148" s="167"/>
      <c r="SEC148" s="199"/>
      <c r="SED148" s="200"/>
      <c r="SEE148" s="201"/>
      <c r="SEF148" s="202"/>
      <c r="SEG148" s="202"/>
      <c r="SEH148" s="202"/>
      <c r="SEI148" s="202"/>
      <c r="SEJ148" s="203"/>
      <c r="SEK148" s="204"/>
      <c r="SEL148" s="204"/>
      <c r="SEM148" s="204"/>
      <c r="SEN148" s="205"/>
      <c r="SEO148" s="206"/>
      <c r="SEP148" s="207"/>
      <c r="SEQ148" s="207"/>
      <c r="SER148" s="208"/>
      <c r="SES148" s="209"/>
      <c r="SET148" s="207"/>
      <c r="SEU148" s="210"/>
      <c r="SEV148" s="209"/>
      <c r="SEW148" s="204"/>
      <c r="SEX148" s="204"/>
      <c r="SEY148" s="204"/>
      <c r="SEZ148" s="199"/>
      <c r="SFA148" s="167"/>
      <c r="SFB148" s="199"/>
      <c r="SFC148" s="200"/>
      <c r="SFD148" s="201"/>
      <c r="SFE148" s="202"/>
      <c r="SFF148" s="202"/>
      <c r="SFG148" s="202"/>
      <c r="SFH148" s="202"/>
      <c r="SFI148" s="203"/>
      <c r="SFJ148" s="204"/>
      <c r="SFK148" s="204"/>
      <c r="SFL148" s="204"/>
      <c r="SFM148" s="205"/>
      <c r="SFN148" s="206"/>
      <c r="SFO148" s="207"/>
      <c r="SFP148" s="207"/>
      <c r="SFQ148" s="208"/>
      <c r="SFR148" s="209"/>
      <c r="SFS148" s="207"/>
      <c r="SFT148" s="210"/>
      <c r="SFU148" s="209"/>
      <c r="SFV148" s="204"/>
      <c r="SFW148" s="204"/>
      <c r="SFX148" s="204"/>
      <c r="SFY148" s="199"/>
      <c r="SFZ148" s="167"/>
      <c r="SGA148" s="199"/>
      <c r="SGB148" s="200"/>
      <c r="SGC148" s="201"/>
      <c r="SGD148" s="202"/>
      <c r="SGE148" s="202"/>
      <c r="SGF148" s="202"/>
      <c r="SGG148" s="202"/>
      <c r="SGH148" s="203"/>
      <c r="SGI148" s="204"/>
      <c r="SGJ148" s="204"/>
      <c r="SGK148" s="204"/>
      <c r="SGL148" s="205"/>
      <c r="SGM148" s="206"/>
      <c r="SGN148" s="207"/>
      <c r="SGO148" s="207"/>
      <c r="SGP148" s="208"/>
      <c r="SGQ148" s="209"/>
      <c r="SGR148" s="207"/>
      <c r="SGS148" s="210"/>
      <c r="SGT148" s="209"/>
      <c r="SGU148" s="204"/>
      <c r="SGV148" s="204"/>
      <c r="SGW148" s="204"/>
      <c r="SGX148" s="199"/>
      <c r="SGY148" s="167"/>
      <c r="SGZ148" s="199"/>
      <c r="SHA148" s="200"/>
      <c r="SHB148" s="201"/>
      <c r="SHC148" s="202"/>
      <c r="SHD148" s="202"/>
      <c r="SHE148" s="202"/>
      <c r="SHF148" s="202"/>
      <c r="SHG148" s="203"/>
      <c r="SHH148" s="204"/>
      <c r="SHI148" s="204"/>
      <c r="SHJ148" s="204"/>
      <c r="SHK148" s="205"/>
      <c r="SHL148" s="206"/>
      <c r="SHM148" s="207"/>
      <c r="SHN148" s="207"/>
      <c r="SHO148" s="208"/>
      <c r="SHP148" s="209"/>
      <c r="SHQ148" s="207"/>
      <c r="SHR148" s="210"/>
      <c r="SHS148" s="209"/>
      <c r="SHT148" s="204"/>
      <c r="SHU148" s="204"/>
      <c r="SHV148" s="204"/>
      <c r="SHW148" s="199"/>
      <c r="SHX148" s="167"/>
      <c r="SHY148" s="199"/>
      <c r="SHZ148" s="200"/>
      <c r="SIA148" s="201"/>
      <c r="SIB148" s="202"/>
      <c r="SIC148" s="202"/>
      <c r="SID148" s="202"/>
      <c r="SIE148" s="202"/>
      <c r="SIF148" s="203"/>
      <c r="SIG148" s="204"/>
      <c r="SIH148" s="204"/>
      <c r="SII148" s="204"/>
      <c r="SIJ148" s="205"/>
      <c r="SIK148" s="206"/>
      <c r="SIL148" s="207"/>
      <c r="SIM148" s="207"/>
      <c r="SIN148" s="208"/>
      <c r="SIO148" s="209"/>
      <c r="SIP148" s="207"/>
      <c r="SIQ148" s="210"/>
      <c r="SIR148" s="209"/>
      <c r="SIS148" s="204"/>
      <c r="SIT148" s="204"/>
      <c r="SIU148" s="204"/>
      <c r="SIV148" s="199"/>
      <c r="SIW148" s="167"/>
      <c r="SIX148" s="199"/>
      <c r="SIY148" s="200"/>
      <c r="SIZ148" s="201"/>
      <c r="SJA148" s="202"/>
      <c r="SJB148" s="202"/>
      <c r="SJC148" s="202"/>
      <c r="SJD148" s="202"/>
      <c r="SJE148" s="203"/>
      <c r="SJF148" s="204"/>
      <c r="SJG148" s="204"/>
      <c r="SJH148" s="204"/>
      <c r="SJI148" s="205"/>
      <c r="SJJ148" s="206"/>
      <c r="SJK148" s="207"/>
      <c r="SJL148" s="207"/>
      <c r="SJM148" s="208"/>
      <c r="SJN148" s="209"/>
      <c r="SJO148" s="207"/>
      <c r="SJP148" s="210"/>
      <c r="SJQ148" s="209"/>
      <c r="SJR148" s="204"/>
      <c r="SJS148" s="204"/>
      <c r="SJT148" s="204"/>
      <c r="SJU148" s="199"/>
      <c r="SJV148" s="167"/>
      <c r="SJW148" s="199"/>
      <c r="SJX148" s="200"/>
      <c r="SJY148" s="201"/>
      <c r="SJZ148" s="202"/>
      <c r="SKA148" s="202"/>
      <c r="SKB148" s="202"/>
      <c r="SKC148" s="202"/>
      <c r="SKD148" s="203"/>
      <c r="SKE148" s="204"/>
      <c r="SKF148" s="204"/>
      <c r="SKG148" s="204"/>
      <c r="SKH148" s="205"/>
      <c r="SKI148" s="206"/>
      <c r="SKJ148" s="207"/>
      <c r="SKK148" s="207"/>
      <c r="SKL148" s="208"/>
      <c r="SKM148" s="209"/>
      <c r="SKN148" s="207"/>
      <c r="SKO148" s="210"/>
      <c r="SKP148" s="209"/>
      <c r="SKQ148" s="204"/>
      <c r="SKR148" s="204"/>
      <c r="SKS148" s="204"/>
      <c r="SKT148" s="199"/>
      <c r="SKU148" s="167"/>
      <c r="SKV148" s="199"/>
      <c r="SKW148" s="200"/>
      <c r="SKX148" s="201"/>
      <c r="SKY148" s="202"/>
      <c r="SKZ148" s="202"/>
      <c r="SLA148" s="202"/>
      <c r="SLB148" s="202"/>
      <c r="SLC148" s="203"/>
      <c r="SLD148" s="204"/>
      <c r="SLE148" s="204"/>
      <c r="SLF148" s="204"/>
      <c r="SLG148" s="205"/>
      <c r="SLH148" s="206"/>
      <c r="SLI148" s="207"/>
      <c r="SLJ148" s="207"/>
      <c r="SLK148" s="208"/>
      <c r="SLL148" s="209"/>
      <c r="SLM148" s="207"/>
      <c r="SLN148" s="210"/>
      <c r="SLO148" s="209"/>
      <c r="SLP148" s="204"/>
      <c r="SLQ148" s="204"/>
      <c r="SLR148" s="204"/>
      <c r="SLS148" s="199"/>
      <c r="SLT148" s="167"/>
      <c r="SLU148" s="199"/>
      <c r="SLV148" s="200"/>
      <c r="SLW148" s="201"/>
      <c r="SLX148" s="202"/>
      <c r="SLY148" s="202"/>
      <c r="SLZ148" s="202"/>
      <c r="SMA148" s="202"/>
      <c r="SMB148" s="203"/>
      <c r="SMC148" s="204"/>
      <c r="SMD148" s="204"/>
      <c r="SME148" s="204"/>
      <c r="SMF148" s="205"/>
      <c r="SMG148" s="206"/>
      <c r="SMH148" s="207"/>
      <c r="SMI148" s="207"/>
      <c r="SMJ148" s="208"/>
      <c r="SMK148" s="209"/>
      <c r="SML148" s="207"/>
      <c r="SMM148" s="210"/>
      <c r="SMN148" s="209"/>
      <c r="SMO148" s="204"/>
      <c r="SMP148" s="204"/>
      <c r="SMQ148" s="204"/>
      <c r="SMR148" s="199"/>
      <c r="SMS148" s="167"/>
      <c r="SMT148" s="199"/>
      <c r="SMU148" s="200"/>
      <c r="SMV148" s="201"/>
      <c r="SMW148" s="202"/>
      <c r="SMX148" s="202"/>
      <c r="SMY148" s="202"/>
      <c r="SMZ148" s="202"/>
      <c r="SNA148" s="203"/>
      <c r="SNB148" s="204"/>
      <c r="SNC148" s="204"/>
      <c r="SND148" s="204"/>
      <c r="SNE148" s="205"/>
      <c r="SNF148" s="206"/>
      <c r="SNG148" s="207"/>
      <c r="SNH148" s="207"/>
      <c r="SNI148" s="208"/>
      <c r="SNJ148" s="209"/>
      <c r="SNK148" s="207"/>
      <c r="SNL148" s="210"/>
      <c r="SNM148" s="209"/>
      <c r="SNN148" s="204"/>
      <c r="SNO148" s="204"/>
      <c r="SNP148" s="204"/>
      <c r="SNQ148" s="199"/>
      <c r="SNR148" s="167"/>
      <c r="SNS148" s="199"/>
      <c r="SNT148" s="200"/>
      <c r="SNU148" s="201"/>
      <c r="SNV148" s="202"/>
      <c r="SNW148" s="202"/>
      <c r="SNX148" s="202"/>
      <c r="SNY148" s="202"/>
      <c r="SNZ148" s="203"/>
      <c r="SOA148" s="204"/>
      <c r="SOB148" s="204"/>
      <c r="SOC148" s="204"/>
      <c r="SOD148" s="205"/>
      <c r="SOE148" s="206"/>
      <c r="SOF148" s="207"/>
      <c r="SOG148" s="207"/>
      <c r="SOH148" s="208"/>
      <c r="SOI148" s="209"/>
      <c r="SOJ148" s="207"/>
      <c r="SOK148" s="210"/>
      <c r="SOL148" s="209"/>
      <c r="SOM148" s="204"/>
      <c r="SON148" s="204"/>
      <c r="SOO148" s="204"/>
      <c r="SOP148" s="199"/>
      <c r="SOQ148" s="167"/>
      <c r="SOR148" s="199"/>
      <c r="SOS148" s="200"/>
      <c r="SOT148" s="201"/>
      <c r="SOU148" s="202"/>
      <c r="SOV148" s="202"/>
      <c r="SOW148" s="202"/>
      <c r="SOX148" s="202"/>
      <c r="SOY148" s="203"/>
      <c r="SOZ148" s="204"/>
      <c r="SPA148" s="204"/>
      <c r="SPB148" s="204"/>
      <c r="SPC148" s="205"/>
      <c r="SPD148" s="206"/>
      <c r="SPE148" s="207"/>
      <c r="SPF148" s="207"/>
      <c r="SPG148" s="208"/>
      <c r="SPH148" s="209"/>
      <c r="SPI148" s="207"/>
      <c r="SPJ148" s="210"/>
      <c r="SPK148" s="209"/>
      <c r="SPL148" s="204"/>
      <c r="SPM148" s="204"/>
      <c r="SPN148" s="204"/>
      <c r="SPO148" s="199"/>
      <c r="SPP148" s="167"/>
      <c r="SPQ148" s="199"/>
      <c r="SPR148" s="200"/>
      <c r="SPS148" s="201"/>
      <c r="SPT148" s="202"/>
      <c r="SPU148" s="202"/>
      <c r="SPV148" s="202"/>
      <c r="SPW148" s="202"/>
      <c r="SPX148" s="203"/>
      <c r="SPY148" s="204"/>
      <c r="SPZ148" s="204"/>
      <c r="SQA148" s="204"/>
      <c r="SQB148" s="205"/>
      <c r="SQC148" s="206"/>
      <c r="SQD148" s="207"/>
      <c r="SQE148" s="207"/>
      <c r="SQF148" s="208"/>
      <c r="SQG148" s="209"/>
      <c r="SQH148" s="207"/>
      <c r="SQI148" s="210"/>
      <c r="SQJ148" s="209"/>
      <c r="SQK148" s="204"/>
      <c r="SQL148" s="204"/>
      <c r="SQM148" s="204"/>
      <c r="SQN148" s="199"/>
      <c r="SQO148" s="167"/>
      <c r="SQP148" s="199"/>
      <c r="SQQ148" s="200"/>
      <c r="SQR148" s="201"/>
      <c r="SQS148" s="202"/>
      <c r="SQT148" s="202"/>
      <c r="SQU148" s="202"/>
      <c r="SQV148" s="202"/>
      <c r="SQW148" s="203"/>
      <c r="SQX148" s="204"/>
      <c r="SQY148" s="204"/>
      <c r="SQZ148" s="204"/>
      <c r="SRA148" s="205"/>
      <c r="SRB148" s="206"/>
      <c r="SRC148" s="207"/>
      <c r="SRD148" s="207"/>
      <c r="SRE148" s="208"/>
      <c r="SRF148" s="209"/>
      <c r="SRG148" s="207"/>
      <c r="SRH148" s="210"/>
      <c r="SRI148" s="209"/>
      <c r="SRJ148" s="204"/>
      <c r="SRK148" s="204"/>
      <c r="SRL148" s="204"/>
      <c r="SRM148" s="199"/>
      <c r="SRN148" s="167"/>
      <c r="SRO148" s="199"/>
      <c r="SRP148" s="200"/>
      <c r="SRQ148" s="201"/>
      <c r="SRR148" s="202"/>
      <c r="SRS148" s="202"/>
      <c r="SRT148" s="202"/>
      <c r="SRU148" s="202"/>
      <c r="SRV148" s="203"/>
      <c r="SRW148" s="204"/>
      <c r="SRX148" s="204"/>
      <c r="SRY148" s="204"/>
      <c r="SRZ148" s="205"/>
      <c r="SSA148" s="206"/>
      <c r="SSB148" s="207"/>
      <c r="SSC148" s="207"/>
      <c r="SSD148" s="208"/>
      <c r="SSE148" s="209"/>
      <c r="SSF148" s="207"/>
      <c r="SSG148" s="210"/>
      <c r="SSH148" s="209"/>
      <c r="SSI148" s="204"/>
      <c r="SSJ148" s="204"/>
      <c r="SSK148" s="204"/>
      <c r="SSL148" s="199"/>
      <c r="SSM148" s="167"/>
      <c r="SSN148" s="199"/>
      <c r="SSO148" s="200"/>
      <c r="SSP148" s="201"/>
      <c r="SSQ148" s="202"/>
      <c r="SSR148" s="202"/>
      <c r="SSS148" s="202"/>
      <c r="SST148" s="202"/>
      <c r="SSU148" s="203"/>
      <c r="SSV148" s="204"/>
      <c r="SSW148" s="204"/>
      <c r="SSX148" s="204"/>
      <c r="SSY148" s="205"/>
      <c r="SSZ148" s="206"/>
      <c r="STA148" s="207"/>
      <c r="STB148" s="207"/>
      <c r="STC148" s="208"/>
      <c r="STD148" s="209"/>
      <c r="STE148" s="207"/>
      <c r="STF148" s="210"/>
      <c r="STG148" s="209"/>
      <c r="STH148" s="204"/>
      <c r="STI148" s="204"/>
      <c r="STJ148" s="204"/>
      <c r="STK148" s="199"/>
      <c r="STL148" s="167"/>
      <c r="STM148" s="199"/>
      <c r="STN148" s="200"/>
      <c r="STO148" s="201"/>
      <c r="STP148" s="202"/>
      <c r="STQ148" s="202"/>
      <c r="STR148" s="202"/>
      <c r="STS148" s="202"/>
      <c r="STT148" s="203"/>
      <c r="STU148" s="204"/>
      <c r="STV148" s="204"/>
      <c r="STW148" s="204"/>
      <c r="STX148" s="205"/>
      <c r="STY148" s="206"/>
      <c r="STZ148" s="207"/>
      <c r="SUA148" s="207"/>
      <c r="SUB148" s="208"/>
      <c r="SUC148" s="209"/>
      <c r="SUD148" s="207"/>
      <c r="SUE148" s="210"/>
      <c r="SUF148" s="209"/>
      <c r="SUG148" s="204"/>
      <c r="SUH148" s="204"/>
      <c r="SUI148" s="204"/>
      <c r="SUJ148" s="199"/>
      <c r="SUK148" s="167"/>
      <c r="SUL148" s="199"/>
      <c r="SUM148" s="200"/>
      <c r="SUN148" s="201"/>
      <c r="SUO148" s="202"/>
      <c r="SUP148" s="202"/>
      <c r="SUQ148" s="202"/>
      <c r="SUR148" s="202"/>
      <c r="SUS148" s="203"/>
      <c r="SUT148" s="204"/>
      <c r="SUU148" s="204"/>
      <c r="SUV148" s="204"/>
      <c r="SUW148" s="205"/>
      <c r="SUX148" s="206"/>
      <c r="SUY148" s="207"/>
      <c r="SUZ148" s="207"/>
      <c r="SVA148" s="208"/>
      <c r="SVB148" s="209"/>
      <c r="SVC148" s="207"/>
      <c r="SVD148" s="210"/>
      <c r="SVE148" s="209"/>
      <c r="SVF148" s="204"/>
      <c r="SVG148" s="204"/>
      <c r="SVH148" s="204"/>
      <c r="SVI148" s="199"/>
      <c r="SVJ148" s="167"/>
      <c r="SVK148" s="199"/>
      <c r="SVL148" s="200"/>
      <c r="SVM148" s="201"/>
      <c r="SVN148" s="202"/>
      <c r="SVO148" s="202"/>
      <c r="SVP148" s="202"/>
      <c r="SVQ148" s="202"/>
      <c r="SVR148" s="203"/>
      <c r="SVS148" s="204"/>
      <c r="SVT148" s="204"/>
      <c r="SVU148" s="204"/>
      <c r="SVV148" s="205"/>
      <c r="SVW148" s="206"/>
      <c r="SVX148" s="207"/>
      <c r="SVY148" s="207"/>
      <c r="SVZ148" s="208"/>
      <c r="SWA148" s="209"/>
      <c r="SWB148" s="207"/>
      <c r="SWC148" s="210"/>
      <c r="SWD148" s="209"/>
      <c r="SWE148" s="204"/>
      <c r="SWF148" s="204"/>
      <c r="SWG148" s="204"/>
      <c r="SWH148" s="199"/>
      <c r="SWI148" s="167"/>
      <c r="SWJ148" s="199"/>
      <c r="SWK148" s="200"/>
      <c r="SWL148" s="201"/>
      <c r="SWM148" s="202"/>
      <c r="SWN148" s="202"/>
      <c r="SWO148" s="202"/>
      <c r="SWP148" s="202"/>
      <c r="SWQ148" s="203"/>
      <c r="SWR148" s="204"/>
      <c r="SWS148" s="204"/>
      <c r="SWT148" s="204"/>
      <c r="SWU148" s="205"/>
      <c r="SWV148" s="206"/>
      <c r="SWW148" s="207"/>
      <c r="SWX148" s="207"/>
      <c r="SWY148" s="208"/>
      <c r="SWZ148" s="209"/>
      <c r="SXA148" s="207"/>
      <c r="SXB148" s="210"/>
      <c r="SXC148" s="209"/>
      <c r="SXD148" s="204"/>
      <c r="SXE148" s="204"/>
      <c r="SXF148" s="204"/>
      <c r="SXG148" s="199"/>
      <c r="SXH148" s="167"/>
      <c r="SXI148" s="199"/>
      <c r="SXJ148" s="200"/>
      <c r="SXK148" s="201"/>
      <c r="SXL148" s="202"/>
      <c r="SXM148" s="202"/>
      <c r="SXN148" s="202"/>
      <c r="SXO148" s="202"/>
      <c r="SXP148" s="203"/>
      <c r="SXQ148" s="204"/>
      <c r="SXR148" s="204"/>
      <c r="SXS148" s="204"/>
      <c r="SXT148" s="205"/>
      <c r="SXU148" s="206"/>
      <c r="SXV148" s="207"/>
      <c r="SXW148" s="207"/>
      <c r="SXX148" s="208"/>
      <c r="SXY148" s="209"/>
      <c r="SXZ148" s="207"/>
      <c r="SYA148" s="210"/>
      <c r="SYB148" s="209"/>
      <c r="SYC148" s="204"/>
      <c r="SYD148" s="204"/>
      <c r="SYE148" s="204"/>
      <c r="SYF148" s="199"/>
      <c r="SYG148" s="167"/>
      <c r="SYH148" s="199"/>
      <c r="SYI148" s="200"/>
      <c r="SYJ148" s="201"/>
      <c r="SYK148" s="202"/>
      <c r="SYL148" s="202"/>
      <c r="SYM148" s="202"/>
      <c r="SYN148" s="202"/>
      <c r="SYO148" s="203"/>
      <c r="SYP148" s="204"/>
      <c r="SYQ148" s="204"/>
      <c r="SYR148" s="204"/>
      <c r="SYS148" s="205"/>
      <c r="SYT148" s="206"/>
      <c r="SYU148" s="207"/>
      <c r="SYV148" s="207"/>
      <c r="SYW148" s="208"/>
      <c r="SYX148" s="209"/>
      <c r="SYY148" s="207"/>
      <c r="SYZ148" s="210"/>
      <c r="SZA148" s="209"/>
      <c r="SZB148" s="204"/>
      <c r="SZC148" s="204"/>
      <c r="SZD148" s="204"/>
      <c r="SZE148" s="199"/>
      <c r="SZF148" s="167"/>
      <c r="SZG148" s="199"/>
      <c r="SZH148" s="200"/>
      <c r="SZI148" s="201"/>
      <c r="SZJ148" s="202"/>
      <c r="SZK148" s="202"/>
      <c r="SZL148" s="202"/>
      <c r="SZM148" s="202"/>
      <c r="SZN148" s="203"/>
      <c r="SZO148" s="204"/>
      <c r="SZP148" s="204"/>
      <c r="SZQ148" s="204"/>
      <c r="SZR148" s="205"/>
      <c r="SZS148" s="206"/>
      <c r="SZT148" s="207"/>
      <c r="SZU148" s="207"/>
      <c r="SZV148" s="208"/>
      <c r="SZW148" s="209"/>
      <c r="SZX148" s="207"/>
      <c r="SZY148" s="210"/>
      <c r="SZZ148" s="209"/>
      <c r="TAA148" s="204"/>
      <c r="TAB148" s="204"/>
      <c r="TAC148" s="204"/>
      <c r="TAD148" s="199"/>
      <c r="TAE148" s="167"/>
      <c r="TAF148" s="199"/>
      <c r="TAG148" s="200"/>
      <c r="TAH148" s="201"/>
      <c r="TAI148" s="202"/>
      <c r="TAJ148" s="202"/>
      <c r="TAK148" s="202"/>
      <c r="TAL148" s="202"/>
      <c r="TAM148" s="203"/>
      <c r="TAN148" s="204"/>
      <c r="TAO148" s="204"/>
      <c r="TAP148" s="204"/>
      <c r="TAQ148" s="205"/>
      <c r="TAR148" s="206"/>
      <c r="TAS148" s="207"/>
      <c r="TAT148" s="207"/>
      <c r="TAU148" s="208"/>
      <c r="TAV148" s="209"/>
      <c r="TAW148" s="207"/>
      <c r="TAX148" s="210"/>
      <c r="TAY148" s="209"/>
      <c r="TAZ148" s="204"/>
      <c r="TBA148" s="204"/>
      <c r="TBB148" s="204"/>
      <c r="TBC148" s="199"/>
      <c r="TBD148" s="167"/>
      <c r="TBE148" s="199"/>
      <c r="TBF148" s="200"/>
      <c r="TBG148" s="201"/>
      <c r="TBH148" s="202"/>
      <c r="TBI148" s="202"/>
      <c r="TBJ148" s="202"/>
      <c r="TBK148" s="202"/>
      <c r="TBL148" s="203"/>
      <c r="TBM148" s="204"/>
      <c r="TBN148" s="204"/>
      <c r="TBO148" s="204"/>
      <c r="TBP148" s="205"/>
      <c r="TBQ148" s="206"/>
      <c r="TBR148" s="207"/>
      <c r="TBS148" s="207"/>
      <c r="TBT148" s="208"/>
      <c r="TBU148" s="209"/>
      <c r="TBV148" s="207"/>
      <c r="TBW148" s="210"/>
      <c r="TBX148" s="209"/>
      <c r="TBY148" s="204"/>
      <c r="TBZ148" s="204"/>
      <c r="TCA148" s="204"/>
      <c r="TCB148" s="199"/>
      <c r="TCC148" s="167"/>
      <c r="TCD148" s="199"/>
      <c r="TCE148" s="200"/>
      <c r="TCF148" s="201"/>
      <c r="TCG148" s="202"/>
      <c r="TCH148" s="202"/>
      <c r="TCI148" s="202"/>
      <c r="TCJ148" s="202"/>
      <c r="TCK148" s="203"/>
      <c r="TCL148" s="204"/>
      <c r="TCM148" s="204"/>
      <c r="TCN148" s="204"/>
      <c r="TCO148" s="205"/>
      <c r="TCP148" s="206"/>
      <c r="TCQ148" s="207"/>
      <c r="TCR148" s="207"/>
      <c r="TCS148" s="208"/>
      <c r="TCT148" s="209"/>
      <c r="TCU148" s="207"/>
      <c r="TCV148" s="210"/>
      <c r="TCW148" s="209"/>
      <c r="TCX148" s="204"/>
      <c r="TCY148" s="204"/>
      <c r="TCZ148" s="204"/>
      <c r="TDA148" s="199"/>
      <c r="TDB148" s="167"/>
      <c r="TDC148" s="199"/>
      <c r="TDD148" s="200"/>
      <c r="TDE148" s="201"/>
      <c r="TDF148" s="202"/>
      <c r="TDG148" s="202"/>
      <c r="TDH148" s="202"/>
      <c r="TDI148" s="202"/>
      <c r="TDJ148" s="203"/>
      <c r="TDK148" s="204"/>
      <c r="TDL148" s="204"/>
      <c r="TDM148" s="204"/>
      <c r="TDN148" s="205"/>
      <c r="TDO148" s="206"/>
      <c r="TDP148" s="207"/>
      <c r="TDQ148" s="207"/>
      <c r="TDR148" s="208"/>
      <c r="TDS148" s="209"/>
      <c r="TDT148" s="207"/>
      <c r="TDU148" s="210"/>
      <c r="TDV148" s="209"/>
      <c r="TDW148" s="204"/>
      <c r="TDX148" s="204"/>
      <c r="TDY148" s="204"/>
      <c r="TDZ148" s="199"/>
      <c r="TEA148" s="167"/>
      <c r="TEB148" s="199"/>
      <c r="TEC148" s="200"/>
      <c r="TED148" s="201"/>
      <c r="TEE148" s="202"/>
      <c r="TEF148" s="202"/>
      <c r="TEG148" s="202"/>
      <c r="TEH148" s="202"/>
      <c r="TEI148" s="203"/>
      <c r="TEJ148" s="204"/>
      <c r="TEK148" s="204"/>
      <c r="TEL148" s="204"/>
      <c r="TEM148" s="205"/>
      <c r="TEN148" s="206"/>
      <c r="TEO148" s="207"/>
      <c r="TEP148" s="207"/>
      <c r="TEQ148" s="208"/>
      <c r="TER148" s="209"/>
      <c r="TES148" s="207"/>
      <c r="TET148" s="210"/>
      <c r="TEU148" s="209"/>
      <c r="TEV148" s="204"/>
      <c r="TEW148" s="204"/>
      <c r="TEX148" s="204"/>
      <c r="TEY148" s="199"/>
      <c r="TEZ148" s="167"/>
      <c r="TFA148" s="199"/>
      <c r="TFB148" s="200"/>
      <c r="TFC148" s="201"/>
      <c r="TFD148" s="202"/>
      <c r="TFE148" s="202"/>
      <c r="TFF148" s="202"/>
      <c r="TFG148" s="202"/>
      <c r="TFH148" s="203"/>
      <c r="TFI148" s="204"/>
      <c r="TFJ148" s="204"/>
      <c r="TFK148" s="204"/>
      <c r="TFL148" s="205"/>
      <c r="TFM148" s="206"/>
      <c r="TFN148" s="207"/>
      <c r="TFO148" s="207"/>
      <c r="TFP148" s="208"/>
      <c r="TFQ148" s="209"/>
      <c r="TFR148" s="207"/>
      <c r="TFS148" s="210"/>
      <c r="TFT148" s="209"/>
      <c r="TFU148" s="204"/>
      <c r="TFV148" s="204"/>
      <c r="TFW148" s="204"/>
      <c r="TFX148" s="199"/>
      <c r="TFY148" s="167"/>
      <c r="TFZ148" s="199"/>
      <c r="TGA148" s="200"/>
      <c r="TGB148" s="201"/>
      <c r="TGC148" s="202"/>
      <c r="TGD148" s="202"/>
      <c r="TGE148" s="202"/>
      <c r="TGF148" s="202"/>
      <c r="TGG148" s="203"/>
      <c r="TGH148" s="204"/>
      <c r="TGI148" s="204"/>
      <c r="TGJ148" s="204"/>
      <c r="TGK148" s="205"/>
      <c r="TGL148" s="206"/>
      <c r="TGM148" s="207"/>
      <c r="TGN148" s="207"/>
      <c r="TGO148" s="208"/>
      <c r="TGP148" s="209"/>
      <c r="TGQ148" s="207"/>
      <c r="TGR148" s="210"/>
      <c r="TGS148" s="209"/>
      <c r="TGT148" s="204"/>
      <c r="TGU148" s="204"/>
      <c r="TGV148" s="204"/>
      <c r="TGW148" s="199"/>
      <c r="TGX148" s="167"/>
      <c r="TGY148" s="199"/>
      <c r="TGZ148" s="200"/>
      <c r="THA148" s="201"/>
      <c r="THB148" s="202"/>
      <c r="THC148" s="202"/>
      <c r="THD148" s="202"/>
      <c r="THE148" s="202"/>
      <c r="THF148" s="203"/>
      <c r="THG148" s="204"/>
      <c r="THH148" s="204"/>
      <c r="THI148" s="204"/>
      <c r="THJ148" s="205"/>
      <c r="THK148" s="206"/>
      <c r="THL148" s="207"/>
      <c r="THM148" s="207"/>
      <c r="THN148" s="208"/>
      <c r="THO148" s="209"/>
      <c r="THP148" s="207"/>
      <c r="THQ148" s="210"/>
      <c r="THR148" s="209"/>
      <c r="THS148" s="204"/>
      <c r="THT148" s="204"/>
      <c r="THU148" s="204"/>
      <c r="THV148" s="199"/>
      <c r="THW148" s="167"/>
      <c r="THX148" s="199"/>
      <c r="THY148" s="200"/>
      <c r="THZ148" s="201"/>
      <c r="TIA148" s="202"/>
      <c r="TIB148" s="202"/>
      <c r="TIC148" s="202"/>
      <c r="TID148" s="202"/>
      <c r="TIE148" s="203"/>
      <c r="TIF148" s="204"/>
      <c r="TIG148" s="204"/>
      <c r="TIH148" s="204"/>
      <c r="TII148" s="205"/>
      <c r="TIJ148" s="206"/>
      <c r="TIK148" s="207"/>
      <c r="TIL148" s="207"/>
      <c r="TIM148" s="208"/>
      <c r="TIN148" s="209"/>
      <c r="TIO148" s="207"/>
      <c r="TIP148" s="210"/>
      <c r="TIQ148" s="209"/>
      <c r="TIR148" s="204"/>
      <c r="TIS148" s="204"/>
      <c r="TIT148" s="204"/>
      <c r="TIU148" s="199"/>
      <c r="TIV148" s="167"/>
      <c r="TIW148" s="199"/>
      <c r="TIX148" s="200"/>
      <c r="TIY148" s="201"/>
      <c r="TIZ148" s="202"/>
      <c r="TJA148" s="202"/>
      <c r="TJB148" s="202"/>
      <c r="TJC148" s="202"/>
      <c r="TJD148" s="203"/>
      <c r="TJE148" s="204"/>
      <c r="TJF148" s="204"/>
      <c r="TJG148" s="204"/>
      <c r="TJH148" s="205"/>
      <c r="TJI148" s="206"/>
      <c r="TJJ148" s="207"/>
      <c r="TJK148" s="207"/>
      <c r="TJL148" s="208"/>
      <c r="TJM148" s="209"/>
      <c r="TJN148" s="207"/>
      <c r="TJO148" s="210"/>
      <c r="TJP148" s="209"/>
      <c r="TJQ148" s="204"/>
      <c r="TJR148" s="204"/>
      <c r="TJS148" s="204"/>
      <c r="TJT148" s="199"/>
      <c r="TJU148" s="167"/>
      <c r="TJV148" s="199"/>
      <c r="TJW148" s="200"/>
      <c r="TJX148" s="201"/>
      <c r="TJY148" s="202"/>
      <c r="TJZ148" s="202"/>
      <c r="TKA148" s="202"/>
      <c r="TKB148" s="202"/>
      <c r="TKC148" s="203"/>
      <c r="TKD148" s="204"/>
      <c r="TKE148" s="204"/>
      <c r="TKF148" s="204"/>
      <c r="TKG148" s="205"/>
      <c r="TKH148" s="206"/>
      <c r="TKI148" s="207"/>
      <c r="TKJ148" s="207"/>
      <c r="TKK148" s="208"/>
      <c r="TKL148" s="209"/>
      <c r="TKM148" s="207"/>
      <c r="TKN148" s="210"/>
      <c r="TKO148" s="209"/>
      <c r="TKP148" s="204"/>
      <c r="TKQ148" s="204"/>
      <c r="TKR148" s="204"/>
      <c r="TKS148" s="199"/>
      <c r="TKT148" s="167"/>
      <c r="TKU148" s="199"/>
      <c r="TKV148" s="200"/>
      <c r="TKW148" s="201"/>
      <c r="TKX148" s="202"/>
      <c r="TKY148" s="202"/>
      <c r="TKZ148" s="202"/>
      <c r="TLA148" s="202"/>
      <c r="TLB148" s="203"/>
      <c r="TLC148" s="204"/>
      <c r="TLD148" s="204"/>
      <c r="TLE148" s="204"/>
      <c r="TLF148" s="205"/>
      <c r="TLG148" s="206"/>
      <c r="TLH148" s="207"/>
      <c r="TLI148" s="207"/>
      <c r="TLJ148" s="208"/>
      <c r="TLK148" s="209"/>
      <c r="TLL148" s="207"/>
      <c r="TLM148" s="210"/>
      <c r="TLN148" s="209"/>
      <c r="TLO148" s="204"/>
      <c r="TLP148" s="204"/>
      <c r="TLQ148" s="204"/>
      <c r="TLR148" s="199"/>
      <c r="TLS148" s="167"/>
      <c r="TLT148" s="199"/>
      <c r="TLU148" s="200"/>
      <c r="TLV148" s="201"/>
      <c r="TLW148" s="202"/>
      <c r="TLX148" s="202"/>
      <c r="TLY148" s="202"/>
      <c r="TLZ148" s="202"/>
      <c r="TMA148" s="203"/>
      <c r="TMB148" s="204"/>
      <c r="TMC148" s="204"/>
      <c r="TMD148" s="204"/>
      <c r="TME148" s="205"/>
      <c r="TMF148" s="206"/>
      <c r="TMG148" s="207"/>
      <c r="TMH148" s="207"/>
      <c r="TMI148" s="208"/>
      <c r="TMJ148" s="209"/>
      <c r="TMK148" s="207"/>
      <c r="TML148" s="210"/>
      <c r="TMM148" s="209"/>
      <c r="TMN148" s="204"/>
      <c r="TMO148" s="204"/>
      <c r="TMP148" s="204"/>
      <c r="TMQ148" s="199"/>
      <c r="TMR148" s="167"/>
      <c r="TMS148" s="199"/>
      <c r="TMT148" s="200"/>
      <c r="TMU148" s="201"/>
      <c r="TMV148" s="202"/>
      <c r="TMW148" s="202"/>
      <c r="TMX148" s="202"/>
      <c r="TMY148" s="202"/>
      <c r="TMZ148" s="203"/>
      <c r="TNA148" s="204"/>
      <c r="TNB148" s="204"/>
      <c r="TNC148" s="204"/>
      <c r="TND148" s="205"/>
      <c r="TNE148" s="206"/>
      <c r="TNF148" s="207"/>
      <c r="TNG148" s="207"/>
      <c r="TNH148" s="208"/>
      <c r="TNI148" s="209"/>
      <c r="TNJ148" s="207"/>
      <c r="TNK148" s="210"/>
      <c r="TNL148" s="209"/>
      <c r="TNM148" s="204"/>
      <c r="TNN148" s="204"/>
      <c r="TNO148" s="204"/>
      <c r="TNP148" s="199"/>
      <c r="TNQ148" s="167"/>
      <c r="TNR148" s="199"/>
      <c r="TNS148" s="200"/>
      <c r="TNT148" s="201"/>
      <c r="TNU148" s="202"/>
      <c r="TNV148" s="202"/>
      <c r="TNW148" s="202"/>
      <c r="TNX148" s="202"/>
      <c r="TNY148" s="203"/>
      <c r="TNZ148" s="204"/>
      <c r="TOA148" s="204"/>
      <c r="TOB148" s="204"/>
      <c r="TOC148" s="205"/>
      <c r="TOD148" s="206"/>
      <c r="TOE148" s="207"/>
      <c r="TOF148" s="207"/>
      <c r="TOG148" s="208"/>
      <c r="TOH148" s="209"/>
      <c r="TOI148" s="207"/>
      <c r="TOJ148" s="210"/>
      <c r="TOK148" s="209"/>
      <c r="TOL148" s="204"/>
      <c r="TOM148" s="204"/>
      <c r="TON148" s="204"/>
      <c r="TOO148" s="199"/>
      <c r="TOP148" s="167"/>
      <c r="TOQ148" s="199"/>
      <c r="TOR148" s="200"/>
      <c r="TOS148" s="201"/>
      <c r="TOT148" s="202"/>
      <c r="TOU148" s="202"/>
      <c r="TOV148" s="202"/>
      <c r="TOW148" s="202"/>
      <c r="TOX148" s="203"/>
      <c r="TOY148" s="204"/>
      <c r="TOZ148" s="204"/>
      <c r="TPA148" s="204"/>
      <c r="TPB148" s="205"/>
      <c r="TPC148" s="206"/>
      <c r="TPD148" s="207"/>
      <c r="TPE148" s="207"/>
      <c r="TPF148" s="208"/>
      <c r="TPG148" s="209"/>
      <c r="TPH148" s="207"/>
      <c r="TPI148" s="210"/>
      <c r="TPJ148" s="209"/>
      <c r="TPK148" s="204"/>
      <c r="TPL148" s="204"/>
      <c r="TPM148" s="204"/>
      <c r="TPN148" s="199"/>
      <c r="TPO148" s="167"/>
      <c r="TPP148" s="199"/>
      <c r="TPQ148" s="200"/>
      <c r="TPR148" s="201"/>
      <c r="TPS148" s="202"/>
      <c r="TPT148" s="202"/>
      <c r="TPU148" s="202"/>
      <c r="TPV148" s="202"/>
      <c r="TPW148" s="203"/>
      <c r="TPX148" s="204"/>
      <c r="TPY148" s="204"/>
      <c r="TPZ148" s="204"/>
      <c r="TQA148" s="205"/>
      <c r="TQB148" s="206"/>
      <c r="TQC148" s="207"/>
      <c r="TQD148" s="207"/>
      <c r="TQE148" s="208"/>
      <c r="TQF148" s="209"/>
      <c r="TQG148" s="207"/>
      <c r="TQH148" s="210"/>
      <c r="TQI148" s="209"/>
      <c r="TQJ148" s="204"/>
      <c r="TQK148" s="204"/>
      <c r="TQL148" s="204"/>
      <c r="TQM148" s="199"/>
      <c r="TQN148" s="167"/>
      <c r="TQO148" s="199"/>
      <c r="TQP148" s="200"/>
      <c r="TQQ148" s="201"/>
      <c r="TQR148" s="202"/>
      <c r="TQS148" s="202"/>
      <c r="TQT148" s="202"/>
      <c r="TQU148" s="202"/>
      <c r="TQV148" s="203"/>
      <c r="TQW148" s="204"/>
      <c r="TQX148" s="204"/>
      <c r="TQY148" s="204"/>
      <c r="TQZ148" s="205"/>
      <c r="TRA148" s="206"/>
      <c r="TRB148" s="207"/>
      <c r="TRC148" s="207"/>
      <c r="TRD148" s="208"/>
      <c r="TRE148" s="209"/>
      <c r="TRF148" s="207"/>
      <c r="TRG148" s="210"/>
      <c r="TRH148" s="209"/>
      <c r="TRI148" s="204"/>
      <c r="TRJ148" s="204"/>
      <c r="TRK148" s="204"/>
      <c r="TRL148" s="199"/>
      <c r="TRM148" s="167"/>
      <c r="TRN148" s="199"/>
      <c r="TRO148" s="200"/>
      <c r="TRP148" s="201"/>
      <c r="TRQ148" s="202"/>
      <c r="TRR148" s="202"/>
      <c r="TRS148" s="202"/>
      <c r="TRT148" s="202"/>
      <c r="TRU148" s="203"/>
      <c r="TRV148" s="204"/>
      <c r="TRW148" s="204"/>
      <c r="TRX148" s="204"/>
      <c r="TRY148" s="205"/>
      <c r="TRZ148" s="206"/>
      <c r="TSA148" s="207"/>
      <c r="TSB148" s="207"/>
      <c r="TSC148" s="208"/>
      <c r="TSD148" s="209"/>
      <c r="TSE148" s="207"/>
      <c r="TSF148" s="210"/>
      <c r="TSG148" s="209"/>
      <c r="TSH148" s="204"/>
      <c r="TSI148" s="204"/>
      <c r="TSJ148" s="204"/>
      <c r="TSK148" s="199"/>
      <c r="TSL148" s="167"/>
      <c r="TSM148" s="199"/>
      <c r="TSN148" s="200"/>
      <c r="TSO148" s="201"/>
      <c r="TSP148" s="202"/>
      <c r="TSQ148" s="202"/>
      <c r="TSR148" s="202"/>
      <c r="TSS148" s="202"/>
      <c r="TST148" s="203"/>
      <c r="TSU148" s="204"/>
      <c r="TSV148" s="204"/>
      <c r="TSW148" s="204"/>
      <c r="TSX148" s="205"/>
      <c r="TSY148" s="206"/>
      <c r="TSZ148" s="207"/>
      <c r="TTA148" s="207"/>
      <c r="TTB148" s="208"/>
      <c r="TTC148" s="209"/>
      <c r="TTD148" s="207"/>
      <c r="TTE148" s="210"/>
      <c r="TTF148" s="209"/>
      <c r="TTG148" s="204"/>
      <c r="TTH148" s="204"/>
      <c r="TTI148" s="204"/>
      <c r="TTJ148" s="199"/>
      <c r="TTK148" s="167"/>
      <c r="TTL148" s="199"/>
      <c r="TTM148" s="200"/>
      <c r="TTN148" s="201"/>
      <c r="TTO148" s="202"/>
      <c r="TTP148" s="202"/>
      <c r="TTQ148" s="202"/>
      <c r="TTR148" s="202"/>
      <c r="TTS148" s="203"/>
      <c r="TTT148" s="204"/>
      <c r="TTU148" s="204"/>
      <c r="TTV148" s="204"/>
      <c r="TTW148" s="205"/>
      <c r="TTX148" s="206"/>
      <c r="TTY148" s="207"/>
      <c r="TTZ148" s="207"/>
      <c r="TUA148" s="208"/>
      <c r="TUB148" s="209"/>
      <c r="TUC148" s="207"/>
      <c r="TUD148" s="210"/>
      <c r="TUE148" s="209"/>
      <c r="TUF148" s="204"/>
      <c r="TUG148" s="204"/>
      <c r="TUH148" s="204"/>
      <c r="TUI148" s="199"/>
      <c r="TUJ148" s="167"/>
      <c r="TUK148" s="199"/>
      <c r="TUL148" s="200"/>
      <c r="TUM148" s="201"/>
      <c r="TUN148" s="202"/>
      <c r="TUO148" s="202"/>
      <c r="TUP148" s="202"/>
      <c r="TUQ148" s="202"/>
      <c r="TUR148" s="203"/>
      <c r="TUS148" s="204"/>
      <c r="TUT148" s="204"/>
      <c r="TUU148" s="204"/>
      <c r="TUV148" s="205"/>
      <c r="TUW148" s="206"/>
      <c r="TUX148" s="207"/>
      <c r="TUY148" s="207"/>
      <c r="TUZ148" s="208"/>
      <c r="TVA148" s="209"/>
      <c r="TVB148" s="207"/>
      <c r="TVC148" s="210"/>
      <c r="TVD148" s="209"/>
      <c r="TVE148" s="204"/>
      <c r="TVF148" s="204"/>
      <c r="TVG148" s="204"/>
      <c r="TVH148" s="199"/>
      <c r="TVI148" s="167"/>
      <c r="TVJ148" s="199"/>
      <c r="TVK148" s="200"/>
      <c r="TVL148" s="201"/>
      <c r="TVM148" s="202"/>
      <c r="TVN148" s="202"/>
      <c r="TVO148" s="202"/>
      <c r="TVP148" s="202"/>
      <c r="TVQ148" s="203"/>
      <c r="TVR148" s="204"/>
      <c r="TVS148" s="204"/>
      <c r="TVT148" s="204"/>
      <c r="TVU148" s="205"/>
      <c r="TVV148" s="206"/>
      <c r="TVW148" s="207"/>
      <c r="TVX148" s="207"/>
      <c r="TVY148" s="208"/>
      <c r="TVZ148" s="209"/>
      <c r="TWA148" s="207"/>
      <c r="TWB148" s="210"/>
      <c r="TWC148" s="209"/>
      <c r="TWD148" s="204"/>
      <c r="TWE148" s="204"/>
      <c r="TWF148" s="204"/>
      <c r="TWG148" s="199"/>
      <c r="TWH148" s="167"/>
      <c r="TWI148" s="199"/>
      <c r="TWJ148" s="200"/>
      <c r="TWK148" s="201"/>
      <c r="TWL148" s="202"/>
      <c r="TWM148" s="202"/>
      <c r="TWN148" s="202"/>
      <c r="TWO148" s="202"/>
      <c r="TWP148" s="203"/>
      <c r="TWQ148" s="204"/>
      <c r="TWR148" s="204"/>
      <c r="TWS148" s="204"/>
      <c r="TWT148" s="205"/>
      <c r="TWU148" s="206"/>
      <c r="TWV148" s="207"/>
      <c r="TWW148" s="207"/>
      <c r="TWX148" s="208"/>
      <c r="TWY148" s="209"/>
      <c r="TWZ148" s="207"/>
      <c r="TXA148" s="210"/>
      <c r="TXB148" s="209"/>
      <c r="TXC148" s="204"/>
      <c r="TXD148" s="204"/>
      <c r="TXE148" s="204"/>
      <c r="TXF148" s="199"/>
      <c r="TXG148" s="167"/>
      <c r="TXH148" s="199"/>
      <c r="TXI148" s="200"/>
      <c r="TXJ148" s="201"/>
      <c r="TXK148" s="202"/>
      <c r="TXL148" s="202"/>
      <c r="TXM148" s="202"/>
      <c r="TXN148" s="202"/>
      <c r="TXO148" s="203"/>
      <c r="TXP148" s="204"/>
      <c r="TXQ148" s="204"/>
      <c r="TXR148" s="204"/>
      <c r="TXS148" s="205"/>
      <c r="TXT148" s="206"/>
      <c r="TXU148" s="207"/>
      <c r="TXV148" s="207"/>
      <c r="TXW148" s="208"/>
      <c r="TXX148" s="209"/>
      <c r="TXY148" s="207"/>
      <c r="TXZ148" s="210"/>
      <c r="TYA148" s="209"/>
      <c r="TYB148" s="204"/>
      <c r="TYC148" s="204"/>
      <c r="TYD148" s="204"/>
      <c r="TYE148" s="199"/>
      <c r="TYF148" s="167"/>
      <c r="TYG148" s="199"/>
      <c r="TYH148" s="200"/>
      <c r="TYI148" s="201"/>
      <c r="TYJ148" s="202"/>
      <c r="TYK148" s="202"/>
      <c r="TYL148" s="202"/>
      <c r="TYM148" s="202"/>
      <c r="TYN148" s="203"/>
      <c r="TYO148" s="204"/>
      <c r="TYP148" s="204"/>
      <c r="TYQ148" s="204"/>
      <c r="TYR148" s="205"/>
      <c r="TYS148" s="206"/>
      <c r="TYT148" s="207"/>
      <c r="TYU148" s="207"/>
      <c r="TYV148" s="208"/>
      <c r="TYW148" s="209"/>
      <c r="TYX148" s="207"/>
      <c r="TYY148" s="210"/>
      <c r="TYZ148" s="209"/>
      <c r="TZA148" s="204"/>
      <c r="TZB148" s="204"/>
      <c r="TZC148" s="204"/>
      <c r="TZD148" s="199"/>
      <c r="TZE148" s="167"/>
      <c r="TZF148" s="199"/>
      <c r="TZG148" s="200"/>
      <c r="TZH148" s="201"/>
      <c r="TZI148" s="202"/>
      <c r="TZJ148" s="202"/>
      <c r="TZK148" s="202"/>
      <c r="TZL148" s="202"/>
      <c r="TZM148" s="203"/>
      <c r="TZN148" s="204"/>
      <c r="TZO148" s="204"/>
      <c r="TZP148" s="204"/>
      <c r="TZQ148" s="205"/>
      <c r="TZR148" s="206"/>
      <c r="TZS148" s="207"/>
      <c r="TZT148" s="207"/>
      <c r="TZU148" s="208"/>
      <c r="TZV148" s="209"/>
      <c r="TZW148" s="207"/>
      <c r="TZX148" s="210"/>
      <c r="TZY148" s="209"/>
      <c r="TZZ148" s="204"/>
      <c r="UAA148" s="204"/>
      <c r="UAB148" s="204"/>
      <c r="UAC148" s="199"/>
      <c r="UAD148" s="167"/>
      <c r="UAE148" s="199"/>
      <c r="UAF148" s="200"/>
      <c r="UAG148" s="201"/>
      <c r="UAH148" s="202"/>
      <c r="UAI148" s="202"/>
      <c r="UAJ148" s="202"/>
      <c r="UAK148" s="202"/>
      <c r="UAL148" s="203"/>
      <c r="UAM148" s="204"/>
      <c r="UAN148" s="204"/>
      <c r="UAO148" s="204"/>
      <c r="UAP148" s="205"/>
      <c r="UAQ148" s="206"/>
      <c r="UAR148" s="207"/>
      <c r="UAS148" s="207"/>
      <c r="UAT148" s="208"/>
      <c r="UAU148" s="209"/>
      <c r="UAV148" s="207"/>
      <c r="UAW148" s="210"/>
      <c r="UAX148" s="209"/>
      <c r="UAY148" s="204"/>
      <c r="UAZ148" s="204"/>
      <c r="UBA148" s="204"/>
      <c r="UBB148" s="199"/>
      <c r="UBC148" s="167"/>
      <c r="UBD148" s="199"/>
      <c r="UBE148" s="200"/>
      <c r="UBF148" s="201"/>
      <c r="UBG148" s="202"/>
      <c r="UBH148" s="202"/>
      <c r="UBI148" s="202"/>
      <c r="UBJ148" s="202"/>
      <c r="UBK148" s="203"/>
      <c r="UBL148" s="204"/>
      <c r="UBM148" s="204"/>
      <c r="UBN148" s="204"/>
      <c r="UBO148" s="205"/>
      <c r="UBP148" s="206"/>
      <c r="UBQ148" s="207"/>
      <c r="UBR148" s="207"/>
      <c r="UBS148" s="208"/>
      <c r="UBT148" s="209"/>
      <c r="UBU148" s="207"/>
      <c r="UBV148" s="210"/>
      <c r="UBW148" s="209"/>
      <c r="UBX148" s="204"/>
      <c r="UBY148" s="204"/>
      <c r="UBZ148" s="204"/>
      <c r="UCA148" s="199"/>
      <c r="UCB148" s="167"/>
      <c r="UCC148" s="199"/>
      <c r="UCD148" s="200"/>
      <c r="UCE148" s="201"/>
      <c r="UCF148" s="202"/>
      <c r="UCG148" s="202"/>
      <c r="UCH148" s="202"/>
      <c r="UCI148" s="202"/>
      <c r="UCJ148" s="203"/>
      <c r="UCK148" s="204"/>
      <c r="UCL148" s="204"/>
      <c r="UCM148" s="204"/>
      <c r="UCN148" s="205"/>
      <c r="UCO148" s="206"/>
      <c r="UCP148" s="207"/>
      <c r="UCQ148" s="207"/>
      <c r="UCR148" s="208"/>
      <c r="UCS148" s="209"/>
      <c r="UCT148" s="207"/>
      <c r="UCU148" s="210"/>
      <c r="UCV148" s="209"/>
      <c r="UCW148" s="204"/>
      <c r="UCX148" s="204"/>
      <c r="UCY148" s="204"/>
      <c r="UCZ148" s="199"/>
      <c r="UDA148" s="167"/>
      <c r="UDB148" s="199"/>
      <c r="UDC148" s="200"/>
      <c r="UDD148" s="201"/>
      <c r="UDE148" s="202"/>
      <c r="UDF148" s="202"/>
      <c r="UDG148" s="202"/>
      <c r="UDH148" s="202"/>
      <c r="UDI148" s="203"/>
      <c r="UDJ148" s="204"/>
      <c r="UDK148" s="204"/>
      <c r="UDL148" s="204"/>
      <c r="UDM148" s="205"/>
      <c r="UDN148" s="206"/>
      <c r="UDO148" s="207"/>
      <c r="UDP148" s="207"/>
      <c r="UDQ148" s="208"/>
      <c r="UDR148" s="209"/>
      <c r="UDS148" s="207"/>
      <c r="UDT148" s="210"/>
      <c r="UDU148" s="209"/>
      <c r="UDV148" s="204"/>
      <c r="UDW148" s="204"/>
      <c r="UDX148" s="204"/>
      <c r="UDY148" s="199"/>
      <c r="UDZ148" s="167"/>
      <c r="UEA148" s="199"/>
      <c r="UEB148" s="200"/>
      <c r="UEC148" s="201"/>
      <c r="UED148" s="202"/>
      <c r="UEE148" s="202"/>
      <c r="UEF148" s="202"/>
      <c r="UEG148" s="202"/>
      <c r="UEH148" s="203"/>
      <c r="UEI148" s="204"/>
      <c r="UEJ148" s="204"/>
      <c r="UEK148" s="204"/>
      <c r="UEL148" s="205"/>
      <c r="UEM148" s="206"/>
      <c r="UEN148" s="207"/>
      <c r="UEO148" s="207"/>
      <c r="UEP148" s="208"/>
      <c r="UEQ148" s="209"/>
      <c r="UER148" s="207"/>
      <c r="UES148" s="210"/>
      <c r="UET148" s="209"/>
      <c r="UEU148" s="204"/>
      <c r="UEV148" s="204"/>
      <c r="UEW148" s="204"/>
      <c r="UEX148" s="199"/>
      <c r="UEY148" s="167"/>
      <c r="UEZ148" s="199"/>
      <c r="UFA148" s="200"/>
      <c r="UFB148" s="201"/>
      <c r="UFC148" s="202"/>
      <c r="UFD148" s="202"/>
      <c r="UFE148" s="202"/>
      <c r="UFF148" s="202"/>
      <c r="UFG148" s="203"/>
      <c r="UFH148" s="204"/>
      <c r="UFI148" s="204"/>
      <c r="UFJ148" s="204"/>
      <c r="UFK148" s="205"/>
      <c r="UFL148" s="206"/>
      <c r="UFM148" s="207"/>
      <c r="UFN148" s="207"/>
      <c r="UFO148" s="208"/>
      <c r="UFP148" s="209"/>
      <c r="UFQ148" s="207"/>
      <c r="UFR148" s="210"/>
      <c r="UFS148" s="209"/>
      <c r="UFT148" s="204"/>
      <c r="UFU148" s="204"/>
      <c r="UFV148" s="204"/>
      <c r="UFW148" s="199"/>
      <c r="UFX148" s="167"/>
      <c r="UFY148" s="199"/>
      <c r="UFZ148" s="200"/>
      <c r="UGA148" s="201"/>
      <c r="UGB148" s="202"/>
      <c r="UGC148" s="202"/>
      <c r="UGD148" s="202"/>
      <c r="UGE148" s="202"/>
      <c r="UGF148" s="203"/>
      <c r="UGG148" s="204"/>
      <c r="UGH148" s="204"/>
      <c r="UGI148" s="204"/>
      <c r="UGJ148" s="205"/>
      <c r="UGK148" s="206"/>
      <c r="UGL148" s="207"/>
      <c r="UGM148" s="207"/>
      <c r="UGN148" s="208"/>
      <c r="UGO148" s="209"/>
      <c r="UGP148" s="207"/>
      <c r="UGQ148" s="210"/>
      <c r="UGR148" s="209"/>
      <c r="UGS148" s="204"/>
      <c r="UGT148" s="204"/>
      <c r="UGU148" s="204"/>
      <c r="UGV148" s="199"/>
      <c r="UGW148" s="167"/>
      <c r="UGX148" s="199"/>
      <c r="UGY148" s="200"/>
      <c r="UGZ148" s="201"/>
      <c r="UHA148" s="202"/>
      <c r="UHB148" s="202"/>
      <c r="UHC148" s="202"/>
      <c r="UHD148" s="202"/>
      <c r="UHE148" s="203"/>
      <c r="UHF148" s="204"/>
      <c r="UHG148" s="204"/>
      <c r="UHH148" s="204"/>
      <c r="UHI148" s="205"/>
      <c r="UHJ148" s="206"/>
      <c r="UHK148" s="207"/>
      <c r="UHL148" s="207"/>
      <c r="UHM148" s="208"/>
      <c r="UHN148" s="209"/>
      <c r="UHO148" s="207"/>
      <c r="UHP148" s="210"/>
      <c r="UHQ148" s="209"/>
      <c r="UHR148" s="204"/>
      <c r="UHS148" s="204"/>
      <c r="UHT148" s="204"/>
      <c r="UHU148" s="199"/>
      <c r="UHV148" s="167"/>
      <c r="UHW148" s="199"/>
      <c r="UHX148" s="200"/>
      <c r="UHY148" s="201"/>
      <c r="UHZ148" s="202"/>
      <c r="UIA148" s="202"/>
      <c r="UIB148" s="202"/>
      <c r="UIC148" s="202"/>
      <c r="UID148" s="203"/>
      <c r="UIE148" s="204"/>
      <c r="UIF148" s="204"/>
      <c r="UIG148" s="204"/>
      <c r="UIH148" s="205"/>
      <c r="UII148" s="206"/>
      <c r="UIJ148" s="207"/>
      <c r="UIK148" s="207"/>
      <c r="UIL148" s="208"/>
      <c r="UIM148" s="209"/>
      <c r="UIN148" s="207"/>
      <c r="UIO148" s="210"/>
      <c r="UIP148" s="209"/>
      <c r="UIQ148" s="204"/>
      <c r="UIR148" s="204"/>
      <c r="UIS148" s="204"/>
      <c r="UIT148" s="199"/>
      <c r="UIU148" s="167"/>
      <c r="UIV148" s="199"/>
      <c r="UIW148" s="200"/>
      <c r="UIX148" s="201"/>
      <c r="UIY148" s="202"/>
      <c r="UIZ148" s="202"/>
      <c r="UJA148" s="202"/>
      <c r="UJB148" s="202"/>
      <c r="UJC148" s="203"/>
      <c r="UJD148" s="204"/>
      <c r="UJE148" s="204"/>
      <c r="UJF148" s="204"/>
      <c r="UJG148" s="205"/>
      <c r="UJH148" s="206"/>
      <c r="UJI148" s="207"/>
      <c r="UJJ148" s="207"/>
      <c r="UJK148" s="208"/>
      <c r="UJL148" s="209"/>
      <c r="UJM148" s="207"/>
      <c r="UJN148" s="210"/>
      <c r="UJO148" s="209"/>
      <c r="UJP148" s="204"/>
      <c r="UJQ148" s="204"/>
      <c r="UJR148" s="204"/>
      <c r="UJS148" s="199"/>
      <c r="UJT148" s="167"/>
      <c r="UJU148" s="199"/>
      <c r="UJV148" s="200"/>
      <c r="UJW148" s="201"/>
      <c r="UJX148" s="202"/>
      <c r="UJY148" s="202"/>
      <c r="UJZ148" s="202"/>
      <c r="UKA148" s="202"/>
      <c r="UKB148" s="203"/>
      <c r="UKC148" s="204"/>
      <c r="UKD148" s="204"/>
      <c r="UKE148" s="204"/>
      <c r="UKF148" s="205"/>
      <c r="UKG148" s="206"/>
      <c r="UKH148" s="207"/>
      <c r="UKI148" s="207"/>
      <c r="UKJ148" s="208"/>
      <c r="UKK148" s="209"/>
      <c r="UKL148" s="207"/>
      <c r="UKM148" s="210"/>
      <c r="UKN148" s="209"/>
      <c r="UKO148" s="204"/>
      <c r="UKP148" s="204"/>
      <c r="UKQ148" s="204"/>
      <c r="UKR148" s="199"/>
      <c r="UKS148" s="167"/>
      <c r="UKT148" s="199"/>
      <c r="UKU148" s="200"/>
      <c r="UKV148" s="201"/>
      <c r="UKW148" s="202"/>
      <c r="UKX148" s="202"/>
      <c r="UKY148" s="202"/>
      <c r="UKZ148" s="202"/>
      <c r="ULA148" s="203"/>
      <c r="ULB148" s="204"/>
      <c r="ULC148" s="204"/>
      <c r="ULD148" s="204"/>
      <c r="ULE148" s="205"/>
      <c r="ULF148" s="206"/>
      <c r="ULG148" s="207"/>
      <c r="ULH148" s="207"/>
      <c r="ULI148" s="208"/>
      <c r="ULJ148" s="209"/>
      <c r="ULK148" s="207"/>
      <c r="ULL148" s="210"/>
      <c r="ULM148" s="209"/>
      <c r="ULN148" s="204"/>
      <c r="ULO148" s="204"/>
      <c r="ULP148" s="204"/>
      <c r="ULQ148" s="199"/>
      <c r="ULR148" s="167"/>
      <c r="ULS148" s="199"/>
      <c r="ULT148" s="200"/>
      <c r="ULU148" s="201"/>
      <c r="ULV148" s="202"/>
      <c r="ULW148" s="202"/>
      <c r="ULX148" s="202"/>
      <c r="ULY148" s="202"/>
      <c r="ULZ148" s="203"/>
      <c r="UMA148" s="204"/>
      <c r="UMB148" s="204"/>
      <c r="UMC148" s="204"/>
      <c r="UMD148" s="205"/>
      <c r="UME148" s="206"/>
      <c r="UMF148" s="207"/>
      <c r="UMG148" s="207"/>
      <c r="UMH148" s="208"/>
      <c r="UMI148" s="209"/>
      <c r="UMJ148" s="207"/>
      <c r="UMK148" s="210"/>
      <c r="UML148" s="209"/>
      <c r="UMM148" s="204"/>
      <c r="UMN148" s="204"/>
      <c r="UMO148" s="204"/>
      <c r="UMP148" s="199"/>
      <c r="UMQ148" s="167"/>
      <c r="UMR148" s="199"/>
      <c r="UMS148" s="200"/>
      <c r="UMT148" s="201"/>
      <c r="UMU148" s="202"/>
      <c r="UMV148" s="202"/>
      <c r="UMW148" s="202"/>
      <c r="UMX148" s="202"/>
      <c r="UMY148" s="203"/>
      <c r="UMZ148" s="204"/>
      <c r="UNA148" s="204"/>
      <c r="UNB148" s="204"/>
      <c r="UNC148" s="205"/>
      <c r="UND148" s="206"/>
      <c r="UNE148" s="207"/>
      <c r="UNF148" s="207"/>
      <c r="UNG148" s="208"/>
      <c r="UNH148" s="209"/>
      <c r="UNI148" s="207"/>
      <c r="UNJ148" s="210"/>
      <c r="UNK148" s="209"/>
      <c r="UNL148" s="204"/>
      <c r="UNM148" s="204"/>
      <c r="UNN148" s="204"/>
      <c r="UNO148" s="199"/>
      <c r="UNP148" s="167"/>
      <c r="UNQ148" s="199"/>
      <c r="UNR148" s="200"/>
      <c r="UNS148" s="201"/>
      <c r="UNT148" s="202"/>
      <c r="UNU148" s="202"/>
      <c r="UNV148" s="202"/>
      <c r="UNW148" s="202"/>
      <c r="UNX148" s="203"/>
      <c r="UNY148" s="204"/>
      <c r="UNZ148" s="204"/>
      <c r="UOA148" s="204"/>
      <c r="UOB148" s="205"/>
      <c r="UOC148" s="206"/>
      <c r="UOD148" s="207"/>
      <c r="UOE148" s="207"/>
      <c r="UOF148" s="208"/>
      <c r="UOG148" s="209"/>
      <c r="UOH148" s="207"/>
      <c r="UOI148" s="210"/>
      <c r="UOJ148" s="209"/>
      <c r="UOK148" s="204"/>
      <c r="UOL148" s="204"/>
      <c r="UOM148" s="204"/>
      <c r="UON148" s="199"/>
      <c r="UOO148" s="167"/>
      <c r="UOP148" s="199"/>
      <c r="UOQ148" s="200"/>
      <c r="UOR148" s="201"/>
      <c r="UOS148" s="202"/>
      <c r="UOT148" s="202"/>
      <c r="UOU148" s="202"/>
      <c r="UOV148" s="202"/>
      <c r="UOW148" s="203"/>
      <c r="UOX148" s="204"/>
      <c r="UOY148" s="204"/>
      <c r="UOZ148" s="204"/>
      <c r="UPA148" s="205"/>
      <c r="UPB148" s="206"/>
      <c r="UPC148" s="207"/>
      <c r="UPD148" s="207"/>
      <c r="UPE148" s="208"/>
      <c r="UPF148" s="209"/>
      <c r="UPG148" s="207"/>
      <c r="UPH148" s="210"/>
      <c r="UPI148" s="209"/>
      <c r="UPJ148" s="204"/>
      <c r="UPK148" s="204"/>
      <c r="UPL148" s="204"/>
      <c r="UPM148" s="199"/>
      <c r="UPN148" s="167"/>
      <c r="UPO148" s="199"/>
      <c r="UPP148" s="200"/>
      <c r="UPQ148" s="201"/>
      <c r="UPR148" s="202"/>
      <c r="UPS148" s="202"/>
      <c r="UPT148" s="202"/>
      <c r="UPU148" s="202"/>
      <c r="UPV148" s="203"/>
      <c r="UPW148" s="204"/>
      <c r="UPX148" s="204"/>
      <c r="UPY148" s="204"/>
      <c r="UPZ148" s="205"/>
      <c r="UQA148" s="206"/>
      <c r="UQB148" s="207"/>
      <c r="UQC148" s="207"/>
      <c r="UQD148" s="208"/>
      <c r="UQE148" s="209"/>
      <c r="UQF148" s="207"/>
      <c r="UQG148" s="210"/>
      <c r="UQH148" s="209"/>
      <c r="UQI148" s="204"/>
      <c r="UQJ148" s="204"/>
      <c r="UQK148" s="204"/>
      <c r="UQL148" s="199"/>
      <c r="UQM148" s="167"/>
      <c r="UQN148" s="199"/>
      <c r="UQO148" s="200"/>
      <c r="UQP148" s="201"/>
      <c r="UQQ148" s="202"/>
      <c r="UQR148" s="202"/>
      <c r="UQS148" s="202"/>
      <c r="UQT148" s="202"/>
      <c r="UQU148" s="203"/>
      <c r="UQV148" s="204"/>
      <c r="UQW148" s="204"/>
      <c r="UQX148" s="204"/>
      <c r="UQY148" s="205"/>
      <c r="UQZ148" s="206"/>
      <c r="URA148" s="207"/>
      <c r="URB148" s="207"/>
      <c r="URC148" s="208"/>
      <c r="URD148" s="209"/>
      <c r="URE148" s="207"/>
      <c r="URF148" s="210"/>
      <c r="URG148" s="209"/>
      <c r="URH148" s="204"/>
      <c r="URI148" s="204"/>
      <c r="URJ148" s="204"/>
      <c r="URK148" s="199"/>
      <c r="URL148" s="167"/>
      <c r="URM148" s="199"/>
      <c r="URN148" s="200"/>
      <c r="URO148" s="201"/>
      <c r="URP148" s="202"/>
      <c r="URQ148" s="202"/>
      <c r="URR148" s="202"/>
      <c r="URS148" s="202"/>
      <c r="URT148" s="203"/>
      <c r="URU148" s="204"/>
      <c r="URV148" s="204"/>
      <c r="URW148" s="204"/>
      <c r="URX148" s="205"/>
      <c r="URY148" s="206"/>
      <c r="URZ148" s="207"/>
      <c r="USA148" s="207"/>
      <c r="USB148" s="208"/>
      <c r="USC148" s="209"/>
      <c r="USD148" s="207"/>
      <c r="USE148" s="210"/>
      <c r="USF148" s="209"/>
      <c r="USG148" s="204"/>
      <c r="USH148" s="204"/>
      <c r="USI148" s="204"/>
      <c r="USJ148" s="199"/>
      <c r="USK148" s="167"/>
      <c r="USL148" s="199"/>
      <c r="USM148" s="200"/>
      <c r="USN148" s="201"/>
      <c r="USO148" s="202"/>
      <c r="USP148" s="202"/>
      <c r="USQ148" s="202"/>
      <c r="USR148" s="202"/>
      <c r="USS148" s="203"/>
      <c r="UST148" s="204"/>
      <c r="USU148" s="204"/>
      <c r="USV148" s="204"/>
      <c r="USW148" s="205"/>
      <c r="USX148" s="206"/>
      <c r="USY148" s="207"/>
      <c r="USZ148" s="207"/>
      <c r="UTA148" s="208"/>
      <c r="UTB148" s="209"/>
      <c r="UTC148" s="207"/>
      <c r="UTD148" s="210"/>
      <c r="UTE148" s="209"/>
      <c r="UTF148" s="204"/>
      <c r="UTG148" s="204"/>
      <c r="UTH148" s="204"/>
      <c r="UTI148" s="199"/>
      <c r="UTJ148" s="167"/>
      <c r="UTK148" s="199"/>
      <c r="UTL148" s="200"/>
      <c r="UTM148" s="201"/>
      <c r="UTN148" s="202"/>
      <c r="UTO148" s="202"/>
      <c r="UTP148" s="202"/>
      <c r="UTQ148" s="202"/>
      <c r="UTR148" s="203"/>
      <c r="UTS148" s="204"/>
      <c r="UTT148" s="204"/>
      <c r="UTU148" s="204"/>
      <c r="UTV148" s="205"/>
      <c r="UTW148" s="206"/>
      <c r="UTX148" s="207"/>
      <c r="UTY148" s="207"/>
      <c r="UTZ148" s="208"/>
      <c r="UUA148" s="209"/>
      <c r="UUB148" s="207"/>
      <c r="UUC148" s="210"/>
      <c r="UUD148" s="209"/>
      <c r="UUE148" s="204"/>
      <c r="UUF148" s="204"/>
      <c r="UUG148" s="204"/>
      <c r="UUH148" s="199"/>
      <c r="UUI148" s="167"/>
      <c r="UUJ148" s="199"/>
      <c r="UUK148" s="200"/>
      <c r="UUL148" s="201"/>
      <c r="UUM148" s="202"/>
      <c r="UUN148" s="202"/>
      <c r="UUO148" s="202"/>
      <c r="UUP148" s="202"/>
      <c r="UUQ148" s="203"/>
      <c r="UUR148" s="204"/>
      <c r="UUS148" s="204"/>
      <c r="UUT148" s="204"/>
      <c r="UUU148" s="205"/>
      <c r="UUV148" s="206"/>
      <c r="UUW148" s="207"/>
      <c r="UUX148" s="207"/>
      <c r="UUY148" s="208"/>
      <c r="UUZ148" s="209"/>
      <c r="UVA148" s="207"/>
      <c r="UVB148" s="210"/>
      <c r="UVC148" s="209"/>
      <c r="UVD148" s="204"/>
      <c r="UVE148" s="204"/>
      <c r="UVF148" s="204"/>
      <c r="UVG148" s="199"/>
      <c r="UVH148" s="167"/>
      <c r="UVI148" s="199"/>
      <c r="UVJ148" s="200"/>
      <c r="UVK148" s="201"/>
      <c r="UVL148" s="202"/>
      <c r="UVM148" s="202"/>
      <c r="UVN148" s="202"/>
      <c r="UVO148" s="202"/>
      <c r="UVP148" s="203"/>
      <c r="UVQ148" s="204"/>
      <c r="UVR148" s="204"/>
      <c r="UVS148" s="204"/>
      <c r="UVT148" s="205"/>
      <c r="UVU148" s="206"/>
      <c r="UVV148" s="207"/>
      <c r="UVW148" s="207"/>
      <c r="UVX148" s="208"/>
      <c r="UVY148" s="209"/>
      <c r="UVZ148" s="207"/>
      <c r="UWA148" s="210"/>
      <c r="UWB148" s="209"/>
      <c r="UWC148" s="204"/>
      <c r="UWD148" s="204"/>
      <c r="UWE148" s="204"/>
      <c r="UWF148" s="199"/>
      <c r="UWG148" s="167"/>
      <c r="UWH148" s="199"/>
      <c r="UWI148" s="200"/>
      <c r="UWJ148" s="201"/>
      <c r="UWK148" s="202"/>
      <c r="UWL148" s="202"/>
      <c r="UWM148" s="202"/>
      <c r="UWN148" s="202"/>
      <c r="UWO148" s="203"/>
      <c r="UWP148" s="204"/>
      <c r="UWQ148" s="204"/>
      <c r="UWR148" s="204"/>
      <c r="UWS148" s="205"/>
      <c r="UWT148" s="206"/>
      <c r="UWU148" s="207"/>
      <c r="UWV148" s="207"/>
      <c r="UWW148" s="208"/>
      <c r="UWX148" s="209"/>
      <c r="UWY148" s="207"/>
      <c r="UWZ148" s="210"/>
      <c r="UXA148" s="209"/>
      <c r="UXB148" s="204"/>
      <c r="UXC148" s="204"/>
      <c r="UXD148" s="204"/>
      <c r="UXE148" s="199"/>
      <c r="UXF148" s="167"/>
      <c r="UXG148" s="199"/>
      <c r="UXH148" s="200"/>
      <c r="UXI148" s="201"/>
      <c r="UXJ148" s="202"/>
      <c r="UXK148" s="202"/>
      <c r="UXL148" s="202"/>
      <c r="UXM148" s="202"/>
      <c r="UXN148" s="203"/>
      <c r="UXO148" s="204"/>
      <c r="UXP148" s="204"/>
      <c r="UXQ148" s="204"/>
      <c r="UXR148" s="205"/>
      <c r="UXS148" s="206"/>
      <c r="UXT148" s="207"/>
      <c r="UXU148" s="207"/>
      <c r="UXV148" s="208"/>
      <c r="UXW148" s="209"/>
      <c r="UXX148" s="207"/>
      <c r="UXY148" s="210"/>
      <c r="UXZ148" s="209"/>
      <c r="UYA148" s="204"/>
      <c r="UYB148" s="204"/>
      <c r="UYC148" s="204"/>
      <c r="UYD148" s="199"/>
      <c r="UYE148" s="167"/>
      <c r="UYF148" s="199"/>
      <c r="UYG148" s="200"/>
      <c r="UYH148" s="201"/>
      <c r="UYI148" s="202"/>
      <c r="UYJ148" s="202"/>
      <c r="UYK148" s="202"/>
      <c r="UYL148" s="202"/>
      <c r="UYM148" s="203"/>
      <c r="UYN148" s="204"/>
      <c r="UYO148" s="204"/>
      <c r="UYP148" s="204"/>
      <c r="UYQ148" s="205"/>
      <c r="UYR148" s="206"/>
      <c r="UYS148" s="207"/>
      <c r="UYT148" s="207"/>
      <c r="UYU148" s="208"/>
      <c r="UYV148" s="209"/>
      <c r="UYW148" s="207"/>
      <c r="UYX148" s="210"/>
      <c r="UYY148" s="209"/>
      <c r="UYZ148" s="204"/>
      <c r="UZA148" s="204"/>
      <c r="UZB148" s="204"/>
      <c r="UZC148" s="199"/>
      <c r="UZD148" s="167"/>
      <c r="UZE148" s="199"/>
      <c r="UZF148" s="200"/>
      <c r="UZG148" s="201"/>
      <c r="UZH148" s="202"/>
      <c r="UZI148" s="202"/>
      <c r="UZJ148" s="202"/>
      <c r="UZK148" s="202"/>
      <c r="UZL148" s="203"/>
      <c r="UZM148" s="204"/>
      <c r="UZN148" s="204"/>
      <c r="UZO148" s="204"/>
      <c r="UZP148" s="205"/>
      <c r="UZQ148" s="206"/>
      <c r="UZR148" s="207"/>
      <c r="UZS148" s="207"/>
      <c r="UZT148" s="208"/>
      <c r="UZU148" s="209"/>
      <c r="UZV148" s="207"/>
      <c r="UZW148" s="210"/>
      <c r="UZX148" s="209"/>
      <c r="UZY148" s="204"/>
      <c r="UZZ148" s="204"/>
      <c r="VAA148" s="204"/>
      <c r="VAB148" s="199"/>
      <c r="VAC148" s="167"/>
      <c r="VAD148" s="199"/>
      <c r="VAE148" s="200"/>
      <c r="VAF148" s="201"/>
      <c r="VAG148" s="202"/>
      <c r="VAH148" s="202"/>
      <c r="VAI148" s="202"/>
      <c r="VAJ148" s="202"/>
      <c r="VAK148" s="203"/>
      <c r="VAL148" s="204"/>
      <c r="VAM148" s="204"/>
      <c r="VAN148" s="204"/>
      <c r="VAO148" s="205"/>
      <c r="VAP148" s="206"/>
      <c r="VAQ148" s="207"/>
      <c r="VAR148" s="207"/>
      <c r="VAS148" s="208"/>
      <c r="VAT148" s="209"/>
      <c r="VAU148" s="207"/>
      <c r="VAV148" s="210"/>
      <c r="VAW148" s="209"/>
      <c r="VAX148" s="204"/>
      <c r="VAY148" s="204"/>
      <c r="VAZ148" s="204"/>
      <c r="VBA148" s="199"/>
      <c r="VBB148" s="167"/>
      <c r="VBC148" s="199"/>
      <c r="VBD148" s="200"/>
      <c r="VBE148" s="201"/>
      <c r="VBF148" s="202"/>
      <c r="VBG148" s="202"/>
      <c r="VBH148" s="202"/>
      <c r="VBI148" s="202"/>
      <c r="VBJ148" s="203"/>
      <c r="VBK148" s="204"/>
      <c r="VBL148" s="204"/>
      <c r="VBM148" s="204"/>
      <c r="VBN148" s="205"/>
      <c r="VBO148" s="206"/>
      <c r="VBP148" s="207"/>
      <c r="VBQ148" s="207"/>
      <c r="VBR148" s="208"/>
      <c r="VBS148" s="209"/>
      <c r="VBT148" s="207"/>
      <c r="VBU148" s="210"/>
      <c r="VBV148" s="209"/>
      <c r="VBW148" s="204"/>
      <c r="VBX148" s="204"/>
      <c r="VBY148" s="204"/>
      <c r="VBZ148" s="199"/>
      <c r="VCA148" s="167"/>
      <c r="VCB148" s="199"/>
      <c r="VCC148" s="200"/>
      <c r="VCD148" s="201"/>
      <c r="VCE148" s="202"/>
      <c r="VCF148" s="202"/>
      <c r="VCG148" s="202"/>
      <c r="VCH148" s="202"/>
      <c r="VCI148" s="203"/>
      <c r="VCJ148" s="204"/>
      <c r="VCK148" s="204"/>
      <c r="VCL148" s="204"/>
      <c r="VCM148" s="205"/>
      <c r="VCN148" s="206"/>
      <c r="VCO148" s="207"/>
      <c r="VCP148" s="207"/>
      <c r="VCQ148" s="208"/>
      <c r="VCR148" s="209"/>
      <c r="VCS148" s="207"/>
      <c r="VCT148" s="210"/>
      <c r="VCU148" s="209"/>
      <c r="VCV148" s="204"/>
      <c r="VCW148" s="204"/>
      <c r="VCX148" s="204"/>
      <c r="VCY148" s="199"/>
      <c r="VCZ148" s="167"/>
      <c r="VDA148" s="199"/>
      <c r="VDB148" s="200"/>
      <c r="VDC148" s="201"/>
      <c r="VDD148" s="202"/>
      <c r="VDE148" s="202"/>
      <c r="VDF148" s="202"/>
      <c r="VDG148" s="202"/>
      <c r="VDH148" s="203"/>
      <c r="VDI148" s="204"/>
      <c r="VDJ148" s="204"/>
      <c r="VDK148" s="204"/>
      <c r="VDL148" s="205"/>
      <c r="VDM148" s="206"/>
      <c r="VDN148" s="207"/>
      <c r="VDO148" s="207"/>
      <c r="VDP148" s="208"/>
      <c r="VDQ148" s="209"/>
      <c r="VDR148" s="207"/>
      <c r="VDS148" s="210"/>
      <c r="VDT148" s="209"/>
      <c r="VDU148" s="204"/>
      <c r="VDV148" s="204"/>
      <c r="VDW148" s="204"/>
      <c r="VDX148" s="199"/>
      <c r="VDY148" s="167"/>
      <c r="VDZ148" s="199"/>
      <c r="VEA148" s="200"/>
      <c r="VEB148" s="201"/>
      <c r="VEC148" s="202"/>
      <c r="VED148" s="202"/>
      <c r="VEE148" s="202"/>
      <c r="VEF148" s="202"/>
      <c r="VEG148" s="203"/>
      <c r="VEH148" s="204"/>
      <c r="VEI148" s="204"/>
      <c r="VEJ148" s="204"/>
      <c r="VEK148" s="205"/>
      <c r="VEL148" s="206"/>
      <c r="VEM148" s="207"/>
      <c r="VEN148" s="207"/>
      <c r="VEO148" s="208"/>
      <c r="VEP148" s="209"/>
      <c r="VEQ148" s="207"/>
      <c r="VER148" s="210"/>
      <c r="VES148" s="209"/>
      <c r="VET148" s="204"/>
      <c r="VEU148" s="204"/>
      <c r="VEV148" s="204"/>
      <c r="VEW148" s="199"/>
      <c r="VEX148" s="167"/>
      <c r="VEY148" s="199"/>
      <c r="VEZ148" s="200"/>
      <c r="VFA148" s="201"/>
      <c r="VFB148" s="202"/>
      <c r="VFC148" s="202"/>
      <c r="VFD148" s="202"/>
      <c r="VFE148" s="202"/>
      <c r="VFF148" s="203"/>
      <c r="VFG148" s="204"/>
      <c r="VFH148" s="204"/>
      <c r="VFI148" s="204"/>
      <c r="VFJ148" s="205"/>
      <c r="VFK148" s="206"/>
      <c r="VFL148" s="207"/>
      <c r="VFM148" s="207"/>
      <c r="VFN148" s="208"/>
      <c r="VFO148" s="209"/>
      <c r="VFP148" s="207"/>
      <c r="VFQ148" s="210"/>
      <c r="VFR148" s="209"/>
      <c r="VFS148" s="204"/>
      <c r="VFT148" s="204"/>
      <c r="VFU148" s="204"/>
      <c r="VFV148" s="199"/>
      <c r="VFW148" s="167"/>
      <c r="VFX148" s="199"/>
      <c r="VFY148" s="200"/>
      <c r="VFZ148" s="201"/>
      <c r="VGA148" s="202"/>
      <c r="VGB148" s="202"/>
      <c r="VGC148" s="202"/>
      <c r="VGD148" s="202"/>
      <c r="VGE148" s="203"/>
      <c r="VGF148" s="204"/>
      <c r="VGG148" s="204"/>
      <c r="VGH148" s="204"/>
      <c r="VGI148" s="205"/>
      <c r="VGJ148" s="206"/>
      <c r="VGK148" s="207"/>
      <c r="VGL148" s="207"/>
      <c r="VGM148" s="208"/>
      <c r="VGN148" s="209"/>
      <c r="VGO148" s="207"/>
      <c r="VGP148" s="210"/>
      <c r="VGQ148" s="209"/>
      <c r="VGR148" s="204"/>
      <c r="VGS148" s="204"/>
      <c r="VGT148" s="204"/>
      <c r="VGU148" s="199"/>
      <c r="VGV148" s="167"/>
      <c r="VGW148" s="199"/>
      <c r="VGX148" s="200"/>
      <c r="VGY148" s="201"/>
      <c r="VGZ148" s="202"/>
      <c r="VHA148" s="202"/>
      <c r="VHB148" s="202"/>
      <c r="VHC148" s="202"/>
      <c r="VHD148" s="203"/>
      <c r="VHE148" s="204"/>
      <c r="VHF148" s="204"/>
      <c r="VHG148" s="204"/>
      <c r="VHH148" s="205"/>
      <c r="VHI148" s="206"/>
      <c r="VHJ148" s="207"/>
      <c r="VHK148" s="207"/>
      <c r="VHL148" s="208"/>
      <c r="VHM148" s="209"/>
      <c r="VHN148" s="207"/>
      <c r="VHO148" s="210"/>
      <c r="VHP148" s="209"/>
      <c r="VHQ148" s="204"/>
      <c r="VHR148" s="204"/>
      <c r="VHS148" s="204"/>
      <c r="VHT148" s="199"/>
      <c r="VHU148" s="167"/>
      <c r="VHV148" s="199"/>
      <c r="VHW148" s="200"/>
      <c r="VHX148" s="201"/>
      <c r="VHY148" s="202"/>
      <c r="VHZ148" s="202"/>
      <c r="VIA148" s="202"/>
      <c r="VIB148" s="202"/>
      <c r="VIC148" s="203"/>
      <c r="VID148" s="204"/>
      <c r="VIE148" s="204"/>
      <c r="VIF148" s="204"/>
      <c r="VIG148" s="205"/>
      <c r="VIH148" s="206"/>
      <c r="VII148" s="207"/>
      <c r="VIJ148" s="207"/>
      <c r="VIK148" s="208"/>
      <c r="VIL148" s="209"/>
      <c r="VIM148" s="207"/>
      <c r="VIN148" s="210"/>
      <c r="VIO148" s="209"/>
      <c r="VIP148" s="204"/>
      <c r="VIQ148" s="204"/>
      <c r="VIR148" s="204"/>
      <c r="VIS148" s="199"/>
      <c r="VIT148" s="167"/>
      <c r="VIU148" s="199"/>
      <c r="VIV148" s="200"/>
      <c r="VIW148" s="201"/>
      <c r="VIX148" s="202"/>
      <c r="VIY148" s="202"/>
      <c r="VIZ148" s="202"/>
      <c r="VJA148" s="202"/>
      <c r="VJB148" s="203"/>
      <c r="VJC148" s="204"/>
      <c r="VJD148" s="204"/>
      <c r="VJE148" s="204"/>
      <c r="VJF148" s="205"/>
      <c r="VJG148" s="206"/>
      <c r="VJH148" s="207"/>
      <c r="VJI148" s="207"/>
      <c r="VJJ148" s="208"/>
      <c r="VJK148" s="209"/>
      <c r="VJL148" s="207"/>
      <c r="VJM148" s="210"/>
      <c r="VJN148" s="209"/>
      <c r="VJO148" s="204"/>
      <c r="VJP148" s="204"/>
      <c r="VJQ148" s="204"/>
      <c r="VJR148" s="199"/>
      <c r="VJS148" s="167"/>
      <c r="VJT148" s="199"/>
      <c r="VJU148" s="200"/>
      <c r="VJV148" s="201"/>
      <c r="VJW148" s="202"/>
      <c r="VJX148" s="202"/>
      <c r="VJY148" s="202"/>
      <c r="VJZ148" s="202"/>
      <c r="VKA148" s="203"/>
      <c r="VKB148" s="204"/>
      <c r="VKC148" s="204"/>
      <c r="VKD148" s="204"/>
      <c r="VKE148" s="205"/>
      <c r="VKF148" s="206"/>
      <c r="VKG148" s="207"/>
      <c r="VKH148" s="207"/>
      <c r="VKI148" s="208"/>
      <c r="VKJ148" s="209"/>
      <c r="VKK148" s="207"/>
      <c r="VKL148" s="210"/>
      <c r="VKM148" s="209"/>
      <c r="VKN148" s="204"/>
      <c r="VKO148" s="204"/>
      <c r="VKP148" s="204"/>
      <c r="VKQ148" s="199"/>
      <c r="VKR148" s="167"/>
      <c r="VKS148" s="199"/>
      <c r="VKT148" s="200"/>
      <c r="VKU148" s="201"/>
      <c r="VKV148" s="202"/>
      <c r="VKW148" s="202"/>
      <c r="VKX148" s="202"/>
      <c r="VKY148" s="202"/>
      <c r="VKZ148" s="203"/>
      <c r="VLA148" s="204"/>
      <c r="VLB148" s="204"/>
      <c r="VLC148" s="204"/>
      <c r="VLD148" s="205"/>
      <c r="VLE148" s="206"/>
      <c r="VLF148" s="207"/>
      <c r="VLG148" s="207"/>
      <c r="VLH148" s="208"/>
      <c r="VLI148" s="209"/>
      <c r="VLJ148" s="207"/>
      <c r="VLK148" s="210"/>
      <c r="VLL148" s="209"/>
      <c r="VLM148" s="204"/>
      <c r="VLN148" s="204"/>
      <c r="VLO148" s="204"/>
      <c r="VLP148" s="199"/>
      <c r="VLQ148" s="167"/>
      <c r="VLR148" s="199"/>
      <c r="VLS148" s="200"/>
      <c r="VLT148" s="201"/>
      <c r="VLU148" s="202"/>
      <c r="VLV148" s="202"/>
      <c r="VLW148" s="202"/>
      <c r="VLX148" s="202"/>
      <c r="VLY148" s="203"/>
      <c r="VLZ148" s="204"/>
      <c r="VMA148" s="204"/>
      <c r="VMB148" s="204"/>
      <c r="VMC148" s="205"/>
      <c r="VMD148" s="206"/>
      <c r="VME148" s="207"/>
      <c r="VMF148" s="207"/>
      <c r="VMG148" s="208"/>
      <c r="VMH148" s="209"/>
      <c r="VMI148" s="207"/>
      <c r="VMJ148" s="210"/>
      <c r="VMK148" s="209"/>
      <c r="VML148" s="204"/>
      <c r="VMM148" s="204"/>
      <c r="VMN148" s="204"/>
      <c r="VMO148" s="199"/>
      <c r="VMP148" s="167"/>
      <c r="VMQ148" s="199"/>
      <c r="VMR148" s="200"/>
      <c r="VMS148" s="201"/>
      <c r="VMT148" s="202"/>
      <c r="VMU148" s="202"/>
      <c r="VMV148" s="202"/>
      <c r="VMW148" s="202"/>
      <c r="VMX148" s="203"/>
      <c r="VMY148" s="204"/>
      <c r="VMZ148" s="204"/>
      <c r="VNA148" s="204"/>
      <c r="VNB148" s="205"/>
      <c r="VNC148" s="206"/>
      <c r="VND148" s="207"/>
      <c r="VNE148" s="207"/>
      <c r="VNF148" s="208"/>
      <c r="VNG148" s="209"/>
      <c r="VNH148" s="207"/>
      <c r="VNI148" s="210"/>
      <c r="VNJ148" s="209"/>
      <c r="VNK148" s="204"/>
      <c r="VNL148" s="204"/>
      <c r="VNM148" s="204"/>
      <c r="VNN148" s="199"/>
      <c r="VNO148" s="167"/>
      <c r="VNP148" s="199"/>
      <c r="VNQ148" s="200"/>
      <c r="VNR148" s="201"/>
      <c r="VNS148" s="202"/>
      <c r="VNT148" s="202"/>
      <c r="VNU148" s="202"/>
      <c r="VNV148" s="202"/>
      <c r="VNW148" s="203"/>
      <c r="VNX148" s="204"/>
      <c r="VNY148" s="204"/>
      <c r="VNZ148" s="204"/>
      <c r="VOA148" s="205"/>
      <c r="VOB148" s="206"/>
      <c r="VOC148" s="207"/>
      <c r="VOD148" s="207"/>
      <c r="VOE148" s="208"/>
      <c r="VOF148" s="209"/>
      <c r="VOG148" s="207"/>
      <c r="VOH148" s="210"/>
      <c r="VOI148" s="209"/>
      <c r="VOJ148" s="204"/>
      <c r="VOK148" s="204"/>
      <c r="VOL148" s="204"/>
      <c r="VOM148" s="199"/>
      <c r="VON148" s="167"/>
      <c r="VOO148" s="199"/>
      <c r="VOP148" s="200"/>
      <c r="VOQ148" s="201"/>
      <c r="VOR148" s="202"/>
      <c r="VOS148" s="202"/>
      <c r="VOT148" s="202"/>
      <c r="VOU148" s="202"/>
      <c r="VOV148" s="203"/>
      <c r="VOW148" s="204"/>
      <c r="VOX148" s="204"/>
      <c r="VOY148" s="204"/>
      <c r="VOZ148" s="205"/>
      <c r="VPA148" s="206"/>
      <c r="VPB148" s="207"/>
      <c r="VPC148" s="207"/>
      <c r="VPD148" s="208"/>
      <c r="VPE148" s="209"/>
      <c r="VPF148" s="207"/>
      <c r="VPG148" s="210"/>
      <c r="VPH148" s="209"/>
      <c r="VPI148" s="204"/>
      <c r="VPJ148" s="204"/>
      <c r="VPK148" s="204"/>
      <c r="VPL148" s="199"/>
      <c r="VPM148" s="167"/>
      <c r="VPN148" s="199"/>
      <c r="VPO148" s="200"/>
      <c r="VPP148" s="201"/>
      <c r="VPQ148" s="202"/>
      <c r="VPR148" s="202"/>
      <c r="VPS148" s="202"/>
      <c r="VPT148" s="202"/>
      <c r="VPU148" s="203"/>
      <c r="VPV148" s="204"/>
      <c r="VPW148" s="204"/>
      <c r="VPX148" s="204"/>
      <c r="VPY148" s="205"/>
      <c r="VPZ148" s="206"/>
      <c r="VQA148" s="207"/>
      <c r="VQB148" s="207"/>
      <c r="VQC148" s="208"/>
      <c r="VQD148" s="209"/>
      <c r="VQE148" s="207"/>
      <c r="VQF148" s="210"/>
      <c r="VQG148" s="209"/>
      <c r="VQH148" s="204"/>
      <c r="VQI148" s="204"/>
      <c r="VQJ148" s="204"/>
      <c r="VQK148" s="199"/>
      <c r="VQL148" s="167"/>
      <c r="VQM148" s="199"/>
      <c r="VQN148" s="200"/>
      <c r="VQO148" s="201"/>
      <c r="VQP148" s="202"/>
      <c r="VQQ148" s="202"/>
      <c r="VQR148" s="202"/>
      <c r="VQS148" s="202"/>
      <c r="VQT148" s="203"/>
      <c r="VQU148" s="204"/>
      <c r="VQV148" s="204"/>
      <c r="VQW148" s="204"/>
      <c r="VQX148" s="205"/>
      <c r="VQY148" s="206"/>
      <c r="VQZ148" s="207"/>
      <c r="VRA148" s="207"/>
      <c r="VRB148" s="208"/>
      <c r="VRC148" s="209"/>
      <c r="VRD148" s="207"/>
      <c r="VRE148" s="210"/>
      <c r="VRF148" s="209"/>
      <c r="VRG148" s="204"/>
      <c r="VRH148" s="204"/>
      <c r="VRI148" s="204"/>
      <c r="VRJ148" s="199"/>
      <c r="VRK148" s="167"/>
      <c r="VRL148" s="199"/>
      <c r="VRM148" s="200"/>
      <c r="VRN148" s="201"/>
      <c r="VRO148" s="202"/>
      <c r="VRP148" s="202"/>
      <c r="VRQ148" s="202"/>
      <c r="VRR148" s="202"/>
      <c r="VRS148" s="203"/>
      <c r="VRT148" s="204"/>
      <c r="VRU148" s="204"/>
      <c r="VRV148" s="204"/>
      <c r="VRW148" s="205"/>
      <c r="VRX148" s="206"/>
      <c r="VRY148" s="207"/>
      <c r="VRZ148" s="207"/>
      <c r="VSA148" s="208"/>
      <c r="VSB148" s="209"/>
      <c r="VSC148" s="207"/>
      <c r="VSD148" s="210"/>
      <c r="VSE148" s="209"/>
      <c r="VSF148" s="204"/>
      <c r="VSG148" s="204"/>
      <c r="VSH148" s="204"/>
      <c r="VSI148" s="199"/>
      <c r="VSJ148" s="167"/>
      <c r="VSK148" s="199"/>
      <c r="VSL148" s="200"/>
      <c r="VSM148" s="201"/>
      <c r="VSN148" s="202"/>
      <c r="VSO148" s="202"/>
      <c r="VSP148" s="202"/>
      <c r="VSQ148" s="202"/>
      <c r="VSR148" s="203"/>
      <c r="VSS148" s="204"/>
      <c r="VST148" s="204"/>
      <c r="VSU148" s="204"/>
      <c r="VSV148" s="205"/>
      <c r="VSW148" s="206"/>
      <c r="VSX148" s="207"/>
      <c r="VSY148" s="207"/>
      <c r="VSZ148" s="208"/>
      <c r="VTA148" s="209"/>
      <c r="VTB148" s="207"/>
      <c r="VTC148" s="210"/>
      <c r="VTD148" s="209"/>
      <c r="VTE148" s="204"/>
      <c r="VTF148" s="204"/>
      <c r="VTG148" s="204"/>
      <c r="VTH148" s="199"/>
      <c r="VTI148" s="167"/>
      <c r="VTJ148" s="199"/>
      <c r="VTK148" s="200"/>
      <c r="VTL148" s="201"/>
      <c r="VTM148" s="202"/>
      <c r="VTN148" s="202"/>
      <c r="VTO148" s="202"/>
      <c r="VTP148" s="202"/>
      <c r="VTQ148" s="203"/>
      <c r="VTR148" s="204"/>
      <c r="VTS148" s="204"/>
      <c r="VTT148" s="204"/>
      <c r="VTU148" s="205"/>
      <c r="VTV148" s="206"/>
      <c r="VTW148" s="207"/>
      <c r="VTX148" s="207"/>
      <c r="VTY148" s="208"/>
      <c r="VTZ148" s="209"/>
      <c r="VUA148" s="207"/>
      <c r="VUB148" s="210"/>
      <c r="VUC148" s="209"/>
      <c r="VUD148" s="204"/>
      <c r="VUE148" s="204"/>
      <c r="VUF148" s="204"/>
      <c r="VUG148" s="199"/>
      <c r="VUH148" s="167"/>
      <c r="VUI148" s="199"/>
      <c r="VUJ148" s="200"/>
      <c r="VUK148" s="201"/>
      <c r="VUL148" s="202"/>
      <c r="VUM148" s="202"/>
      <c r="VUN148" s="202"/>
      <c r="VUO148" s="202"/>
      <c r="VUP148" s="203"/>
      <c r="VUQ148" s="204"/>
      <c r="VUR148" s="204"/>
      <c r="VUS148" s="204"/>
      <c r="VUT148" s="205"/>
      <c r="VUU148" s="206"/>
      <c r="VUV148" s="207"/>
      <c r="VUW148" s="207"/>
      <c r="VUX148" s="208"/>
      <c r="VUY148" s="209"/>
      <c r="VUZ148" s="207"/>
      <c r="VVA148" s="210"/>
      <c r="VVB148" s="209"/>
      <c r="VVC148" s="204"/>
      <c r="VVD148" s="204"/>
      <c r="VVE148" s="204"/>
      <c r="VVF148" s="199"/>
      <c r="VVG148" s="167"/>
      <c r="VVH148" s="199"/>
      <c r="VVI148" s="200"/>
      <c r="VVJ148" s="201"/>
      <c r="VVK148" s="202"/>
      <c r="VVL148" s="202"/>
      <c r="VVM148" s="202"/>
      <c r="VVN148" s="202"/>
      <c r="VVO148" s="203"/>
      <c r="VVP148" s="204"/>
      <c r="VVQ148" s="204"/>
      <c r="VVR148" s="204"/>
      <c r="VVS148" s="205"/>
      <c r="VVT148" s="206"/>
      <c r="VVU148" s="207"/>
      <c r="VVV148" s="207"/>
      <c r="VVW148" s="208"/>
      <c r="VVX148" s="209"/>
      <c r="VVY148" s="207"/>
      <c r="VVZ148" s="210"/>
      <c r="VWA148" s="209"/>
      <c r="VWB148" s="204"/>
      <c r="VWC148" s="204"/>
      <c r="VWD148" s="204"/>
      <c r="VWE148" s="199"/>
      <c r="VWF148" s="167"/>
      <c r="VWG148" s="199"/>
      <c r="VWH148" s="200"/>
      <c r="VWI148" s="201"/>
      <c r="VWJ148" s="202"/>
      <c r="VWK148" s="202"/>
      <c r="VWL148" s="202"/>
      <c r="VWM148" s="202"/>
      <c r="VWN148" s="203"/>
      <c r="VWO148" s="204"/>
      <c r="VWP148" s="204"/>
      <c r="VWQ148" s="204"/>
      <c r="VWR148" s="205"/>
      <c r="VWS148" s="206"/>
      <c r="VWT148" s="207"/>
      <c r="VWU148" s="207"/>
      <c r="VWV148" s="208"/>
      <c r="VWW148" s="209"/>
      <c r="VWX148" s="207"/>
      <c r="VWY148" s="210"/>
      <c r="VWZ148" s="209"/>
      <c r="VXA148" s="204"/>
      <c r="VXB148" s="204"/>
      <c r="VXC148" s="204"/>
      <c r="VXD148" s="199"/>
      <c r="VXE148" s="167"/>
      <c r="VXF148" s="199"/>
      <c r="VXG148" s="200"/>
      <c r="VXH148" s="201"/>
      <c r="VXI148" s="202"/>
      <c r="VXJ148" s="202"/>
      <c r="VXK148" s="202"/>
      <c r="VXL148" s="202"/>
      <c r="VXM148" s="203"/>
      <c r="VXN148" s="204"/>
      <c r="VXO148" s="204"/>
      <c r="VXP148" s="204"/>
      <c r="VXQ148" s="205"/>
      <c r="VXR148" s="206"/>
      <c r="VXS148" s="207"/>
      <c r="VXT148" s="207"/>
      <c r="VXU148" s="208"/>
      <c r="VXV148" s="209"/>
      <c r="VXW148" s="207"/>
      <c r="VXX148" s="210"/>
      <c r="VXY148" s="209"/>
      <c r="VXZ148" s="204"/>
      <c r="VYA148" s="204"/>
      <c r="VYB148" s="204"/>
      <c r="VYC148" s="199"/>
      <c r="VYD148" s="167"/>
      <c r="VYE148" s="199"/>
      <c r="VYF148" s="200"/>
      <c r="VYG148" s="201"/>
      <c r="VYH148" s="202"/>
      <c r="VYI148" s="202"/>
      <c r="VYJ148" s="202"/>
      <c r="VYK148" s="202"/>
      <c r="VYL148" s="203"/>
      <c r="VYM148" s="204"/>
      <c r="VYN148" s="204"/>
      <c r="VYO148" s="204"/>
      <c r="VYP148" s="205"/>
      <c r="VYQ148" s="206"/>
      <c r="VYR148" s="207"/>
      <c r="VYS148" s="207"/>
      <c r="VYT148" s="208"/>
      <c r="VYU148" s="209"/>
      <c r="VYV148" s="207"/>
      <c r="VYW148" s="210"/>
      <c r="VYX148" s="209"/>
      <c r="VYY148" s="204"/>
      <c r="VYZ148" s="204"/>
      <c r="VZA148" s="204"/>
      <c r="VZB148" s="199"/>
      <c r="VZC148" s="167"/>
      <c r="VZD148" s="199"/>
      <c r="VZE148" s="200"/>
      <c r="VZF148" s="201"/>
      <c r="VZG148" s="202"/>
      <c r="VZH148" s="202"/>
      <c r="VZI148" s="202"/>
      <c r="VZJ148" s="202"/>
      <c r="VZK148" s="203"/>
      <c r="VZL148" s="204"/>
      <c r="VZM148" s="204"/>
      <c r="VZN148" s="204"/>
      <c r="VZO148" s="205"/>
      <c r="VZP148" s="206"/>
      <c r="VZQ148" s="207"/>
      <c r="VZR148" s="207"/>
      <c r="VZS148" s="208"/>
      <c r="VZT148" s="209"/>
      <c r="VZU148" s="207"/>
      <c r="VZV148" s="210"/>
      <c r="VZW148" s="209"/>
      <c r="VZX148" s="204"/>
      <c r="VZY148" s="204"/>
      <c r="VZZ148" s="204"/>
      <c r="WAA148" s="199"/>
      <c r="WAB148" s="167"/>
      <c r="WAC148" s="199"/>
      <c r="WAD148" s="200"/>
      <c r="WAE148" s="201"/>
      <c r="WAF148" s="202"/>
      <c r="WAG148" s="202"/>
      <c r="WAH148" s="202"/>
      <c r="WAI148" s="202"/>
      <c r="WAJ148" s="203"/>
      <c r="WAK148" s="204"/>
      <c r="WAL148" s="204"/>
      <c r="WAM148" s="204"/>
      <c r="WAN148" s="205"/>
      <c r="WAO148" s="206"/>
      <c r="WAP148" s="207"/>
      <c r="WAQ148" s="207"/>
      <c r="WAR148" s="208"/>
      <c r="WAS148" s="209"/>
      <c r="WAT148" s="207"/>
      <c r="WAU148" s="210"/>
      <c r="WAV148" s="209"/>
      <c r="WAW148" s="204"/>
      <c r="WAX148" s="204"/>
      <c r="WAY148" s="204"/>
      <c r="WAZ148" s="199"/>
      <c r="WBA148" s="167"/>
      <c r="WBB148" s="199"/>
      <c r="WBC148" s="200"/>
      <c r="WBD148" s="201"/>
      <c r="WBE148" s="202"/>
      <c r="WBF148" s="202"/>
      <c r="WBG148" s="202"/>
      <c r="WBH148" s="202"/>
      <c r="WBI148" s="203"/>
      <c r="WBJ148" s="204"/>
      <c r="WBK148" s="204"/>
      <c r="WBL148" s="204"/>
      <c r="WBM148" s="205"/>
      <c r="WBN148" s="206"/>
      <c r="WBO148" s="207"/>
      <c r="WBP148" s="207"/>
      <c r="WBQ148" s="208"/>
      <c r="WBR148" s="209"/>
      <c r="WBS148" s="207"/>
      <c r="WBT148" s="210"/>
      <c r="WBU148" s="209"/>
      <c r="WBV148" s="204"/>
      <c r="WBW148" s="204"/>
      <c r="WBX148" s="204"/>
      <c r="WBY148" s="199"/>
      <c r="WBZ148" s="167"/>
      <c r="WCA148" s="199"/>
      <c r="WCB148" s="200"/>
      <c r="WCC148" s="201"/>
      <c r="WCD148" s="202"/>
      <c r="WCE148" s="202"/>
      <c r="WCF148" s="202"/>
      <c r="WCG148" s="202"/>
      <c r="WCH148" s="203"/>
      <c r="WCI148" s="204"/>
      <c r="WCJ148" s="204"/>
      <c r="WCK148" s="204"/>
      <c r="WCL148" s="205"/>
      <c r="WCM148" s="206"/>
      <c r="WCN148" s="207"/>
      <c r="WCO148" s="207"/>
      <c r="WCP148" s="208"/>
      <c r="WCQ148" s="209"/>
      <c r="WCR148" s="207"/>
      <c r="WCS148" s="210"/>
      <c r="WCT148" s="209"/>
      <c r="WCU148" s="204"/>
      <c r="WCV148" s="204"/>
      <c r="WCW148" s="204"/>
      <c r="WCX148" s="199"/>
      <c r="WCY148" s="167"/>
      <c r="WCZ148" s="199"/>
      <c r="WDA148" s="200"/>
      <c r="WDB148" s="201"/>
      <c r="WDC148" s="202"/>
      <c r="WDD148" s="202"/>
      <c r="WDE148" s="202"/>
      <c r="WDF148" s="202"/>
      <c r="WDG148" s="203"/>
      <c r="WDH148" s="204"/>
      <c r="WDI148" s="204"/>
      <c r="WDJ148" s="204"/>
      <c r="WDK148" s="205"/>
      <c r="WDL148" s="206"/>
      <c r="WDM148" s="207"/>
      <c r="WDN148" s="207"/>
      <c r="WDO148" s="208"/>
      <c r="WDP148" s="209"/>
      <c r="WDQ148" s="207"/>
      <c r="WDR148" s="210"/>
      <c r="WDS148" s="209"/>
      <c r="WDT148" s="204"/>
      <c r="WDU148" s="204"/>
      <c r="WDV148" s="204"/>
      <c r="WDW148" s="199"/>
      <c r="WDX148" s="167"/>
      <c r="WDY148" s="199"/>
      <c r="WDZ148" s="200"/>
      <c r="WEA148" s="201"/>
      <c r="WEB148" s="202"/>
      <c r="WEC148" s="202"/>
      <c r="WED148" s="202"/>
      <c r="WEE148" s="202"/>
      <c r="WEF148" s="203"/>
      <c r="WEG148" s="204"/>
      <c r="WEH148" s="204"/>
      <c r="WEI148" s="204"/>
      <c r="WEJ148" s="205"/>
      <c r="WEK148" s="206"/>
      <c r="WEL148" s="207"/>
      <c r="WEM148" s="207"/>
      <c r="WEN148" s="208"/>
      <c r="WEO148" s="209"/>
      <c r="WEP148" s="207"/>
      <c r="WEQ148" s="210"/>
      <c r="WER148" s="209"/>
      <c r="WES148" s="204"/>
      <c r="WET148" s="204"/>
      <c r="WEU148" s="204"/>
      <c r="WEV148" s="199"/>
      <c r="WEW148" s="167"/>
      <c r="WEX148" s="199"/>
      <c r="WEY148" s="200"/>
      <c r="WEZ148" s="201"/>
      <c r="WFA148" s="202"/>
      <c r="WFB148" s="202"/>
      <c r="WFC148" s="202"/>
      <c r="WFD148" s="202"/>
      <c r="WFE148" s="203"/>
      <c r="WFF148" s="204"/>
      <c r="WFG148" s="204"/>
      <c r="WFH148" s="204"/>
      <c r="WFI148" s="205"/>
      <c r="WFJ148" s="206"/>
      <c r="WFK148" s="207"/>
      <c r="WFL148" s="207"/>
      <c r="WFM148" s="208"/>
      <c r="WFN148" s="209"/>
      <c r="WFO148" s="207"/>
      <c r="WFP148" s="210"/>
      <c r="WFQ148" s="209"/>
      <c r="WFR148" s="204"/>
      <c r="WFS148" s="204"/>
      <c r="WFT148" s="204"/>
      <c r="WFU148" s="199"/>
      <c r="WFV148" s="167"/>
      <c r="WFW148" s="199"/>
      <c r="WFX148" s="200"/>
      <c r="WFY148" s="201"/>
      <c r="WFZ148" s="202"/>
      <c r="WGA148" s="202"/>
      <c r="WGB148" s="202"/>
      <c r="WGC148" s="202"/>
      <c r="WGD148" s="203"/>
      <c r="WGE148" s="204"/>
      <c r="WGF148" s="204"/>
      <c r="WGG148" s="204"/>
      <c r="WGH148" s="205"/>
      <c r="WGI148" s="206"/>
      <c r="WGJ148" s="207"/>
      <c r="WGK148" s="207"/>
      <c r="WGL148" s="208"/>
      <c r="WGM148" s="209"/>
      <c r="WGN148" s="207"/>
      <c r="WGO148" s="210"/>
      <c r="WGP148" s="209"/>
      <c r="WGQ148" s="204"/>
      <c r="WGR148" s="204"/>
      <c r="WGS148" s="204"/>
      <c r="WGT148" s="199"/>
      <c r="WGU148" s="167"/>
      <c r="WGV148" s="199"/>
      <c r="WGW148" s="200"/>
      <c r="WGX148" s="201"/>
      <c r="WGY148" s="202"/>
      <c r="WGZ148" s="202"/>
      <c r="WHA148" s="202"/>
      <c r="WHB148" s="202"/>
      <c r="WHC148" s="203"/>
      <c r="WHD148" s="204"/>
      <c r="WHE148" s="204"/>
      <c r="WHF148" s="204"/>
      <c r="WHG148" s="205"/>
      <c r="WHH148" s="206"/>
      <c r="WHI148" s="207"/>
      <c r="WHJ148" s="207"/>
      <c r="WHK148" s="208"/>
      <c r="WHL148" s="209"/>
      <c r="WHM148" s="207"/>
      <c r="WHN148" s="210"/>
      <c r="WHO148" s="209"/>
      <c r="WHP148" s="204"/>
      <c r="WHQ148" s="204"/>
      <c r="WHR148" s="204"/>
      <c r="WHS148" s="199"/>
      <c r="WHT148" s="167"/>
      <c r="WHU148" s="199"/>
      <c r="WHV148" s="200"/>
      <c r="WHW148" s="201"/>
      <c r="WHX148" s="202"/>
      <c r="WHY148" s="202"/>
      <c r="WHZ148" s="202"/>
      <c r="WIA148" s="202"/>
      <c r="WIB148" s="203"/>
      <c r="WIC148" s="204"/>
      <c r="WID148" s="204"/>
      <c r="WIE148" s="204"/>
      <c r="WIF148" s="205"/>
      <c r="WIG148" s="206"/>
      <c r="WIH148" s="207"/>
      <c r="WII148" s="207"/>
      <c r="WIJ148" s="208"/>
      <c r="WIK148" s="209"/>
      <c r="WIL148" s="207"/>
      <c r="WIM148" s="210"/>
      <c r="WIN148" s="209"/>
      <c r="WIO148" s="204"/>
      <c r="WIP148" s="204"/>
      <c r="WIQ148" s="204"/>
      <c r="WIR148" s="199"/>
      <c r="WIS148" s="167"/>
      <c r="WIT148" s="199"/>
      <c r="WIU148" s="200"/>
      <c r="WIV148" s="201"/>
      <c r="WIW148" s="202"/>
      <c r="WIX148" s="202"/>
      <c r="WIY148" s="202"/>
      <c r="WIZ148" s="202"/>
      <c r="WJA148" s="203"/>
      <c r="WJB148" s="204"/>
      <c r="WJC148" s="204"/>
      <c r="WJD148" s="204"/>
      <c r="WJE148" s="205"/>
      <c r="WJF148" s="206"/>
      <c r="WJG148" s="207"/>
      <c r="WJH148" s="207"/>
      <c r="WJI148" s="208"/>
      <c r="WJJ148" s="209"/>
      <c r="WJK148" s="207"/>
      <c r="WJL148" s="210"/>
      <c r="WJM148" s="209"/>
      <c r="WJN148" s="204"/>
      <c r="WJO148" s="204"/>
      <c r="WJP148" s="204"/>
      <c r="WJQ148" s="199"/>
      <c r="WJR148" s="167"/>
      <c r="WJS148" s="199"/>
      <c r="WJT148" s="200"/>
      <c r="WJU148" s="201"/>
      <c r="WJV148" s="202"/>
      <c r="WJW148" s="202"/>
      <c r="WJX148" s="202"/>
      <c r="WJY148" s="202"/>
      <c r="WJZ148" s="203"/>
      <c r="WKA148" s="204"/>
      <c r="WKB148" s="204"/>
      <c r="WKC148" s="204"/>
      <c r="WKD148" s="205"/>
      <c r="WKE148" s="206"/>
      <c r="WKF148" s="207"/>
      <c r="WKG148" s="207"/>
      <c r="WKH148" s="208"/>
      <c r="WKI148" s="209"/>
      <c r="WKJ148" s="207"/>
      <c r="WKK148" s="210"/>
      <c r="WKL148" s="209"/>
      <c r="WKM148" s="204"/>
      <c r="WKN148" s="204"/>
      <c r="WKO148" s="204"/>
      <c r="WKP148" s="199"/>
      <c r="WKQ148" s="167"/>
      <c r="WKR148" s="199"/>
      <c r="WKS148" s="200"/>
      <c r="WKT148" s="201"/>
      <c r="WKU148" s="202"/>
      <c r="WKV148" s="202"/>
      <c r="WKW148" s="202"/>
      <c r="WKX148" s="202"/>
      <c r="WKY148" s="203"/>
      <c r="WKZ148" s="204"/>
      <c r="WLA148" s="204"/>
      <c r="WLB148" s="204"/>
      <c r="WLC148" s="205"/>
      <c r="WLD148" s="206"/>
      <c r="WLE148" s="207"/>
      <c r="WLF148" s="207"/>
      <c r="WLG148" s="208"/>
      <c r="WLH148" s="209"/>
      <c r="WLI148" s="207"/>
      <c r="WLJ148" s="210"/>
      <c r="WLK148" s="209"/>
      <c r="WLL148" s="204"/>
      <c r="WLM148" s="204"/>
      <c r="WLN148" s="204"/>
      <c r="WLO148" s="199"/>
      <c r="WLP148" s="167"/>
      <c r="WLQ148" s="199"/>
      <c r="WLR148" s="200"/>
      <c r="WLS148" s="201"/>
      <c r="WLT148" s="202"/>
      <c r="WLU148" s="202"/>
      <c r="WLV148" s="202"/>
      <c r="WLW148" s="202"/>
      <c r="WLX148" s="203"/>
      <c r="WLY148" s="204"/>
      <c r="WLZ148" s="204"/>
      <c r="WMA148" s="204"/>
      <c r="WMB148" s="205"/>
      <c r="WMC148" s="206"/>
      <c r="WMD148" s="207"/>
      <c r="WME148" s="207"/>
      <c r="WMF148" s="208"/>
      <c r="WMG148" s="209"/>
      <c r="WMH148" s="207"/>
      <c r="WMI148" s="210"/>
      <c r="WMJ148" s="209"/>
      <c r="WMK148" s="204"/>
      <c r="WML148" s="204"/>
      <c r="WMM148" s="204"/>
      <c r="WMN148" s="199"/>
      <c r="WMO148" s="167"/>
      <c r="WMP148" s="199"/>
      <c r="WMQ148" s="200"/>
      <c r="WMR148" s="201"/>
      <c r="WMS148" s="202"/>
      <c r="WMT148" s="202"/>
      <c r="WMU148" s="202"/>
      <c r="WMV148" s="202"/>
      <c r="WMW148" s="203"/>
      <c r="WMX148" s="204"/>
      <c r="WMY148" s="204"/>
      <c r="WMZ148" s="204"/>
      <c r="WNA148" s="205"/>
      <c r="WNB148" s="206"/>
      <c r="WNC148" s="207"/>
      <c r="WND148" s="207"/>
      <c r="WNE148" s="208"/>
      <c r="WNF148" s="209"/>
      <c r="WNG148" s="207"/>
      <c r="WNH148" s="210"/>
      <c r="WNI148" s="209"/>
      <c r="WNJ148" s="204"/>
      <c r="WNK148" s="204"/>
      <c r="WNL148" s="204"/>
      <c r="WNM148" s="199"/>
      <c r="WNN148" s="167"/>
      <c r="WNO148" s="199"/>
      <c r="WNP148" s="200"/>
      <c r="WNQ148" s="201"/>
      <c r="WNR148" s="202"/>
      <c r="WNS148" s="202"/>
      <c r="WNT148" s="202"/>
      <c r="WNU148" s="202"/>
      <c r="WNV148" s="203"/>
      <c r="WNW148" s="204"/>
      <c r="WNX148" s="204"/>
      <c r="WNY148" s="204"/>
      <c r="WNZ148" s="205"/>
      <c r="WOA148" s="206"/>
      <c r="WOB148" s="207"/>
      <c r="WOC148" s="207"/>
      <c r="WOD148" s="208"/>
      <c r="WOE148" s="209"/>
      <c r="WOF148" s="207"/>
      <c r="WOG148" s="210"/>
      <c r="WOH148" s="209"/>
      <c r="WOI148" s="204"/>
      <c r="WOJ148" s="204"/>
      <c r="WOK148" s="204"/>
      <c r="WOL148" s="199"/>
      <c r="WOM148" s="167"/>
      <c r="WON148" s="199"/>
      <c r="WOO148" s="200"/>
      <c r="WOP148" s="201"/>
      <c r="WOQ148" s="202"/>
      <c r="WOR148" s="202"/>
      <c r="WOS148" s="202"/>
      <c r="WOT148" s="202"/>
      <c r="WOU148" s="203"/>
      <c r="WOV148" s="204"/>
      <c r="WOW148" s="204"/>
      <c r="WOX148" s="204"/>
      <c r="WOY148" s="205"/>
      <c r="WOZ148" s="206"/>
      <c r="WPA148" s="207"/>
      <c r="WPB148" s="207"/>
      <c r="WPC148" s="208"/>
      <c r="WPD148" s="209"/>
      <c r="WPE148" s="207"/>
      <c r="WPF148" s="210"/>
      <c r="WPG148" s="209"/>
      <c r="WPH148" s="204"/>
      <c r="WPI148" s="204"/>
      <c r="WPJ148" s="204"/>
      <c r="WPK148" s="199"/>
      <c r="WPL148" s="167"/>
      <c r="WPM148" s="199"/>
      <c r="WPN148" s="200"/>
      <c r="WPO148" s="201"/>
      <c r="WPP148" s="202"/>
      <c r="WPQ148" s="202"/>
      <c r="WPR148" s="202"/>
      <c r="WPS148" s="202"/>
      <c r="WPT148" s="203"/>
      <c r="WPU148" s="204"/>
      <c r="WPV148" s="204"/>
      <c r="WPW148" s="204"/>
      <c r="WPX148" s="205"/>
      <c r="WPY148" s="206"/>
      <c r="WPZ148" s="207"/>
      <c r="WQA148" s="207"/>
      <c r="WQB148" s="208"/>
      <c r="WQC148" s="209"/>
      <c r="WQD148" s="207"/>
      <c r="WQE148" s="210"/>
      <c r="WQF148" s="209"/>
      <c r="WQG148" s="204"/>
      <c r="WQH148" s="204"/>
      <c r="WQI148" s="204"/>
      <c r="WQJ148" s="199"/>
      <c r="WQK148" s="167"/>
      <c r="WQL148" s="199"/>
      <c r="WQM148" s="200"/>
      <c r="WQN148" s="201"/>
      <c r="WQO148" s="202"/>
      <c r="WQP148" s="202"/>
      <c r="WQQ148" s="202"/>
      <c r="WQR148" s="202"/>
      <c r="WQS148" s="203"/>
      <c r="WQT148" s="204"/>
      <c r="WQU148" s="204"/>
      <c r="WQV148" s="204"/>
      <c r="WQW148" s="205"/>
      <c r="WQX148" s="206"/>
      <c r="WQY148" s="207"/>
      <c r="WQZ148" s="207"/>
      <c r="WRA148" s="208"/>
      <c r="WRB148" s="209"/>
      <c r="WRC148" s="207"/>
      <c r="WRD148" s="210"/>
      <c r="WRE148" s="209"/>
      <c r="WRF148" s="204"/>
      <c r="WRG148" s="204"/>
      <c r="WRH148" s="204"/>
      <c r="WRI148" s="199"/>
      <c r="WRJ148" s="167"/>
      <c r="WRK148" s="199"/>
      <c r="WRL148" s="200"/>
      <c r="WRM148" s="201"/>
      <c r="WRN148" s="202"/>
      <c r="WRO148" s="202"/>
      <c r="WRP148" s="202"/>
      <c r="WRQ148" s="202"/>
      <c r="WRR148" s="203"/>
      <c r="WRS148" s="204"/>
      <c r="WRT148" s="204"/>
      <c r="WRU148" s="204"/>
      <c r="WRV148" s="205"/>
      <c r="WRW148" s="206"/>
      <c r="WRX148" s="207"/>
      <c r="WRY148" s="207"/>
      <c r="WRZ148" s="208"/>
      <c r="WSA148" s="209"/>
      <c r="WSB148" s="207"/>
      <c r="WSC148" s="210"/>
      <c r="WSD148" s="209"/>
      <c r="WSE148" s="204"/>
      <c r="WSF148" s="204"/>
      <c r="WSG148" s="204"/>
      <c r="WSH148" s="199"/>
      <c r="WSI148" s="167"/>
      <c r="WSJ148" s="199"/>
      <c r="WSK148" s="200"/>
      <c r="WSL148" s="201"/>
      <c r="WSM148" s="202"/>
      <c r="WSN148" s="202"/>
      <c r="WSO148" s="202"/>
      <c r="WSP148" s="202"/>
      <c r="WSQ148" s="203"/>
      <c r="WSR148" s="204"/>
      <c r="WSS148" s="204"/>
      <c r="WST148" s="204"/>
      <c r="WSU148" s="205"/>
      <c r="WSV148" s="206"/>
      <c r="WSW148" s="207"/>
      <c r="WSX148" s="207"/>
      <c r="WSY148" s="208"/>
      <c r="WSZ148" s="209"/>
      <c r="WTA148" s="207"/>
      <c r="WTB148" s="210"/>
      <c r="WTC148" s="209"/>
      <c r="WTD148" s="204"/>
      <c r="WTE148" s="204"/>
      <c r="WTF148" s="204"/>
      <c r="WTG148" s="199"/>
      <c r="WTH148" s="167"/>
      <c r="WTI148" s="199"/>
      <c r="WTJ148" s="200"/>
      <c r="WTK148" s="201"/>
      <c r="WTL148" s="202"/>
      <c r="WTM148" s="202"/>
      <c r="WTN148" s="202"/>
      <c r="WTO148" s="202"/>
      <c r="WTP148" s="203"/>
      <c r="WTQ148" s="204"/>
      <c r="WTR148" s="204"/>
      <c r="WTS148" s="204"/>
      <c r="WTT148" s="205"/>
      <c r="WTU148" s="206"/>
      <c r="WTV148" s="207"/>
      <c r="WTW148" s="207"/>
      <c r="WTX148" s="208"/>
      <c r="WTY148" s="209"/>
      <c r="WTZ148" s="207"/>
      <c r="WUA148" s="210"/>
      <c r="WUB148" s="209"/>
      <c r="WUC148" s="204"/>
      <c r="WUD148" s="204"/>
      <c r="WUE148" s="204"/>
      <c r="WUF148" s="199"/>
      <c r="WUG148" s="167"/>
      <c r="WUH148" s="199"/>
      <c r="WUI148" s="200"/>
      <c r="WUJ148" s="201"/>
      <c r="WUK148" s="202"/>
      <c r="WUL148" s="202"/>
      <c r="WUM148" s="202"/>
      <c r="WUN148" s="202"/>
      <c r="WUO148" s="203"/>
      <c r="WUP148" s="204"/>
      <c r="WUQ148" s="204"/>
      <c r="WUR148" s="204"/>
      <c r="WUS148" s="205"/>
      <c r="WUT148" s="206"/>
      <c r="WUU148" s="207"/>
      <c r="WUV148" s="207"/>
      <c r="WUW148" s="208"/>
      <c r="WUX148" s="209"/>
      <c r="WUY148" s="207"/>
      <c r="WUZ148" s="210"/>
      <c r="WVA148" s="209"/>
      <c r="WVB148" s="204"/>
      <c r="WVC148" s="204"/>
      <c r="WVD148" s="204"/>
      <c r="WVE148" s="199"/>
      <c r="WVF148" s="167"/>
      <c r="WVG148" s="199"/>
      <c r="WVH148" s="200"/>
      <c r="WVI148" s="201"/>
      <c r="WVJ148" s="202"/>
      <c r="WVK148" s="202"/>
      <c r="WVL148" s="202"/>
      <c r="WVM148" s="202"/>
      <c r="WVN148" s="203"/>
      <c r="WVO148" s="204"/>
      <c r="WVP148" s="204"/>
      <c r="WVQ148" s="204"/>
      <c r="WVR148" s="205"/>
      <c r="WVS148" s="206"/>
      <c r="WVT148" s="207"/>
      <c r="WVU148" s="207"/>
      <c r="WVV148" s="208"/>
      <c r="WVW148" s="209"/>
      <c r="WVX148" s="207"/>
      <c r="WVY148" s="210"/>
      <c r="WVZ148" s="209"/>
      <c r="WWA148" s="204"/>
      <c r="WWB148" s="204"/>
      <c r="WWC148" s="204"/>
      <c r="WWD148" s="199"/>
      <c r="WWE148" s="167"/>
      <c r="WWF148" s="199"/>
      <c r="WWG148" s="200"/>
      <c r="WWH148" s="201"/>
      <c r="WWI148" s="202"/>
      <c r="WWJ148" s="202"/>
      <c r="WWK148" s="202"/>
      <c r="WWL148" s="202"/>
      <c r="WWM148" s="203"/>
      <c r="WWN148" s="204"/>
      <c r="WWO148" s="204"/>
      <c r="WWP148" s="204"/>
      <c r="WWQ148" s="205"/>
      <c r="WWR148" s="206"/>
      <c r="WWS148" s="207"/>
      <c r="WWT148" s="207"/>
      <c r="WWU148" s="208"/>
      <c r="WWV148" s="209"/>
      <c r="WWW148" s="207"/>
      <c r="WWX148" s="210"/>
      <c r="WWY148" s="209"/>
      <c r="WWZ148" s="204"/>
      <c r="WXA148" s="204"/>
      <c r="WXB148" s="204"/>
      <c r="WXC148" s="199"/>
      <c r="WXD148" s="167"/>
      <c r="WXE148" s="199"/>
      <c r="WXF148" s="200"/>
      <c r="WXG148" s="201"/>
      <c r="WXH148" s="202"/>
      <c r="WXI148" s="202"/>
      <c r="WXJ148" s="202"/>
      <c r="WXK148" s="202"/>
      <c r="WXL148" s="203"/>
      <c r="WXM148" s="204"/>
      <c r="WXN148" s="204"/>
      <c r="WXO148" s="204"/>
      <c r="WXP148" s="205"/>
      <c r="WXQ148" s="206"/>
      <c r="WXR148" s="207"/>
      <c r="WXS148" s="207"/>
      <c r="WXT148" s="208"/>
      <c r="WXU148" s="209"/>
      <c r="WXV148" s="207"/>
      <c r="WXW148" s="210"/>
      <c r="WXX148" s="209"/>
      <c r="WXY148" s="204"/>
      <c r="WXZ148" s="204"/>
      <c r="WYA148" s="204"/>
      <c r="WYB148" s="199"/>
      <c r="WYC148" s="167"/>
      <c r="WYD148" s="199"/>
      <c r="WYE148" s="200"/>
      <c r="WYF148" s="201"/>
      <c r="WYG148" s="202"/>
      <c r="WYH148" s="202"/>
      <c r="WYI148" s="202"/>
      <c r="WYJ148" s="202"/>
      <c r="WYK148" s="203"/>
      <c r="WYL148" s="204"/>
      <c r="WYM148" s="204"/>
      <c r="WYN148" s="204"/>
      <c r="WYO148" s="205"/>
      <c r="WYP148" s="206"/>
      <c r="WYQ148" s="207"/>
      <c r="WYR148" s="207"/>
      <c r="WYS148" s="208"/>
      <c r="WYT148" s="209"/>
      <c r="WYU148" s="207"/>
      <c r="WYV148" s="210"/>
      <c r="WYW148" s="209"/>
      <c r="WYX148" s="204"/>
      <c r="WYY148" s="204"/>
      <c r="WYZ148" s="204"/>
      <c r="WZA148" s="199"/>
      <c r="WZB148" s="167"/>
      <c r="WZC148" s="199"/>
      <c r="WZD148" s="200"/>
      <c r="WZE148" s="201"/>
      <c r="WZF148" s="202"/>
      <c r="WZG148" s="202"/>
      <c r="WZH148" s="202"/>
      <c r="WZI148" s="202"/>
      <c r="WZJ148" s="203"/>
      <c r="WZK148" s="204"/>
      <c r="WZL148" s="204"/>
      <c r="WZM148" s="204"/>
      <c r="WZN148" s="205"/>
      <c r="WZO148" s="206"/>
      <c r="WZP148" s="207"/>
      <c r="WZQ148" s="207"/>
      <c r="WZR148" s="208"/>
      <c r="WZS148" s="209"/>
      <c r="WZT148" s="207"/>
      <c r="WZU148" s="210"/>
      <c r="WZV148" s="209"/>
      <c r="WZW148" s="204"/>
      <c r="WZX148" s="204"/>
      <c r="WZY148" s="204"/>
      <c r="WZZ148" s="199"/>
      <c r="XAA148" s="167"/>
      <c r="XAB148" s="199"/>
      <c r="XAC148" s="200"/>
      <c r="XAD148" s="201"/>
      <c r="XAE148" s="202"/>
      <c r="XAF148" s="202"/>
      <c r="XAG148" s="202"/>
      <c r="XAH148" s="202"/>
      <c r="XAI148" s="203"/>
      <c r="XAJ148" s="204"/>
      <c r="XAK148" s="204"/>
      <c r="XAL148" s="204"/>
      <c r="XAM148" s="205"/>
      <c r="XAN148" s="206"/>
      <c r="XAO148" s="207"/>
      <c r="XAP148" s="207"/>
      <c r="XAQ148" s="208"/>
      <c r="XAR148" s="209"/>
      <c r="XAS148" s="207"/>
      <c r="XAT148" s="210"/>
      <c r="XAU148" s="209"/>
      <c r="XAV148" s="204"/>
      <c r="XAW148" s="204"/>
      <c r="XAX148" s="204"/>
      <c r="XAY148" s="199"/>
      <c r="XAZ148" s="167"/>
      <c r="XBA148" s="199"/>
      <c r="XBB148" s="200"/>
      <c r="XBC148" s="201"/>
      <c r="XBD148" s="202"/>
      <c r="XBE148" s="202"/>
      <c r="XBF148" s="202"/>
      <c r="XBG148" s="202"/>
      <c r="XBH148" s="203"/>
      <c r="XBI148" s="204"/>
      <c r="XBJ148" s="204"/>
      <c r="XBK148" s="204"/>
      <c r="XBL148" s="205"/>
      <c r="XBM148" s="206"/>
      <c r="XBN148" s="207"/>
      <c r="XBO148" s="207"/>
      <c r="XBP148" s="208"/>
      <c r="XBQ148" s="209"/>
      <c r="XBR148" s="207"/>
      <c r="XBS148" s="210"/>
      <c r="XBT148" s="209"/>
      <c r="XBU148" s="204"/>
      <c r="XBV148" s="204"/>
      <c r="XBW148" s="204"/>
      <c r="XBX148" s="199"/>
      <c r="XBY148" s="167"/>
      <c r="XBZ148" s="199"/>
      <c r="XCA148" s="200"/>
      <c r="XCB148" s="201"/>
      <c r="XCC148" s="202"/>
      <c r="XCD148" s="202"/>
      <c r="XCE148" s="202"/>
      <c r="XCF148" s="202"/>
      <c r="XCG148" s="203"/>
      <c r="XCH148" s="204"/>
      <c r="XCI148" s="204"/>
      <c r="XCJ148" s="204"/>
      <c r="XCK148" s="205"/>
      <c r="XCL148" s="206"/>
      <c r="XCM148" s="207"/>
      <c r="XCN148" s="207"/>
      <c r="XCO148" s="208"/>
      <c r="XCP148" s="209"/>
      <c r="XCQ148" s="207"/>
      <c r="XCR148" s="210"/>
      <c r="XCS148" s="209"/>
      <c r="XCT148" s="204"/>
      <c r="XCU148" s="204"/>
      <c r="XCV148" s="204"/>
      <c r="XCW148" s="199"/>
      <c r="XCX148" s="167"/>
      <c r="XCY148" s="199"/>
      <c r="XCZ148" s="200"/>
      <c r="XDA148" s="201"/>
      <c r="XDB148" s="202"/>
      <c r="XDC148" s="202"/>
      <c r="XDD148" s="202"/>
      <c r="XDE148" s="202"/>
      <c r="XDF148" s="203"/>
      <c r="XDG148" s="204"/>
      <c r="XDH148" s="204"/>
      <c r="XDI148" s="204"/>
      <c r="XDJ148" s="205"/>
      <c r="XDK148" s="206"/>
      <c r="XDL148" s="207"/>
      <c r="XDM148" s="207"/>
      <c r="XDN148" s="208"/>
      <c r="XDO148" s="209"/>
      <c r="XDP148" s="207"/>
      <c r="XDQ148" s="210"/>
      <c r="XDR148" s="209"/>
      <c r="XDS148" s="204"/>
      <c r="XDT148" s="204"/>
      <c r="XDU148" s="204"/>
      <c r="XDV148" s="199"/>
      <c r="XDW148" s="167"/>
      <c r="XDX148" s="199"/>
      <c r="XDY148" s="200"/>
      <c r="XDZ148" s="201"/>
      <c r="XEA148" s="202"/>
      <c r="XEB148" s="202"/>
      <c r="XEC148" s="202"/>
      <c r="XED148" s="202"/>
      <c r="XEE148" s="203"/>
      <c r="XEF148" s="204"/>
      <c r="XEG148" s="204"/>
      <c r="XEH148" s="204"/>
      <c r="XEI148" s="205"/>
      <c r="XEJ148" s="206"/>
      <c r="XEK148" s="207"/>
      <c r="XEL148" s="207"/>
      <c r="XEM148" s="208"/>
      <c r="XEN148" s="209"/>
      <c r="XEO148" s="207"/>
      <c r="XEP148" s="210"/>
      <c r="XEQ148" s="209"/>
      <c r="XER148" s="204"/>
      <c r="XES148" s="204"/>
      <c r="XET148" s="204"/>
      <c r="XEU148" s="199"/>
      <c r="XEV148" s="167"/>
      <c r="XEW148" s="199"/>
      <c r="XEX148" s="200"/>
      <c r="XEY148" s="201"/>
      <c r="XEZ148" s="202"/>
      <c r="XFA148" s="202"/>
      <c r="XFB148" s="202"/>
      <c r="XFC148" s="202"/>
    </row>
    <row r="149" spans="1:16383" ht="20" thickBot="1" x14ac:dyDescent="0.25">
      <c r="A149" s="49">
        <v>1</v>
      </c>
      <c r="B149" s="193"/>
      <c r="C149" s="193"/>
      <c r="D149" s="69"/>
      <c r="E149" s="50"/>
      <c r="F149" s="400" t="s">
        <v>891</v>
      </c>
      <c r="G149" s="30"/>
      <c r="H149" s="30"/>
      <c r="I149" s="30"/>
      <c r="J149" s="30"/>
      <c r="K149" s="109"/>
      <c r="L149" s="110"/>
      <c r="M149" s="110"/>
      <c r="N149" s="110"/>
      <c r="O149" s="109"/>
      <c r="P149" s="110"/>
      <c r="Q149" s="194"/>
      <c r="R149" s="194"/>
      <c r="S149" s="195"/>
      <c r="T149" s="196"/>
      <c r="U149" s="194"/>
      <c r="V149" s="197"/>
      <c r="W149" s="196"/>
      <c r="X149" s="593"/>
      <c r="Y149" s="593"/>
      <c r="Z149" s="594"/>
      <c r="AA149" s="199"/>
      <c r="AB149" s="200"/>
      <c r="AC149" s="201"/>
      <c r="AD149" s="202"/>
      <c r="AE149" s="202"/>
      <c r="AF149" s="202"/>
      <c r="AG149" s="202"/>
      <c r="AH149" s="203"/>
      <c r="AI149" s="204"/>
      <c r="AJ149" s="204"/>
      <c r="AK149" s="204"/>
      <c r="AL149" s="205"/>
      <c r="AM149" s="206"/>
      <c r="AN149" s="207"/>
      <c r="AO149" s="207"/>
      <c r="AP149" s="208"/>
      <c r="AQ149" s="209"/>
      <c r="AR149" s="207"/>
      <c r="AS149" s="210"/>
      <c r="AT149" s="209"/>
      <c r="AU149" s="204"/>
      <c r="AV149" s="204"/>
      <c r="AW149" s="204"/>
      <c r="AX149" s="199"/>
      <c r="AY149" s="167"/>
      <c r="AZ149" s="199"/>
      <c r="BA149" s="200"/>
      <c r="BB149" s="201"/>
      <c r="BC149" s="202"/>
      <c r="BD149" s="202"/>
      <c r="BE149" s="202"/>
      <c r="BF149" s="202"/>
      <c r="BG149" s="203"/>
      <c r="BH149" s="204"/>
      <c r="BI149" s="204"/>
      <c r="BJ149" s="204"/>
      <c r="BK149" s="205"/>
      <c r="BL149" s="206"/>
      <c r="BM149" s="207"/>
      <c r="BN149" s="207"/>
      <c r="BO149" s="208"/>
      <c r="BP149" s="209"/>
      <c r="BQ149" s="207"/>
      <c r="BR149" s="210"/>
      <c r="BS149" s="209"/>
      <c r="BT149" s="204"/>
      <c r="BU149" s="204"/>
      <c r="BV149" s="204"/>
      <c r="BW149" s="199"/>
      <c r="BX149" s="167"/>
      <c r="BY149" s="199"/>
      <c r="BZ149" s="200"/>
      <c r="CA149" s="201"/>
      <c r="CB149" s="202"/>
      <c r="CC149" s="202"/>
      <c r="CD149" s="202"/>
      <c r="CE149" s="202"/>
      <c r="CF149" s="203"/>
      <c r="CG149" s="204"/>
      <c r="CH149" s="204"/>
      <c r="CI149" s="204"/>
      <c r="CJ149" s="205"/>
      <c r="CK149" s="206"/>
      <c r="CL149" s="207"/>
      <c r="CM149" s="207"/>
      <c r="CN149" s="208"/>
      <c r="CO149" s="209"/>
      <c r="CP149" s="207"/>
      <c r="CQ149" s="210"/>
      <c r="CR149" s="209"/>
      <c r="CS149" s="204"/>
      <c r="CT149" s="204"/>
      <c r="CU149" s="204"/>
      <c r="CV149" s="199"/>
      <c r="CW149" s="167"/>
      <c r="CX149" s="199"/>
      <c r="CY149" s="200"/>
      <c r="CZ149" s="201"/>
      <c r="DA149" s="202"/>
      <c r="DB149" s="202"/>
      <c r="DC149" s="202"/>
      <c r="DD149" s="202"/>
      <c r="DE149" s="203"/>
      <c r="DF149" s="204"/>
      <c r="DG149" s="204"/>
      <c r="DH149" s="204"/>
      <c r="DI149" s="205"/>
      <c r="DJ149" s="206"/>
      <c r="DK149" s="207"/>
      <c r="DL149" s="207"/>
      <c r="DM149" s="208"/>
      <c r="DN149" s="209"/>
      <c r="DO149" s="207"/>
      <c r="DP149" s="210"/>
      <c r="DQ149" s="209"/>
      <c r="DR149" s="204"/>
      <c r="DS149" s="204"/>
      <c r="DT149" s="204"/>
      <c r="DU149" s="199"/>
      <c r="DV149" s="167"/>
      <c r="DW149" s="199"/>
      <c r="DX149" s="200"/>
      <c r="DY149" s="201"/>
      <c r="DZ149" s="202"/>
      <c r="EA149" s="202"/>
      <c r="EB149" s="202"/>
      <c r="EC149" s="202"/>
      <c r="ED149" s="203"/>
      <c r="EE149" s="204"/>
      <c r="EF149" s="204"/>
      <c r="EG149" s="204"/>
      <c r="EH149" s="205"/>
      <c r="EI149" s="206"/>
      <c r="EJ149" s="207"/>
      <c r="EK149" s="207"/>
      <c r="EL149" s="208"/>
      <c r="EM149" s="209"/>
      <c r="EN149" s="207"/>
      <c r="EO149" s="210"/>
      <c r="EP149" s="209"/>
      <c r="EQ149" s="204"/>
      <c r="ER149" s="204"/>
      <c r="ES149" s="204"/>
      <c r="ET149" s="199"/>
      <c r="EU149" s="167"/>
      <c r="EV149" s="199"/>
      <c r="EW149" s="200"/>
      <c r="EX149" s="201"/>
      <c r="EY149" s="202"/>
      <c r="EZ149" s="202"/>
      <c r="FA149" s="202"/>
      <c r="FB149" s="202"/>
      <c r="FC149" s="203"/>
      <c r="FD149" s="204"/>
      <c r="FE149" s="204"/>
      <c r="FF149" s="204"/>
      <c r="FG149" s="205"/>
      <c r="FH149" s="206"/>
      <c r="FI149" s="207"/>
      <c r="FJ149" s="207"/>
      <c r="FK149" s="208"/>
      <c r="FL149" s="209"/>
      <c r="FM149" s="207"/>
      <c r="FN149" s="210"/>
      <c r="FO149" s="209"/>
      <c r="FP149" s="204"/>
      <c r="FQ149" s="204"/>
      <c r="FR149" s="204"/>
      <c r="FS149" s="199"/>
      <c r="FT149" s="167"/>
      <c r="FU149" s="199"/>
      <c r="FV149" s="200"/>
      <c r="FW149" s="201"/>
      <c r="FX149" s="202"/>
      <c r="FY149" s="202"/>
      <c r="FZ149" s="202"/>
      <c r="GA149" s="202"/>
      <c r="GB149" s="203"/>
      <c r="GC149" s="204"/>
      <c r="GD149" s="204"/>
      <c r="GE149" s="204"/>
      <c r="GF149" s="205"/>
      <c r="GG149" s="206"/>
      <c r="GH149" s="207"/>
      <c r="GI149" s="207"/>
      <c r="GJ149" s="208"/>
      <c r="GK149" s="209"/>
      <c r="GL149" s="207"/>
      <c r="GM149" s="210"/>
      <c r="GN149" s="209"/>
      <c r="GO149" s="204"/>
      <c r="GP149" s="204"/>
      <c r="GQ149" s="204"/>
      <c r="GR149" s="199"/>
      <c r="GS149" s="167"/>
      <c r="GT149" s="199"/>
      <c r="GU149" s="200"/>
      <c r="GV149" s="201"/>
      <c r="GW149" s="202"/>
      <c r="GX149" s="202"/>
      <c r="GY149" s="202"/>
      <c r="GZ149" s="202"/>
      <c r="HA149" s="203"/>
      <c r="HB149" s="204"/>
      <c r="HC149" s="204"/>
      <c r="HD149" s="204"/>
      <c r="HE149" s="205"/>
      <c r="HF149" s="206"/>
      <c r="HG149" s="207"/>
      <c r="HH149" s="207"/>
      <c r="HI149" s="208"/>
      <c r="HJ149" s="209"/>
      <c r="HK149" s="207"/>
      <c r="HL149" s="210"/>
      <c r="HM149" s="209"/>
      <c r="HN149" s="204"/>
      <c r="HO149" s="204"/>
      <c r="HP149" s="204"/>
      <c r="HQ149" s="199"/>
      <c r="HR149" s="167"/>
      <c r="HS149" s="199"/>
      <c r="HT149" s="200"/>
      <c r="HU149" s="201"/>
      <c r="HV149" s="202"/>
      <c r="HW149" s="202"/>
      <c r="HX149" s="202"/>
      <c r="HY149" s="202"/>
      <c r="HZ149" s="203"/>
      <c r="IA149" s="204"/>
      <c r="IB149" s="204"/>
      <c r="IC149" s="204"/>
      <c r="ID149" s="205"/>
      <c r="IE149" s="206"/>
      <c r="IF149" s="207"/>
      <c r="IG149" s="207"/>
      <c r="IH149" s="208"/>
      <c r="II149" s="209"/>
      <c r="IJ149" s="207"/>
      <c r="IK149" s="210"/>
      <c r="IL149" s="209"/>
      <c r="IM149" s="204"/>
      <c r="IN149" s="204"/>
      <c r="IO149" s="204"/>
      <c r="IP149" s="199"/>
      <c r="IQ149" s="167"/>
      <c r="IR149" s="199"/>
      <c r="IS149" s="200"/>
      <c r="IT149" s="201"/>
      <c r="IU149" s="202"/>
      <c r="IV149" s="202"/>
      <c r="IW149" s="202"/>
      <c r="IX149" s="202"/>
      <c r="IY149" s="203"/>
      <c r="IZ149" s="204"/>
      <c r="JA149" s="204"/>
      <c r="JB149" s="204"/>
      <c r="JC149" s="205"/>
      <c r="JD149" s="206"/>
      <c r="JE149" s="207"/>
      <c r="JF149" s="207"/>
      <c r="JG149" s="208"/>
      <c r="JH149" s="209"/>
      <c r="JI149" s="207"/>
      <c r="JJ149" s="210"/>
      <c r="JK149" s="209"/>
      <c r="JL149" s="204"/>
      <c r="JM149" s="204"/>
      <c r="JN149" s="204"/>
      <c r="JO149" s="199"/>
      <c r="JP149" s="167"/>
      <c r="JQ149" s="199"/>
      <c r="JR149" s="200"/>
      <c r="JS149" s="201"/>
      <c r="JT149" s="202"/>
      <c r="JU149" s="202"/>
      <c r="JV149" s="202"/>
      <c r="JW149" s="202"/>
      <c r="JX149" s="203"/>
      <c r="JY149" s="204"/>
      <c r="JZ149" s="204"/>
      <c r="KA149" s="204"/>
      <c r="KB149" s="205"/>
      <c r="KC149" s="206"/>
      <c r="KD149" s="207"/>
      <c r="KE149" s="207"/>
      <c r="KF149" s="208"/>
      <c r="KG149" s="209"/>
      <c r="KH149" s="207"/>
      <c r="KI149" s="210"/>
      <c r="KJ149" s="209"/>
      <c r="KK149" s="204"/>
      <c r="KL149" s="204"/>
      <c r="KM149" s="204"/>
      <c r="KN149" s="199"/>
      <c r="KO149" s="167"/>
      <c r="KP149" s="199"/>
      <c r="KQ149" s="200"/>
      <c r="KR149" s="201"/>
      <c r="KS149" s="202"/>
      <c r="KT149" s="202"/>
      <c r="KU149" s="202"/>
      <c r="KV149" s="202"/>
      <c r="KW149" s="203"/>
      <c r="KX149" s="204"/>
      <c r="KY149" s="204"/>
      <c r="KZ149" s="204"/>
      <c r="LA149" s="205"/>
      <c r="LB149" s="206"/>
      <c r="LC149" s="207"/>
      <c r="LD149" s="207"/>
      <c r="LE149" s="208"/>
      <c r="LF149" s="209"/>
      <c r="LG149" s="207"/>
      <c r="LH149" s="210"/>
      <c r="LI149" s="209"/>
      <c r="LJ149" s="204"/>
      <c r="LK149" s="204"/>
      <c r="LL149" s="204"/>
      <c r="LM149" s="199"/>
      <c r="LN149" s="167"/>
      <c r="LO149" s="199"/>
      <c r="LP149" s="200"/>
      <c r="LQ149" s="201"/>
      <c r="LR149" s="202"/>
      <c r="LS149" s="202"/>
      <c r="LT149" s="202"/>
      <c r="LU149" s="202"/>
      <c r="LV149" s="203"/>
      <c r="LW149" s="204"/>
      <c r="LX149" s="204"/>
      <c r="LY149" s="204"/>
      <c r="LZ149" s="205"/>
      <c r="MA149" s="206"/>
      <c r="MB149" s="207"/>
      <c r="MC149" s="207"/>
      <c r="MD149" s="208"/>
      <c r="ME149" s="209"/>
      <c r="MF149" s="207"/>
      <c r="MG149" s="210"/>
      <c r="MH149" s="209"/>
      <c r="MI149" s="204"/>
      <c r="MJ149" s="204"/>
      <c r="MK149" s="204"/>
      <c r="ML149" s="199"/>
      <c r="MM149" s="167"/>
      <c r="MN149" s="199"/>
      <c r="MO149" s="200"/>
      <c r="MP149" s="201"/>
      <c r="MQ149" s="202"/>
      <c r="MR149" s="202"/>
      <c r="MS149" s="202"/>
      <c r="MT149" s="202"/>
      <c r="MU149" s="203"/>
      <c r="MV149" s="204"/>
      <c r="MW149" s="204"/>
      <c r="MX149" s="204"/>
      <c r="MY149" s="205"/>
      <c r="MZ149" s="206"/>
      <c r="NA149" s="207"/>
      <c r="NB149" s="207"/>
      <c r="NC149" s="208"/>
      <c r="ND149" s="209"/>
      <c r="NE149" s="207"/>
      <c r="NF149" s="210"/>
      <c r="NG149" s="209"/>
      <c r="NH149" s="204"/>
      <c r="NI149" s="204"/>
      <c r="NJ149" s="204"/>
      <c r="NK149" s="199"/>
      <c r="NL149" s="167"/>
      <c r="NM149" s="199"/>
      <c r="NN149" s="200"/>
      <c r="NO149" s="201"/>
      <c r="NP149" s="202"/>
      <c r="NQ149" s="202"/>
      <c r="NR149" s="202"/>
      <c r="NS149" s="202"/>
      <c r="NT149" s="203"/>
      <c r="NU149" s="204"/>
      <c r="NV149" s="204"/>
      <c r="NW149" s="204"/>
      <c r="NX149" s="205"/>
      <c r="NY149" s="206"/>
      <c r="NZ149" s="207"/>
      <c r="OA149" s="207"/>
      <c r="OB149" s="208"/>
      <c r="OC149" s="209"/>
      <c r="OD149" s="207"/>
      <c r="OE149" s="210"/>
      <c r="OF149" s="209"/>
      <c r="OG149" s="204"/>
      <c r="OH149" s="204"/>
      <c r="OI149" s="204"/>
      <c r="OJ149" s="199"/>
      <c r="OK149" s="167"/>
      <c r="OL149" s="199"/>
      <c r="OM149" s="200"/>
      <c r="ON149" s="201"/>
      <c r="OO149" s="202"/>
      <c r="OP149" s="202"/>
      <c r="OQ149" s="202"/>
      <c r="OR149" s="202"/>
      <c r="OS149" s="203"/>
      <c r="OT149" s="204"/>
      <c r="OU149" s="204"/>
      <c r="OV149" s="204"/>
      <c r="OW149" s="205"/>
      <c r="OX149" s="206"/>
      <c r="OY149" s="207"/>
      <c r="OZ149" s="207"/>
      <c r="PA149" s="208"/>
      <c r="PB149" s="209"/>
      <c r="PC149" s="207"/>
      <c r="PD149" s="210"/>
      <c r="PE149" s="209"/>
      <c r="PF149" s="204"/>
      <c r="PG149" s="204"/>
      <c r="PH149" s="204"/>
      <c r="PI149" s="199"/>
      <c r="PJ149" s="167"/>
      <c r="PK149" s="199"/>
      <c r="PL149" s="200"/>
      <c r="PM149" s="201"/>
      <c r="PN149" s="202"/>
      <c r="PO149" s="202"/>
      <c r="PP149" s="202"/>
      <c r="PQ149" s="202"/>
      <c r="PR149" s="203"/>
      <c r="PS149" s="204"/>
      <c r="PT149" s="204"/>
      <c r="PU149" s="204"/>
      <c r="PV149" s="205"/>
      <c r="PW149" s="206"/>
      <c r="PX149" s="207"/>
      <c r="PY149" s="207"/>
      <c r="PZ149" s="208"/>
      <c r="QA149" s="209"/>
      <c r="QB149" s="207"/>
      <c r="QC149" s="210"/>
      <c r="QD149" s="209"/>
      <c r="QE149" s="204"/>
      <c r="QF149" s="204"/>
      <c r="QG149" s="204"/>
      <c r="QH149" s="199"/>
      <c r="QI149" s="167"/>
      <c r="QJ149" s="199"/>
      <c r="QK149" s="200"/>
      <c r="QL149" s="201"/>
      <c r="QM149" s="202"/>
      <c r="QN149" s="202"/>
      <c r="QO149" s="202"/>
      <c r="QP149" s="202"/>
      <c r="QQ149" s="203"/>
      <c r="QR149" s="204"/>
      <c r="QS149" s="204"/>
      <c r="QT149" s="204"/>
      <c r="QU149" s="205"/>
      <c r="QV149" s="206"/>
      <c r="QW149" s="207"/>
      <c r="QX149" s="207"/>
      <c r="QY149" s="208"/>
      <c r="QZ149" s="209"/>
      <c r="RA149" s="207"/>
      <c r="RB149" s="210"/>
      <c r="RC149" s="209"/>
      <c r="RD149" s="204"/>
      <c r="RE149" s="204"/>
      <c r="RF149" s="204"/>
      <c r="RG149" s="199"/>
      <c r="RH149" s="167"/>
      <c r="RI149" s="199"/>
      <c r="RJ149" s="200"/>
      <c r="RK149" s="201"/>
      <c r="RL149" s="202"/>
      <c r="RM149" s="202"/>
      <c r="RN149" s="202"/>
      <c r="RO149" s="202"/>
      <c r="RP149" s="203"/>
      <c r="RQ149" s="204"/>
      <c r="RR149" s="204"/>
      <c r="RS149" s="204"/>
      <c r="RT149" s="205"/>
      <c r="RU149" s="206"/>
      <c r="RV149" s="207"/>
      <c r="RW149" s="207"/>
      <c r="RX149" s="208"/>
      <c r="RY149" s="209"/>
      <c r="RZ149" s="207"/>
      <c r="SA149" s="210"/>
      <c r="SB149" s="209"/>
      <c r="SC149" s="204"/>
      <c r="SD149" s="204"/>
      <c r="SE149" s="204"/>
      <c r="SF149" s="199"/>
      <c r="SG149" s="167"/>
      <c r="SH149" s="199"/>
      <c r="SI149" s="200"/>
      <c r="SJ149" s="201"/>
      <c r="SK149" s="202"/>
      <c r="SL149" s="202"/>
      <c r="SM149" s="202"/>
      <c r="SN149" s="202"/>
      <c r="SO149" s="203"/>
      <c r="SP149" s="204"/>
      <c r="SQ149" s="204"/>
      <c r="SR149" s="204"/>
      <c r="SS149" s="205"/>
      <c r="ST149" s="206"/>
      <c r="SU149" s="207"/>
      <c r="SV149" s="207"/>
      <c r="SW149" s="208"/>
      <c r="SX149" s="209"/>
      <c r="SY149" s="207"/>
      <c r="SZ149" s="210"/>
      <c r="TA149" s="209"/>
      <c r="TB149" s="204"/>
      <c r="TC149" s="204"/>
      <c r="TD149" s="204"/>
      <c r="TE149" s="199"/>
      <c r="TF149" s="167"/>
      <c r="TG149" s="199"/>
      <c r="TH149" s="200"/>
      <c r="TI149" s="201"/>
      <c r="TJ149" s="202"/>
      <c r="TK149" s="202"/>
      <c r="TL149" s="202"/>
      <c r="TM149" s="202"/>
      <c r="TN149" s="203"/>
      <c r="TO149" s="204"/>
      <c r="TP149" s="204"/>
      <c r="TQ149" s="204"/>
      <c r="TR149" s="205"/>
      <c r="TS149" s="206"/>
      <c r="TT149" s="207"/>
      <c r="TU149" s="207"/>
      <c r="TV149" s="208"/>
      <c r="TW149" s="209"/>
      <c r="TX149" s="207"/>
      <c r="TY149" s="210"/>
      <c r="TZ149" s="209"/>
      <c r="UA149" s="204"/>
      <c r="UB149" s="204"/>
      <c r="UC149" s="204"/>
      <c r="UD149" s="199"/>
      <c r="UE149" s="167"/>
      <c r="UF149" s="199"/>
      <c r="UG149" s="200"/>
      <c r="UH149" s="201"/>
      <c r="UI149" s="202"/>
      <c r="UJ149" s="202"/>
      <c r="UK149" s="202"/>
      <c r="UL149" s="202"/>
      <c r="UM149" s="203"/>
      <c r="UN149" s="204"/>
      <c r="UO149" s="204"/>
      <c r="UP149" s="204"/>
      <c r="UQ149" s="205"/>
      <c r="UR149" s="206"/>
      <c r="US149" s="207"/>
      <c r="UT149" s="207"/>
      <c r="UU149" s="208"/>
      <c r="UV149" s="209"/>
      <c r="UW149" s="207"/>
      <c r="UX149" s="210"/>
      <c r="UY149" s="209"/>
      <c r="UZ149" s="204"/>
      <c r="VA149" s="204"/>
      <c r="VB149" s="204"/>
      <c r="VC149" s="199"/>
      <c r="VD149" s="167"/>
      <c r="VE149" s="199"/>
      <c r="VF149" s="200"/>
      <c r="VG149" s="201"/>
      <c r="VH149" s="202"/>
      <c r="VI149" s="202"/>
      <c r="VJ149" s="202"/>
      <c r="VK149" s="202"/>
      <c r="VL149" s="203"/>
      <c r="VM149" s="204"/>
      <c r="VN149" s="204"/>
      <c r="VO149" s="204"/>
      <c r="VP149" s="205"/>
      <c r="VQ149" s="206"/>
      <c r="VR149" s="207"/>
      <c r="VS149" s="207"/>
      <c r="VT149" s="208"/>
      <c r="VU149" s="209"/>
      <c r="VV149" s="207"/>
      <c r="VW149" s="210"/>
      <c r="VX149" s="209"/>
      <c r="VY149" s="204"/>
      <c r="VZ149" s="204"/>
      <c r="WA149" s="204"/>
      <c r="WB149" s="199"/>
      <c r="WC149" s="167"/>
      <c r="WD149" s="199"/>
      <c r="WE149" s="200"/>
      <c r="WF149" s="201"/>
      <c r="WG149" s="202"/>
      <c r="WH149" s="202"/>
      <c r="WI149" s="202"/>
      <c r="WJ149" s="202"/>
      <c r="WK149" s="203"/>
      <c r="WL149" s="204"/>
      <c r="WM149" s="204"/>
      <c r="WN149" s="204"/>
      <c r="WO149" s="205"/>
      <c r="WP149" s="206"/>
      <c r="WQ149" s="207"/>
      <c r="WR149" s="207"/>
      <c r="WS149" s="208"/>
      <c r="WT149" s="209"/>
      <c r="WU149" s="207"/>
      <c r="WV149" s="210"/>
      <c r="WW149" s="209"/>
      <c r="WX149" s="204"/>
      <c r="WY149" s="204"/>
      <c r="WZ149" s="204"/>
      <c r="XA149" s="199"/>
      <c r="XB149" s="167"/>
      <c r="XC149" s="199"/>
      <c r="XD149" s="200"/>
      <c r="XE149" s="201"/>
      <c r="XF149" s="202"/>
      <c r="XG149" s="202"/>
      <c r="XH149" s="202"/>
      <c r="XI149" s="202"/>
      <c r="XJ149" s="203"/>
      <c r="XK149" s="204"/>
      <c r="XL149" s="204"/>
      <c r="XM149" s="204"/>
      <c r="XN149" s="205"/>
      <c r="XO149" s="206"/>
      <c r="XP149" s="207"/>
      <c r="XQ149" s="207"/>
      <c r="XR149" s="208"/>
      <c r="XS149" s="209"/>
      <c r="XT149" s="207"/>
      <c r="XU149" s="210"/>
      <c r="XV149" s="209"/>
      <c r="XW149" s="204"/>
      <c r="XX149" s="204"/>
      <c r="XY149" s="204"/>
      <c r="XZ149" s="199"/>
      <c r="YA149" s="167"/>
      <c r="YB149" s="199"/>
      <c r="YC149" s="200"/>
      <c r="YD149" s="201"/>
      <c r="YE149" s="202"/>
      <c r="YF149" s="202"/>
      <c r="YG149" s="202"/>
      <c r="YH149" s="202"/>
      <c r="YI149" s="203"/>
      <c r="YJ149" s="204"/>
      <c r="YK149" s="204"/>
      <c r="YL149" s="204"/>
      <c r="YM149" s="205"/>
      <c r="YN149" s="206"/>
      <c r="YO149" s="207"/>
      <c r="YP149" s="207"/>
      <c r="YQ149" s="208"/>
      <c r="YR149" s="209"/>
      <c r="YS149" s="207"/>
      <c r="YT149" s="210"/>
      <c r="YU149" s="209"/>
      <c r="YV149" s="204"/>
      <c r="YW149" s="204"/>
      <c r="YX149" s="204"/>
      <c r="YY149" s="199"/>
      <c r="YZ149" s="167"/>
      <c r="ZA149" s="199"/>
      <c r="ZB149" s="200"/>
      <c r="ZC149" s="201"/>
      <c r="ZD149" s="202"/>
      <c r="ZE149" s="202"/>
      <c r="ZF149" s="202"/>
      <c r="ZG149" s="202"/>
      <c r="ZH149" s="203"/>
      <c r="ZI149" s="204"/>
      <c r="ZJ149" s="204"/>
      <c r="ZK149" s="204"/>
      <c r="ZL149" s="205"/>
      <c r="ZM149" s="206"/>
      <c r="ZN149" s="207"/>
      <c r="ZO149" s="207"/>
      <c r="ZP149" s="208"/>
      <c r="ZQ149" s="209"/>
      <c r="ZR149" s="207"/>
      <c r="ZS149" s="210"/>
      <c r="ZT149" s="209"/>
      <c r="ZU149" s="204"/>
      <c r="ZV149" s="204"/>
      <c r="ZW149" s="204"/>
      <c r="ZX149" s="199"/>
      <c r="ZY149" s="167"/>
      <c r="ZZ149" s="199"/>
      <c r="AAA149" s="200"/>
      <c r="AAB149" s="201"/>
      <c r="AAC149" s="202"/>
      <c r="AAD149" s="202"/>
      <c r="AAE149" s="202"/>
      <c r="AAF149" s="202"/>
      <c r="AAG149" s="203"/>
      <c r="AAH149" s="204"/>
      <c r="AAI149" s="204"/>
      <c r="AAJ149" s="204"/>
      <c r="AAK149" s="205"/>
      <c r="AAL149" s="206"/>
      <c r="AAM149" s="207"/>
      <c r="AAN149" s="207"/>
      <c r="AAO149" s="208"/>
      <c r="AAP149" s="209"/>
      <c r="AAQ149" s="207"/>
      <c r="AAR149" s="210"/>
      <c r="AAS149" s="209"/>
      <c r="AAT149" s="204"/>
      <c r="AAU149" s="204"/>
      <c r="AAV149" s="204"/>
      <c r="AAW149" s="199"/>
      <c r="AAX149" s="167"/>
      <c r="AAY149" s="199"/>
      <c r="AAZ149" s="200"/>
      <c r="ABA149" s="201"/>
      <c r="ABB149" s="202"/>
      <c r="ABC149" s="202"/>
      <c r="ABD149" s="202"/>
      <c r="ABE149" s="202"/>
      <c r="ABF149" s="203"/>
      <c r="ABG149" s="204"/>
      <c r="ABH149" s="204"/>
      <c r="ABI149" s="204"/>
      <c r="ABJ149" s="205"/>
      <c r="ABK149" s="206"/>
      <c r="ABL149" s="207"/>
      <c r="ABM149" s="207"/>
      <c r="ABN149" s="208"/>
      <c r="ABO149" s="209"/>
      <c r="ABP149" s="207"/>
      <c r="ABQ149" s="210"/>
      <c r="ABR149" s="209"/>
      <c r="ABS149" s="204"/>
      <c r="ABT149" s="204"/>
      <c r="ABU149" s="204"/>
      <c r="ABV149" s="199"/>
      <c r="ABW149" s="167"/>
      <c r="ABX149" s="199"/>
      <c r="ABY149" s="200"/>
      <c r="ABZ149" s="201"/>
      <c r="ACA149" s="202"/>
      <c r="ACB149" s="202"/>
      <c r="ACC149" s="202"/>
      <c r="ACD149" s="202"/>
      <c r="ACE149" s="203"/>
      <c r="ACF149" s="204"/>
      <c r="ACG149" s="204"/>
      <c r="ACH149" s="204"/>
      <c r="ACI149" s="205"/>
      <c r="ACJ149" s="206"/>
      <c r="ACK149" s="207"/>
      <c r="ACL149" s="207"/>
      <c r="ACM149" s="208"/>
      <c r="ACN149" s="209"/>
      <c r="ACO149" s="207"/>
      <c r="ACP149" s="210"/>
      <c r="ACQ149" s="209"/>
      <c r="ACR149" s="204"/>
      <c r="ACS149" s="204"/>
      <c r="ACT149" s="204"/>
      <c r="ACU149" s="199"/>
      <c r="ACV149" s="167"/>
      <c r="ACW149" s="199"/>
      <c r="ACX149" s="200"/>
      <c r="ACY149" s="201"/>
      <c r="ACZ149" s="202"/>
      <c r="ADA149" s="202"/>
      <c r="ADB149" s="202"/>
      <c r="ADC149" s="202"/>
      <c r="ADD149" s="203"/>
      <c r="ADE149" s="204"/>
      <c r="ADF149" s="204"/>
      <c r="ADG149" s="204"/>
      <c r="ADH149" s="205"/>
      <c r="ADI149" s="206"/>
      <c r="ADJ149" s="207"/>
      <c r="ADK149" s="207"/>
      <c r="ADL149" s="208"/>
      <c r="ADM149" s="209"/>
      <c r="ADN149" s="207"/>
      <c r="ADO149" s="210"/>
      <c r="ADP149" s="209"/>
      <c r="ADQ149" s="204"/>
      <c r="ADR149" s="204"/>
      <c r="ADS149" s="204"/>
      <c r="ADT149" s="199"/>
      <c r="ADU149" s="167"/>
      <c r="ADV149" s="199"/>
      <c r="ADW149" s="200"/>
      <c r="ADX149" s="201"/>
      <c r="ADY149" s="202"/>
      <c r="ADZ149" s="202"/>
      <c r="AEA149" s="202"/>
      <c r="AEB149" s="202"/>
      <c r="AEC149" s="203"/>
      <c r="AED149" s="204"/>
      <c r="AEE149" s="204"/>
      <c r="AEF149" s="204"/>
      <c r="AEG149" s="205"/>
      <c r="AEH149" s="206"/>
      <c r="AEI149" s="207"/>
      <c r="AEJ149" s="207"/>
      <c r="AEK149" s="208"/>
      <c r="AEL149" s="209"/>
      <c r="AEM149" s="207"/>
      <c r="AEN149" s="210"/>
      <c r="AEO149" s="209"/>
      <c r="AEP149" s="204"/>
      <c r="AEQ149" s="204"/>
      <c r="AER149" s="204"/>
      <c r="AES149" s="199"/>
      <c r="AET149" s="167"/>
      <c r="AEU149" s="199"/>
      <c r="AEV149" s="200"/>
      <c r="AEW149" s="201"/>
      <c r="AEX149" s="202"/>
      <c r="AEY149" s="202"/>
      <c r="AEZ149" s="202"/>
      <c r="AFA149" s="202"/>
      <c r="AFB149" s="203"/>
      <c r="AFC149" s="204"/>
      <c r="AFD149" s="204"/>
      <c r="AFE149" s="204"/>
      <c r="AFF149" s="205"/>
      <c r="AFG149" s="206"/>
      <c r="AFH149" s="207"/>
      <c r="AFI149" s="207"/>
      <c r="AFJ149" s="208"/>
      <c r="AFK149" s="209"/>
      <c r="AFL149" s="207"/>
      <c r="AFM149" s="210"/>
      <c r="AFN149" s="209"/>
      <c r="AFO149" s="204"/>
      <c r="AFP149" s="204"/>
      <c r="AFQ149" s="204"/>
      <c r="AFR149" s="199"/>
      <c r="AFS149" s="167"/>
      <c r="AFT149" s="199"/>
      <c r="AFU149" s="200"/>
      <c r="AFV149" s="201"/>
      <c r="AFW149" s="202"/>
      <c r="AFX149" s="202"/>
      <c r="AFY149" s="202"/>
      <c r="AFZ149" s="202"/>
      <c r="AGA149" s="203"/>
      <c r="AGB149" s="204"/>
      <c r="AGC149" s="204"/>
      <c r="AGD149" s="204"/>
      <c r="AGE149" s="205"/>
      <c r="AGF149" s="206"/>
      <c r="AGG149" s="207"/>
      <c r="AGH149" s="207"/>
      <c r="AGI149" s="208"/>
      <c r="AGJ149" s="209"/>
      <c r="AGK149" s="207"/>
      <c r="AGL149" s="210"/>
      <c r="AGM149" s="209"/>
      <c r="AGN149" s="204"/>
      <c r="AGO149" s="204"/>
      <c r="AGP149" s="204"/>
      <c r="AGQ149" s="199"/>
      <c r="AGR149" s="167"/>
      <c r="AGS149" s="199"/>
      <c r="AGT149" s="200"/>
      <c r="AGU149" s="201"/>
      <c r="AGV149" s="202"/>
      <c r="AGW149" s="202"/>
      <c r="AGX149" s="202"/>
      <c r="AGY149" s="202"/>
      <c r="AGZ149" s="203"/>
      <c r="AHA149" s="204"/>
      <c r="AHB149" s="204"/>
      <c r="AHC149" s="204"/>
      <c r="AHD149" s="205"/>
      <c r="AHE149" s="206"/>
      <c r="AHF149" s="207"/>
      <c r="AHG149" s="207"/>
      <c r="AHH149" s="208"/>
      <c r="AHI149" s="209"/>
      <c r="AHJ149" s="207"/>
      <c r="AHK149" s="210"/>
      <c r="AHL149" s="209"/>
      <c r="AHM149" s="204"/>
      <c r="AHN149" s="204"/>
      <c r="AHO149" s="204"/>
      <c r="AHP149" s="199"/>
      <c r="AHQ149" s="167"/>
      <c r="AHR149" s="199"/>
      <c r="AHS149" s="200"/>
      <c r="AHT149" s="201"/>
      <c r="AHU149" s="202"/>
      <c r="AHV149" s="202"/>
      <c r="AHW149" s="202"/>
      <c r="AHX149" s="202"/>
      <c r="AHY149" s="203"/>
      <c r="AHZ149" s="204"/>
      <c r="AIA149" s="204"/>
      <c r="AIB149" s="204"/>
      <c r="AIC149" s="205"/>
      <c r="AID149" s="206"/>
      <c r="AIE149" s="207"/>
      <c r="AIF149" s="207"/>
      <c r="AIG149" s="208"/>
      <c r="AIH149" s="209"/>
      <c r="AII149" s="207"/>
      <c r="AIJ149" s="210"/>
      <c r="AIK149" s="209"/>
      <c r="AIL149" s="204"/>
      <c r="AIM149" s="204"/>
      <c r="AIN149" s="204"/>
      <c r="AIO149" s="199"/>
      <c r="AIP149" s="167"/>
      <c r="AIQ149" s="199"/>
      <c r="AIR149" s="200"/>
      <c r="AIS149" s="201"/>
      <c r="AIT149" s="202"/>
      <c r="AIU149" s="202"/>
      <c r="AIV149" s="202"/>
      <c r="AIW149" s="202"/>
      <c r="AIX149" s="203"/>
      <c r="AIY149" s="204"/>
      <c r="AIZ149" s="204"/>
      <c r="AJA149" s="204"/>
      <c r="AJB149" s="205"/>
      <c r="AJC149" s="206"/>
      <c r="AJD149" s="207"/>
      <c r="AJE149" s="207"/>
      <c r="AJF149" s="208"/>
      <c r="AJG149" s="209"/>
      <c r="AJH149" s="207"/>
      <c r="AJI149" s="210"/>
      <c r="AJJ149" s="209"/>
      <c r="AJK149" s="204"/>
      <c r="AJL149" s="204"/>
      <c r="AJM149" s="204"/>
      <c r="AJN149" s="199"/>
      <c r="AJO149" s="167"/>
      <c r="AJP149" s="199"/>
      <c r="AJQ149" s="200"/>
      <c r="AJR149" s="201"/>
      <c r="AJS149" s="202"/>
      <c r="AJT149" s="202"/>
      <c r="AJU149" s="202"/>
      <c r="AJV149" s="202"/>
      <c r="AJW149" s="203"/>
      <c r="AJX149" s="204"/>
      <c r="AJY149" s="204"/>
      <c r="AJZ149" s="204"/>
      <c r="AKA149" s="205"/>
      <c r="AKB149" s="206"/>
      <c r="AKC149" s="207"/>
      <c r="AKD149" s="207"/>
      <c r="AKE149" s="208"/>
      <c r="AKF149" s="209"/>
      <c r="AKG149" s="207"/>
      <c r="AKH149" s="210"/>
      <c r="AKI149" s="209"/>
      <c r="AKJ149" s="204"/>
      <c r="AKK149" s="204"/>
      <c r="AKL149" s="204"/>
      <c r="AKM149" s="199"/>
      <c r="AKN149" s="167"/>
      <c r="AKO149" s="199"/>
      <c r="AKP149" s="200"/>
      <c r="AKQ149" s="201"/>
      <c r="AKR149" s="202"/>
      <c r="AKS149" s="202"/>
      <c r="AKT149" s="202"/>
      <c r="AKU149" s="202"/>
      <c r="AKV149" s="203"/>
      <c r="AKW149" s="204"/>
      <c r="AKX149" s="204"/>
      <c r="AKY149" s="204"/>
      <c r="AKZ149" s="205"/>
      <c r="ALA149" s="206"/>
      <c r="ALB149" s="207"/>
      <c r="ALC149" s="207"/>
      <c r="ALD149" s="208"/>
      <c r="ALE149" s="209"/>
      <c r="ALF149" s="207"/>
      <c r="ALG149" s="210"/>
      <c r="ALH149" s="209"/>
      <c r="ALI149" s="204"/>
      <c r="ALJ149" s="204"/>
      <c r="ALK149" s="204"/>
      <c r="ALL149" s="199"/>
      <c r="ALM149" s="167"/>
      <c r="ALN149" s="199"/>
      <c r="ALO149" s="200"/>
      <c r="ALP149" s="201"/>
      <c r="ALQ149" s="202"/>
      <c r="ALR149" s="202"/>
      <c r="ALS149" s="202"/>
      <c r="ALT149" s="202"/>
      <c r="ALU149" s="203"/>
      <c r="ALV149" s="204"/>
      <c r="ALW149" s="204"/>
      <c r="ALX149" s="204"/>
      <c r="ALY149" s="205"/>
      <c r="ALZ149" s="206"/>
      <c r="AMA149" s="207"/>
      <c r="AMB149" s="207"/>
      <c r="AMC149" s="208"/>
      <c r="AMD149" s="209"/>
      <c r="AME149" s="207"/>
      <c r="AMF149" s="210"/>
      <c r="AMG149" s="209"/>
      <c r="AMH149" s="204"/>
      <c r="AMI149" s="204"/>
      <c r="AMJ149" s="204"/>
      <c r="AMK149" s="199"/>
      <c r="AML149" s="167"/>
      <c r="AMM149" s="199"/>
      <c r="AMN149" s="200"/>
      <c r="AMO149" s="201"/>
      <c r="AMP149" s="202"/>
      <c r="AMQ149" s="202"/>
      <c r="AMR149" s="202"/>
      <c r="AMS149" s="202"/>
      <c r="AMT149" s="203"/>
      <c r="AMU149" s="204"/>
      <c r="AMV149" s="204"/>
      <c r="AMW149" s="204"/>
      <c r="AMX149" s="205"/>
      <c r="AMY149" s="206"/>
      <c r="AMZ149" s="207"/>
      <c r="ANA149" s="207"/>
      <c r="ANB149" s="208"/>
      <c r="ANC149" s="209"/>
      <c r="AND149" s="207"/>
      <c r="ANE149" s="210"/>
      <c r="ANF149" s="209"/>
      <c r="ANG149" s="204"/>
      <c r="ANH149" s="204"/>
      <c r="ANI149" s="204"/>
      <c r="ANJ149" s="199"/>
      <c r="ANK149" s="167"/>
      <c r="ANL149" s="199"/>
      <c r="ANM149" s="200"/>
      <c r="ANN149" s="201"/>
      <c r="ANO149" s="202"/>
      <c r="ANP149" s="202"/>
      <c r="ANQ149" s="202"/>
      <c r="ANR149" s="202"/>
      <c r="ANS149" s="203"/>
      <c r="ANT149" s="204"/>
      <c r="ANU149" s="204"/>
      <c r="ANV149" s="204"/>
      <c r="ANW149" s="205"/>
      <c r="ANX149" s="206"/>
      <c r="ANY149" s="207"/>
      <c r="ANZ149" s="207"/>
      <c r="AOA149" s="208"/>
      <c r="AOB149" s="209"/>
      <c r="AOC149" s="207"/>
      <c r="AOD149" s="210"/>
      <c r="AOE149" s="209"/>
      <c r="AOF149" s="204"/>
      <c r="AOG149" s="204"/>
      <c r="AOH149" s="204"/>
      <c r="AOI149" s="199"/>
      <c r="AOJ149" s="167"/>
      <c r="AOK149" s="199"/>
      <c r="AOL149" s="200"/>
      <c r="AOM149" s="201"/>
      <c r="AON149" s="202"/>
      <c r="AOO149" s="202"/>
      <c r="AOP149" s="202"/>
      <c r="AOQ149" s="202"/>
      <c r="AOR149" s="203"/>
      <c r="AOS149" s="204"/>
      <c r="AOT149" s="204"/>
      <c r="AOU149" s="204"/>
      <c r="AOV149" s="205"/>
      <c r="AOW149" s="206"/>
      <c r="AOX149" s="207"/>
      <c r="AOY149" s="207"/>
      <c r="AOZ149" s="208"/>
      <c r="APA149" s="209"/>
      <c r="APB149" s="207"/>
      <c r="APC149" s="210"/>
      <c r="APD149" s="209"/>
      <c r="APE149" s="204"/>
      <c r="APF149" s="204"/>
      <c r="APG149" s="204"/>
      <c r="APH149" s="199"/>
      <c r="API149" s="167"/>
      <c r="APJ149" s="199"/>
      <c r="APK149" s="200"/>
      <c r="APL149" s="201"/>
      <c r="APM149" s="202"/>
      <c r="APN149" s="202"/>
      <c r="APO149" s="202"/>
      <c r="APP149" s="202"/>
      <c r="APQ149" s="203"/>
      <c r="APR149" s="204"/>
      <c r="APS149" s="204"/>
      <c r="APT149" s="204"/>
      <c r="APU149" s="205"/>
      <c r="APV149" s="206"/>
      <c r="APW149" s="207"/>
      <c r="APX149" s="207"/>
      <c r="APY149" s="208"/>
      <c r="APZ149" s="209"/>
      <c r="AQA149" s="207"/>
      <c r="AQB149" s="210"/>
      <c r="AQC149" s="209"/>
      <c r="AQD149" s="204"/>
      <c r="AQE149" s="204"/>
      <c r="AQF149" s="204"/>
      <c r="AQG149" s="199"/>
      <c r="AQH149" s="167"/>
      <c r="AQI149" s="199"/>
      <c r="AQJ149" s="200"/>
      <c r="AQK149" s="201"/>
      <c r="AQL149" s="202"/>
      <c r="AQM149" s="202"/>
      <c r="AQN149" s="202"/>
      <c r="AQO149" s="202"/>
      <c r="AQP149" s="203"/>
      <c r="AQQ149" s="204"/>
      <c r="AQR149" s="204"/>
      <c r="AQS149" s="204"/>
      <c r="AQT149" s="205"/>
      <c r="AQU149" s="206"/>
      <c r="AQV149" s="207"/>
      <c r="AQW149" s="207"/>
      <c r="AQX149" s="208"/>
      <c r="AQY149" s="209"/>
      <c r="AQZ149" s="207"/>
      <c r="ARA149" s="210"/>
      <c r="ARB149" s="209"/>
      <c r="ARC149" s="204"/>
      <c r="ARD149" s="204"/>
      <c r="ARE149" s="204"/>
      <c r="ARF149" s="199"/>
      <c r="ARG149" s="167"/>
      <c r="ARH149" s="199"/>
      <c r="ARI149" s="200"/>
      <c r="ARJ149" s="201"/>
      <c r="ARK149" s="202"/>
      <c r="ARL149" s="202"/>
      <c r="ARM149" s="202"/>
      <c r="ARN149" s="202"/>
      <c r="ARO149" s="203"/>
      <c r="ARP149" s="204"/>
      <c r="ARQ149" s="204"/>
      <c r="ARR149" s="204"/>
      <c r="ARS149" s="205"/>
      <c r="ART149" s="206"/>
      <c r="ARU149" s="207"/>
      <c r="ARV149" s="207"/>
      <c r="ARW149" s="208"/>
      <c r="ARX149" s="209"/>
      <c r="ARY149" s="207"/>
      <c r="ARZ149" s="210"/>
      <c r="ASA149" s="209"/>
      <c r="ASB149" s="204"/>
      <c r="ASC149" s="204"/>
      <c r="ASD149" s="204"/>
      <c r="ASE149" s="199"/>
      <c r="ASF149" s="167"/>
      <c r="ASG149" s="199"/>
      <c r="ASH149" s="200"/>
      <c r="ASI149" s="201"/>
      <c r="ASJ149" s="202"/>
      <c r="ASK149" s="202"/>
      <c r="ASL149" s="202"/>
      <c r="ASM149" s="202"/>
      <c r="ASN149" s="203"/>
      <c r="ASO149" s="204"/>
      <c r="ASP149" s="204"/>
      <c r="ASQ149" s="204"/>
      <c r="ASR149" s="205"/>
      <c r="ASS149" s="206"/>
      <c r="AST149" s="207"/>
      <c r="ASU149" s="207"/>
      <c r="ASV149" s="208"/>
      <c r="ASW149" s="209"/>
      <c r="ASX149" s="207"/>
      <c r="ASY149" s="210"/>
      <c r="ASZ149" s="209"/>
      <c r="ATA149" s="204"/>
      <c r="ATB149" s="204"/>
      <c r="ATC149" s="204"/>
      <c r="ATD149" s="199"/>
      <c r="ATE149" s="167"/>
      <c r="ATF149" s="199"/>
      <c r="ATG149" s="200"/>
      <c r="ATH149" s="201"/>
      <c r="ATI149" s="202"/>
      <c r="ATJ149" s="202"/>
      <c r="ATK149" s="202"/>
      <c r="ATL149" s="202"/>
      <c r="ATM149" s="203"/>
      <c r="ATN149" s="204"/>
      <c r="ATO149" s="204"/>
      <c r="ATP149" s="204"/>
      <c r="ATQ149" s="205"/>
      <c r="ATR149" s="206"/>
      <c r="ATS149" s="207"/>
      <c r="ATT149" s="207"/>
      <c r="ATU149" s="208"/>
      <c r="ATV149" s="209"/>
      <c r="ATW149" s="207"/>
      <c r="ATX149" s="210"/>
      <c r="ATY149" s="209"/>
      <c r="ATZ149" s="204"/>
      <c r="AUA149" s="204"/>
      <c r="AUB149" s="204"/>
      <c r="AUC149" s="199"/>
      <c r="AUD149" s="167"/>
      <c r="AUE149" s="199"/>
      <c r="AUF149" s="200"/>
      <c r="AUG149" s="201"/>
      <c r="AUH149" s="202"/>
      <c r="AUI149" s="202"/>
      <c r="AUJ149" s="202"/>
      <c r="AUK149" s="202"/>
      <c r="AUL149" s="203"/>
      <c r="AUM149" s="204"/>
      <c r="AUN149" s="204"/>
      <c r="AUO149" s="204"/>
      <c r="AUP149" s="205"/>
      <c r="AUQ149" s="206"/>
      <c r="AUR149" s="207"/>
      <c r="AUS149" s="207"/>
      <c r="AUT149" s="208"/>
      <c r="AUU149" s="209"/>
      <c r="AUV149" s="207"/>
      <c r="AUW149" s="210"/>
      <c r="AUX149" s="209"/>
      <c r="AUY149" s="204"/>
      <c r="AUZ149" s="204"/>
      <c r="AVA149" s="204"/>
      <c r="AVB149" s="199"/>
      <c r="AVC149" s="167"/>
      <c r="AVD149" s="199"/>
      <c r="AVE149" s="200"/>
      <c r="AVF149" s="201"/>
      <c r="AVG149" s="202"/>
      <c r="AVH149" s="202"/>
      <c r="AVI149" s="202"/>
      <c r="AVJ149" s="202"/>
      <c r="AVK149" s="203"/>
      <c r="AVL149" s="204"/>
      <c r="AVM149" s="204"/>
      <c r="AVN149" s="204"/>
      <c r="AVO149" s="205"/>
      <c r="AVP149" s="206"/>
      <c r="AVQ149" s="207"/>
      <c r="AVR149" s="207"/>
      <c r="AVS149" s="208"/>
      <c r="AVT149" s="209"/>
      <c r="AVU149" s="207"/>
      <c r="AVV149" s="210"/>
      <c r="AVW149" s="209"/>
      <c r="AVX149" s="204"/>
      <c r="AVY149" s="204"/>
      <c r="AVZ149" s="204"/>
      <c r="AWA149" s="199"/>
      <c r="AWB149" s="167"/>
      <c r="AWC149" s="199"/>
      <c r="AWD149" s="200"/>
      <c r="AWE149" s="201"/>
      <c r="AWF149" s="202"/>
      <c r="AWG149" s="202"/>
      <c r="AWH149" s="202"/>
      <c r="AWI149" s="202"/>
      <c r="AWJ149" s="203"/>
      <c r="AWK149" s="204"/>
      <c r="AWL149" s="204"/>
      <c r="AWM149" s="204"/>
      <c r="AWN149" s="205"/>
      <c r="AWO149" s="206"/>
      <c r="AWP149" s="207"/>
      <c r="AWQ149" s="207"/>
      <c r="AWR149" s="208"/>
      <c r="AWS149" s="209"/>
      <c r="AWT149" s="207"/>
      <c r="AWU149" s="210"/>
      <c r="AWV149" s="209"/>
      <c r="AWW149" s="204"/>
      <c r="AWX149" s="204"/>
      <c r="AWY149" s="204"/>
      <c r="AWZ149" s="199"/>
      <c r="AXA149" s="167"/>
      <c r="AXB149" s="199"/>
      <c r="AXC149" s="200"/>
      <c r="AXD149" s="201"/>
      <c r="AXE149" s="202"/>
      <c r="AXF149" s="202"/>
      <c r="AXG149" s="202"/>
      <c r="AXH149" s="202"/>
      <c r="AXI149" s="203"/>
      <c r="AXJ149" s="204"/>
      <c r="AXK149" s="204"/>
      <c r="AXL149" s="204"/>
      <c r="AXM149" s="205"/>
      <c r="AXN149" s="206"/>
      <c r="AXO149" s="207"/>
      <c r="AXP149" s="207"/>
      <c r="AXQ149" s="208"/>
      <c r="AXR149" s="209"/>
      <c r="AXS149" s="207"/>
      <c r="AXT149" s="210"/>
      <c r="AXU149" s="209"/>
      <c r="AXV149" s="204"/>
      <c r="AXW149" s="204"/>
      <c r="AXX149" s="204"/>
      <c r="AXY149" s="199"/>
      <c r="AXZ149" s="167"/>
      <c r="AYA149" s="199"/>
      <c r="AYB149" s="200"/>
      <c r="AYC149" s="201"/>
      <c r="AYD149" s="202"/>
      <c r="AYE149" s="202"/>
      <c r="AYF149" s="202"/>
      <c r="AYG149" s="202"/>
      <c r="AYH149" s="203"/>
      <c r="AYI149" s="204"/>
      <c r="AYJ149" s="204"/>
      <c r="AYK149" s="204"/>
      <c r="AYL149" s="205"/>
      <c r="AYM149" s="206"/>
      <c r="AYN149" s="207"/>
      <c r="AYO149" s="207"/>
      <c r="AYP149" s="208"/>
      <c r="AYQ149" s="209"/>
      <c r="AYR149" s="207"/>
      <c r="AYS149" s="210"/>
      <c r="AYT149" s="209"/>
      <c r="AYU149" s="204"/>
      <c r="AYV149" s="204"/>
      <c r="AYW149" s="204"/>
      <c r="AYX149" s="199"/>
      <c r="AYY149" s="167"/>
      <c r="AYZ149" s="199"/>
      <c r="AZA149" s="200"/>
      <c r="AZB149" s="201"/>
      <c r="AZC149" s="202"/>
      <c r="AZD149" s="202"/>
      <c r="AZE149" s="202"/>
      <c r="AZF149" s="202"/>
      <c r="AZG149" s="203"/>
      <c r="AZH149" s="204"/>
      <c r="AZI149" s="204"/>
      <c r="AZJ149" s="204"/>
      <c r="AZK149" s="205"/>
      <c r="AZL149" s="206"/>
      <c r="AZM149" s="207"/>
      <c r="AZN149" s="207"/>
      <c r="AZO149" s="208"/>
      <c r="AZP149" s="209"/>
      <c r="AZQ149" s="207"/>
      <c r="AZR149" s="210"/>
      <c r="AZS149" s="209"/>
      <c r="AZT149" s="204"/>
      <c r="AZU149" s="204"/>
      <c r="AZV149" s="204"/>
      <c r="AZW149" s="199"/>
      <c r="AZX149" s="167"/>
      <c r="AZY149" s="199"/>
      <c r="AZZ149" s="200"/>
      <c r="BAA149" s="201"/>
      <c r="BAB149" s="202"/>
      <c r="BAC149" s="202"/>
      <c r="BAD149" s="202"/>
      <c r="BAE149" s="202"/>
      <c r="BAF149" s="203"/>
      <c r="BAG149" s="204"/>
      <c r="BAH149" s="204"/>
      <c r="BAI149" s="204"/>
      <c r="BAJ149" s="205"/>
      <c r="BAK149" s="206"/>
      <c r="BAL149" s="207"/>
      <c r="BAM149" s="207"/>
      <c r="BAN149" s="208"/>
      <c r="BAO149" s="209"/>
      <c r="BAP149" s="207"/>
      <c r="BAQ149" s="210"/>
      <c r="BAR149" s="209"/>
      <c r="BAS149" s="204"/>
      <c r="BAT149" s="204"/>
      <c r="BAU149" s="204"/>
      <c r="BAV149" s="199"/>
      <c r="BAW149" s="167"/>
      <c r="BAX149" s="199"/>
      <c r="BAY149" s="200"/>
      <c r="BAZ149" s="201"/>
      <c r="BBA149" s="202"/>
      <c r="BBB149" s="202"/>
      <c r="BBC149" s="202"/>
      <c r="BBD149" s="202"/>
      <c r="BBE149" s="203"/>
      <c r="BBF149" s="204"/>
      <c r="BBG149" s="204"/>
      <c r="BBH149" s="204"/>
      <c r="BBI149" s="205"/>
      <c r="BBJ149" s="206"/>
      <c r="BBK149" s="207"/>
      <c r="BBL149" s="207"/>
      <c r="BBM149" s="208"/>
      <c r="BBN149" s="209"/>
      <c r="BBO149" s="207"/>
      <c r="BBP149" s="210"/>
      <c r="BBQ149" s="209"/>
      <c r="BBR149" s="204"/>
      <c r="BBS149" s="204"/>
      <c r="BBT149" s="204"/>
      <c r="BBU149" s="199"/>
      <c r="BBV149" s="167"/>
      <c r="BBW149" s="199"/>
      <c r="BBX149" s="200"/>
      <c r="BBY149" s="201"/>
      <c r="BBZ149" s="202"/>
      <c r="BCA149" s="202"/>
      <c r="BCB149" s="202"/>
      <c r="BCC149" s="202"/>
      <c r="BCD149" s="203"/>
      <c r="BCE149" s="204"/>
      <c r="BCF149" s="204"/>
      <c r="BCG149" s="204"/>
      <c r="BCH149" s="205"/>
      <c r="BCI149" s="206"/>
      <c r="BCJ149" s="207"/>
      <c r="BCK149" s="207"/>
      <c r="BCL149" s="208"/>
      <c r="BCM149" s="209"/>
      <c r="BCN149" s="207"/>
      <c r="BCO149" s="210"/>
      <c r="BCP149" s="209"/>
      <c r="BCQ149" s="204"/>
      <c r="BCR149" s="204"/>
      <c r="BCS149" s="204"/>
      <c r="BCT149" s="199"/>
      <c r="BCU149" s="167"/>
      <c r="BCV149" s="199"/>
      <c r="BCW149" s="200"/>
      <c r="BCX149" s="201"/>
      <c r="BCY149" s="202"/>
      <c r="BCZ149" s="202"/>
      <c r="BDA149" s="202"/>
      <c r="BDB149" s="202"/>
      <c r="BDC149" s="203"/>
      <c r="BDD149" s="204"/>
      <c r="BDE149" s="204"/>
      <c r="BDF149" s="204"/>
      <c r="BDG149" s="205"/>
      <c r="BDH149" s="206"/>
      <c r="BDI149" s="207"/>
      <c r="BDJ149" s="207"/>
      <c r="BDK149" s="208"/>
      <c r="BDL149" s="209"/>
      <c r="BDM149" s="207"/>
      <c r="BDN149" s="210"/>
      <c r="BDO149" s="209"/>
      <c r="BDP149" s="204"/>
      <c r="BDQ149" s="204"/>
      <c r="BDR149" s="204"/>
      <c r="BDS149" s="199"/>
      <c r="BDT149" s="167"/>
      <c r="BDU149" s="199"/>
      <c r="BDV149" s="200"/>
      <c r="BDW149" s="201"/>
      <c r="BDX149" s="202"/>
      <c r="BDY149" s="202"/>
      <c r="BDZ149" s="202"/>
      <c r="BEA149" s="202"/>
      <c r="BEB149" s="203"/>
      <c r="BEC149" s="204"/>
      <c r="BED149" s="204"/>
      <c r="BEE149" s="204"/>
      <c r="BEF149" s="205"/>
      <c r="BEG149" s="206"/>
      <c r="BEH149" s="207"/>
      <c r="BEI149" s="207"/>
      <c r="BEJ149" s="208"/>
      <c r="BEK149" s="209"/>
      <c r="BEL149" s="207"/>
      <c r="BEM149" s="210"/>
      <c r="BEN149" s="209"/>
      <c r="BEO149" s="204"/>
      <c r="BEP149" s="204"/>
      <c r="BEQ149" s="204"/>
      <c r="BER149" s="199"/>
      <c r="BES149" s="167"/>
      <c r="BET149" s="199"/>
      <c r="BEU149" s="200"/>
      <c r="BEV149" s="201"/>
      <c r="BEW149" s="202"/>
      <c r="BEX149" s="202"/>
      <c r="BEY149" s="202"/>
      <c r="BEZ149" s="202"/>
      <c r="BFA149" s="203"/>
      <c r="BFB149" s="204"/>
      <c r="BFC149" s="204"/>
      <c r="BFD149" s="204"/>
      <c r="BFE149" s="205"/>
      <c r="BFF149" s="206"/>
      <c r="BFG149" s="207"/>
      <c r="BFH149" s="207"/>
      <c r="BFI149" s="208"/>
      <c r="BFJ149" s="209"/>
      <c r="BFK149" s="207"/>
      <c r="BFL149" s="210"/>
      <c r="BFM149" s="209"/>
      <c r="BFN149" s="204"/>
      <c r="BFO149" s="204"/>
      <c r="BFP149" s="204"/>
      <c r="BFQ149" s="199"/>
      <c r="BFR149" s="167"/>
      <c r="BFS149" s="199"/>
      <c r="BFT149" s="200"/>
      <c r="BFU149" s="201"/>
      <c r="BFV149" s="202"/>
      <c r="BFW149" s="202"/>
      <c r="BFX149" s="202"/>
      <c r="BFY149" s="202"/>
      <c r="BFZ149" s="203"/>
      <c r="BGA149" s="204"/>
      <c r="BGB149" s="204"/>
      <c r="BGC149" s="204"/>
      <c r="BGD149" s="205"/>
      <c r="BGE149" s="206"/>
      <c r="BGF149" s="207"/>
      <c r="BGG149" s="207"/>
      <c r="BGH149" s="208"/>
      <c r="BGI149" s="209"/>
      <c r="BGJ149" s="207"/>
      <c r="BGK149" s="210"/>
      <c r="BGL149" s="209"/>
      <c r="BGM149" s="204"/>
      <c r="BGN149" s="204"/>
      <c r="BGO149" s="204"/>
      <c r="BGP149" s="199"/>
      <c r="BGQ149" s="167"/>
      <c r="BGR149" s="199"/>
      <c r="BGS149" s="200"/>
      <c r="BGT149" s="201"/>
      <c r="BGU149" s="202"/>
      <c r="BGV149" s="202"/>
      <c r="BGW149" s="202"/>
      <c r="BGX149" s="202"/>
      <c r="BGY149" s="203"/>
      <c r="BGZ149" s="204"/>
      <c r="BHA149" s="204"/>
      <c r="BHB149" s="204"/>
      <c r="BHC149" s="205"/>
      <c r="BHD149" s="206"/>
      <c r="BHE149" s="207"/>
      <c r="BHF149" s="207"/>
      <c r="BHG149" s="208"/>
      <c r="BHH149" s="209"/>
      <c r="BHI149" s="207"/>
      <c r="BHJ149" s="210"/>
      <c r="BHK149" s="209"/>
      <c r="BHL149" s="204"/>
      <c r="BHM149" s="204"/>
      <c r="BHN149" s="204"/>
      <c r="BHO149" s="199"/>
      <c r="BHP149" s="167"/>
      <c r="BHQ149" s="199"/>
      <c r="BHR149" s="200"/>
      <c r="BHS149" s="201"/>
      <c r="BHT149" s="202"/>
      <c r="BHU149" s="202"/>
      <c r="BHV149" s="202"/>
      <c r="BHW149" s="202"/>
      <c r="BHX149" s="203"/>
      <c r="BHY149" s="204"/>
      <c r="BHZ149" s="204"/>
      <c r="BIA149" s="204"/>
      <c r="BIB149" s="205"/>
      <c r="BIC149" s="206"/>
      <c r="BID149" s="207"/>
      <c r="BIE149" s="207"/>
      <c r="BIF149" s="208"/>
      <c r="BIG149" s="209"/>
      <c r="BIH149" s="207"/>
      <c r="BII149" s="210"/>
      <c r="BIJ149" s="209"/>
      <c r="BIK149" s="204"/>
      <c r="BIL149" s="204"/>
      <c r="BIM149" s="204"/>
      <c r="BIN149" s="199"/>
      <c r="BIO149" s="167"/>
      <c r="BIP149" s="199"/>
      <c r="BIQ149" s="200"/>
      <c r="BIR149" s="201"/>
      <c r="BIS149" s="202"/>
      <c r="BIT149" s="202"/>
      <c r="BIU149" s="202"/>
      <c r="BIV149" s="202"/>
      <c r="BIW149" s="203"/>
      <c r="BIX149" s="204"/>
      <c r="BIY149" s="204"/>
      <c r="BIZ149" s="204"/>
      <c r="BJA149" s="205"/>
      <c r="BJB149" s="206"/>
      <c r="BJC149" s="207"/>
      <c r="BJD149" s="207"/>
      <c r="BJE149" s="208"/>
      <c r="BJF149" s="209"/>
      <c r="BJG149" s="207"/>
      <c r="BJH149" s="210"/>
      <c r="BJI149" s="209"/>
      <c r="BJJ149" s="204"/>
      <c r="BJK149" s="204"/>
      <c r="BJL149" s="204"/>
      <c r="BJM149" s="199"/>
      <c r="BJN149" s="167"/>
      <c r="BJO149" s="199"/>
      <c r="BJP149" s="200"/>
      <c r="BJQ149" s="201"/>
      <c r="BJR149" s="202"/>
      <c r="BJS149" s="202"/>
      <c r="BJT149" s="202"/>
      <c r="BJU149" s="202"/>
      <c r="BJV149" s="203"/>
      <c r="BJW149" s="204"/>
      <c r="BJX149" s="204"/>
      <c r="BJY149" s="204"/>
      <c r="BJZ149" s="205"/>
      <c r="BKA149" s="206"/>
      <c r="BKB149" s="207"/>
      <c r="BKC149" s="207"/>
      <c r="BKD149" s="208"/>
      <c r="BKE149" s="209"/>
      <c r="BKF149" s="207"/>
      <c r="BKG149" s="210"/>
      <c r="BKH149" s="209"/>
      <c r="BKI149" s="204"/>
      <c r="BKJ149" s="204"/>
      <c r="BKK149" s="204"/>
      <c r="BKL149" s="199"/>
      <c r="BKM149" s="167"/>
      <c r="BKN149" s="199"/>
      <c r="BKO149" s="200"/>
      <c r="BKP149" s="201"/>
      <c r="BKQ149" s="202"/>
      <c r="BKR149" s="202"/>
      <c r="BKS149" s="202"/>
      <c r="BKT149" s="202"/>
      <c r="BKU149" s="203"/>
      <c r="BKV149" s="204"/>
      <c r="BKW149" s="204"/>
      <c r="BKX149" s="204"/>
      <c r="BKY149" s="205"/>
      <c r="BKZ149" s="206"/>
      <c r="BLA149" s="207"/>
      <c r="BLB149" s="207"/>
      <c r="BLC149" s="208"/>
      <c r="BLD149" s="209"/>
      <c r="BLE149" s="207"/>
      <c r="BLF149" s="210"/>
      <c r="BLG149" s="209"/>
      <c r="BLH149" s="204"/>
      <c r="BLI149" s="204"/>
      <c r="BLJ149" s="204"/>
      <c r="BLK149" s="199"/>
      <c r="BLL149" s="167"/>
      <c r="BLM149" s="199"/>
      <c r="BLN149" s="200"/>
      <c r="BLO149" s="201"/>
      <c r="BLP149" s="202"/>
      <c r="BLQ149" s="202"/>
      <c r="BLR149" s="202"/>
      <c r="BLS149" s="202"/>
      <c r="BLT149" s="203"/>
      <c r="BLU149" s="204"/>
      <c r="BLV149" s="204"/>
      <c r="BLW149" s="204"/>
      <c r="BLX149" s="205"/>
      <c r="BLY149" s="206"/>
      <c r="BLZ149" s="207"/>
      <c r="BMA149" s="207"/>
      <c r="BMB149" s="208"/>
      <c r="BMC149" s="209"/>
      <c r="BMD149" s="207"/>
      <c r="BME149" s="210"/>
      <c r="BMF149" s="209"/>
      <c r="BMG149" s="204"/>
      <c r="BMH149" s="204"/>
      <c r="BMI149" s="204"/>
      <c r="BMJ149" s="199"/>
      <c r="BMK149" s="167"/>
      <c r="BML149" s="199"/>
      <c r="BMM149" s="200"/>
      <c r="BMN149" s="201"/>
      <c r="BMO149" s="202"/>
      <c r="BMP149" s="202"/>
      <c r="BMQ149" s="202"/>
      <c r="BMR149" s="202"/>
      <c r="BMS149" s="203"/>
      <c r="BMT149" s="204"/>
      <c r="BMU149" s="204"/>
      <c r="BMV149" s="204"/>
      <c r="BMW149" s="205"/>
      <c r="BMX149" s="206"/>
      <c r="BMY149" s="207"/>
      <c r="BMZ149" s="207"/>
      <c r="BNA149" s="208"/>
      <c r="BNB149" s="209"/>
      <c r="BNC149" s="207"/>
      <c r="BND149" s="210"/>
      <c r="BNE149" s="209"/>
      <c r="BNF149" s="204"/>
      <c r="BNG149" s="204"/>
      <c r="BNH149" s="204"/>
      <c r="BNI149" s="199"/>
      <c r="BNJ149" s="167"/>
      <c r="BNK149" s="199"/>
      <c r="BNL149" s="200"/>
      <c r="BNM149" s="201"/>
      <c r="BNN149" s="202"/>
      <c r="BNO149" s="202"/>
      <c r="BNP149" s="202"/>
      <c r="BNQ149" s="202"/>
      <c r="BNR149" s="203"/>
      <c r="BNS149" s="204"/>
      <c r="BNT149" s="204"/>
      <c r="BNU149" s="204"/>
      <c r="BNV149" s="205"/>
      <c r="BNW149" s="206"/>
      <c r="BNX149" s="207"/>
      <c r="BNY149" s="207"/>
      <c r="BNZ149" s="208"/>
      <c r="BOA149" s="209"/>
      <c r="BOB149" s="207"/>
      <c r="BOC149" s="210"/>
      <c r="BOD149" s="209"/>
      <c r="BOE149" s="204"/>
      <c r="BOF149" s="204"/>
      <c r="BOG149" s="204"/>
      <c r="BOH149" s="199"/>
      <c r="BOI149" s="167"/>
      <c r="BOJ149" s="199"/>
      <c r="BOK149" s="200"/>
      <c r="BOL149" s="201"/>
      <c r="BOM149" s="202"/>
      <c r="BON149" s="202"/>
      <c r="BOO149" s="202"/>
      <c r="BOP149" s="202"/>
      <c r="BOQ149" s="203"/>
      <c r="BOR149" s="204"/>
      <c r="BOS149" s="204"/>
      <c r="BOT149" s="204"/>
      <c r="BOU149" s="205"/>
      <c r="BOV149" s="206"/>
      <c r="BOW149" s="207"/>
      <c r="BOX149" s="207"/>
      <c r="BOY149" s="208"/>
      <c r="BOZ149" s="209"/>
      <c r="BPA149" s="207"/>
      <c r="BPB149" s="210"/>
      <c r="BPC149" s="209"/>
      <c r="BPD149" s="204"/>
      <c r="BPE149" s="204"/>
      <c r="BPF149" s="204"/>
      <c r="BPG149" s="199"/>
      <c r="BPH149" s="167"/>
      <c r="BPI149" s="199"/>
      <c r="BPJ149" s="200"/>
      <c r="BPK149" s="201"/>
      <c r="BPL149" s="202"/>
      <c r="BPM149" s="202"/>
      <c r="BPN149" s="202"/>
      <c r="BPO149" s="202"/>
      <c r="BPP149" s="203"/>
      <c r="BPQ149" s="204"/>
      <c r="BPR149" s="204"/>
      <c r="BPS149" s="204"/>
      <c r="BPT149" s="205"/>
      <c r="BPU149" s="206"/>
      <c r="BPV149" s="207"/>
      <c r="BPW149" s="207"/>
      <c r="BPX149" s="208"/>
      <c r="BPY149" s="209"/>
      <c r="BPZ149" s="207"/>
      <c r="BQA149" s="210"/>
      <c r="BQB149" s="209"/>
      <c r="BQC149" s="204"/>
      <c r="BQD149" s="204"/>
      <c r="BQE149" s="204"/>
      <c r="BQF149" s="199"/>
      <c r="BQG149" s="167"/>
      <c r="BQH149" s="199"/>
      <c r="BQI149" s="200"/>
      <c r="BQJ149" s="201"/>
      <c r="BQK149" s="202"/>
      <c r="BQL149" s="202"/>
      <c r="BQM149" s="202"/>
      <c r="BQN149" s="202"/>
      <c r="BQO149" s="203"/>
      <c r="BQP149" s="204"/>
      <c r="BQQ149" s="204"/>
      <c r="BQR149" s="204"/>
      <c r="BQS149" s="205"/>
      <c r="BQT149" s="206"/>
      <c r="BQU149" s="207"/>
      <c r="BQV149" s="207"/>
      <c r="BQW149" s="208"/>
      <c r="BQX149" s="209"/>
      <c r="BQY149" s="207"/>
      <c r="BQZ149" s="210"/>
      <c r="BRA149" s="209"/>
      <c r="BRB149" s="204"/>
      <c r="BRC149" s="204"/>
      <c r="BRD149" s="204"/>
      <c r="BRE149" s="199"/>
      <c r="BRF149" s="167"/>
      <c r="BRG149" s="199"/>
      <c r="BRH149" s="200"/>
      <c r="BRI149" s="201"/>
      <c r="BRJ149" s="202"/>
      <c r="BRK149" s="202"/>
      <c r="BRL149" s="202"/>
      <c r="BRM149" s="202"/>
      <c r="BRN149" s="203"/>
      <c r="BRO149" s="204"/>
      <c r="BRP149" s="204"/>
      <c r="BRQ149" s="204"/>
      <c r="BRR149" s="205"/>
      <c r="BRS149" s="206"/>
      <c r="BRT149" s="207"/>
      <c r="BRU149" s="207"/>
      <c r="BRV149" s="208"/>
      <c r="BRW149" s="209"/>
      <c r="BRX149" s="207"/>
      <c r="BRY149" s="210"/>
      <c r="BRZ149" s="209"/>
      <c r="BSA149" s="204"/>
      <c r="BSB149" s="204"/>
      <c r="BSC149" s="204"/>
      <c r="BSD149" s="199"/>
      <c r="BSE149" s="167"/>
      <c r="BSF149" s="199"/>
      <c r="BSG149" s="200"/>
      <c r="BSH149" s="201"/>
      <c r="BSI149" s="202"/>
      <c r="BSJ149" s="202"/>
      <c r="BSK149" s="202"/>
      <c r="BSL149" s="202"/>
      <c r="BSM149" s="203"/>
      <c r="BSN149" s="204"/>
      <c r="BSO149" s="204"/>
      <c r="BSP149" s="204"/>
      <c r="BSQ149" s="205"/>
      <c r="BSR149" s="206"/>
      <c r="BSS149" s="207"/>
      <c r="BST149" s="207"/>
      <c r="BSU149" s="208"/>
      <c r="BSV149" s="209"/>
      <c r="BSW149" s="207"/>
      <c r="BSX149" s="210"/>
      <c r="BSY149" s="209"/>
      <c r="BSZ149" s="204"/>
      <c r="BTA149" s="204"/>
      <c r="BTB149" s="204"/>
      <c r="BTC149" s="199"/>
      <c r="BTD149" s="167"/>
      <c r="BTE149" s="199"/>
      <c r="BTF149" s="200"/>
      <c r="BTG149" s="201"/>
      <c r="BTH149" s="202"/>
      <c r="BTI149" s="202"/>
      <c r="BTJ149" s="202"/>
      <c r="BTK149" s="202"/>
      <c r="BTL149" s="203"/>
      <c r="BTM149" s="204"/>
      <c r="BTN149" s="204"/>
      <c r="BTO149" s="204"/>
      <c r="BTP149" s="205"/>
      <c r="BTQ149" s="206"/>
      <c r="BTR149" s="207"/>
      <c r="BTS149" s="207"/>
      <c r="BTT149" s="208"/>
      <c r="BTU149" s="209"/>
      <c r="BTV149" s="207"/>
      <c r="BTW149" s="210"/>
      <c r="BTX149" s="209"/>
      <c r="BTY149" s="204"/>
      <c r="BTZ149" s="204"/>
      <c r="BUA149" s="204"/>
      <c r="BUB149" s="199"/>
      <c r="BUC149" s="167"/>
      <c r="BUD149" s="199"/>
      <c r="BUE149" s="200"/>
      <c r="BUF149" s="201"/>
      <c r="BUG149" s="202"/>
      <c r="BUH149" s="202"/>
      <c r="BUI149" s="202"/>
      <c r="BUJ149" s="202"/>
      <c r="BUK149" s="203"/>
      <c r="BUL149" s="204"/>
      <c r="BUM149" s="204"/>
      <c r="BUN149" s="204"/>
      <c r="BUO149" s="205"/>
      <c r="BUP149" s="206"/>
      <c r="BUQ149" s="207"/>
      <c r="BUR149" s="207"/>
      <c r="BUS149" s="208"/>
      <c r="BUT149" s="209"/>
      <c r="BUU149" s="207"/>
      <c r="BUV149" s="210"/>
      <c r="BUW149" s="209"/>
      <c r="BUX149" s="204"/>
      <c r="BUY149" s="204"/>
      <c r="BUZ149" s="204"/>
      <c r="BVA149" s="199"/>
      <c r="BVB149" s="167"/>
      <c r="BVC149" s="199"/>
      <c r="BVD149" s="200"/>
      <c r="BVE149" s="201"/>
      <c r="BVF149" s="202"/>
      <c r="BVG149" s="202"/>
      <c r="BVH149" s="202"/>
      <c r="BVI149" s="202"/>
      <c r="BVJ149" s="203"/>
      <c r="BVK149" s="204"/>
      <c r="BVL149" s="204"/>
      <c r="BVM149" s="204"/>
      <c r="BVN149" s="205"/>
      <c r="BVO149" s="206"/>
      <c r="BVP149" s="207"/>
      <c r="BVQ149" s="207"/>
      <c r="BVR149" s="208"/>
      <c r="BVS149" s="209"/>
      <c r="BVT149" s="207"/>
      <c r="BVU149" s="210"/>
      <c r="BVV149" s="209"/>
      <c r="BVW149" s="204"/>
      <c r="BVX149" s="204"/>
      <c r="BVY149" s="204"/>
      <c r="BVZ149" s="199"/>
      <c r="BWA149" s="167"/>
      <c r="BWB149" s="199"/>
      <c r="BWC149" s="200"/>
      <c r="BWD149" s="201"/>
      <c r="BWE149" s="202"/>
      <c r="BWF149" s="202"/>
      <c r="BWG149" s="202"/>
      <c r="BWH149" s="202"/>
      <c r="BWI149" s="203"/>
      <c r="BWJ149" s="204"/>
      <c r="BWK149" s="204"/>
      <c r="BWL149" s="204"/>
      <c r="BWM149" s="205"/>
      <c r="BWN149" s="206"/>
      <c r="BWO149" s="207"/>
      <c r="BWP149" s="207"/>
      <c r="BWQ149" s="208"/>
      <c r="BWR149" s="209"/>
      <c r="BWS149" s="207"/>
      <c r="BWT149" s="210"/>
      <c r="BWU149" s="209"/>
      <c r="BWV149" s="204"/>
      <c r="BWW149" s="204"/>
      <c r="BWX149" s="204"/>
      <c r="BWY149" s="199"/>
      <c r="BWZ149" s="167"/>
      <c r="BXA149" s="199"/>
      <c r="BXB149" s="200"/>
      <c r="BXC149" s="201"/>
      <c r="BXD149" s="202"/>
      <c r="BXE149" s="202"/>
      <c r="BXF149" s="202"/>
      <c r="BXG149" s="202"/>
      <c r="BXH149" s="203"/>
      <c r="BXI149" s="204"/>
      <c r="BXJ149" s="204"/>
      <c r="BXK149" s="204"/>
      <c r="BXL149" s="205"/>
      <c r="BXM149" s="206"/>
      <c r="BXN149" s="207"/>
      <c r="BXO149" s="207"/>
      <c r="BXP149" s="208"/>
      <c r="BXQ149" s="209"/>
      <c r="BXR149" s="207"/>
      <c r="BXS149" s="210"/>
      <c r="BXT149" s="209"/>
      <c r="BXU149" s="204"/>
      <c r="BXV149" s="204"/>
      <c r="BXW149" s="204"/>
      <c r="BXX149" s="199"/>
      <c r="BXY149" s="167"/>
      <c r="BXZ149" s="199"/>
      <c r="BYA149" s="200"/>
      <c r="BYB149" s="201"/>
      <c r="BYC149" s="202"/>
      <c r="BYD149" s="202"/>
      <c r="BYE149" s="202"/>
      <c r="BYF149" s="202"/>
      <c r="BYG149" s="203"/>
      <c r="BYH149" s="204"/>
      <c r="BYI149" s="204"/>
      <c r="BYJ149" s="204"/>
      <c r="BYK149" s="205"/>
      <c r="BYL149" s="206"/>
      <c r="BYM149" s="207"/>
      <c r="BYN149" s="207"/>
      <c r="BYO149" s="208"/>
      <c r="BYP149" s="209"/>
      <c r="BYQ149" s="207"/>
      <c r="BYR149" s="210"/>
      <c r="BYS149" s="209"/>
      <c r="BYT149" s="204"/>
      <c r="BYU149" s="204"/>
      <c r="BYV149" s="204"/>
      <c r="BYW149" s="199"/>
      <c r="BYX149" s="167"/>
      <c r="BYY149" s="199"/>
      <c r="BYZ149" s="200"/>
      <c r="BZA149" s="201"/>
      <c r="BZB149" s="202"/>
      <c r="BZC149" s="202"/>
      <c r="BZD149" s="202"/>
      <c r="BZE149" s="202"/>
      <c r="BZF149" s="203"/>
      <c r="BZG149" s="204"/>
      <c r="BZH149" s="204"/>
      <c r="BZI149" s="204"/>
      <c r="BZJ149" s="205"/>
      <c r="BZK149" s="206"/>
      <c r="BZL149" s="207"/>
      <c r="BZM149" s="207"/>
      <c r="BZN149" s="208"/>
      <c r="BZO149" s="209"/>
      <c r="BZP149" s="207"/>
      <c r="BZQ149" s="210"/>
      <c r="BZR149" s="209"/>
      <c r="BZS149" s="204"/>
      <c r="BZT149" s="204"/>
      <c r="BZU149" s="204"/>
      <c r="BZV149" s="199"/>
      <c r="BZW149" s="167"/>
      <c r="BZX149" s="199"/>
      <c r="BZY149" s="200"/>
      <c r="BZZ149" s="201"/>
      <c r="CAA149" s="202"/>
      <c r="CAB149" s="202"/>
      <c r="CAC149" s="202"/>
      <c r="CAD149" s="202"/>
      <c r="CAE149" s="203"/>
      <c r="CAF149" s="204"/>
      <c r="CAG149" s="204"/>
      <c r="CAH149" s="204"/>
      <c r="CAI149" s="205"/>
      <c r="CAJ149" s="206"/>
      <c r="CAK149" s="207"/>
      <c r="CAL149" s="207"/>
      <c r="CAM149" s="208"/>
      <c r="CAN149" s="209"/>
      <c r="CAO149" s="207"/>
      <c r="CAP149" s="210"/>
      <c r="CAQ149" s="209"/>
      <c r="CAR149" s="204"/>
      <c r="CAS149" s="204"/>
      <c r="CAT149" s="204"/>
      <c r="CAU149" s="199"/>
      <c r="CAV149" s="167"/>
      <c r="CAW149" s="199"/>
      <c r="CAX149" s="200"/>
      <c r="CAY149" s="201"/>
      <c r="CAZ149" s="202"/>
      <c r="CBA149" s="202"/>
      <c r="CBB149" s="202"/>
      <c r="CBC149" s="202"/>
      <c r="CBD149" s="203"/>
      <c r="CBE149" s="204"/>
      <c r="CBF149" s="204"/>
      <c r="CBG149" s="204"/>
      <c r="CBH149" s="205"/>
      <c r="CBI149" s="206"/>
      <c r="CBJ149" s="207"/>
      <c r="CBK149" s="207"/>
      <c r="CBL149" s="208"/>
      <c r="CBM149" s="209"/>
      <c r="CBN149" s="207"/>
      <c r="CBO149" s="210"/>
      <c r="CBP149" s="209"/>
      <c r="CBQ149" s="204"/>
      <c r="CBR149" s="204"/>
      <c r="CBS149" s="204"/>
      <c r="CBT149" s="199"/>
      <c r="CBU149" s="167"/>
      <c r="CBV149" s="199"/>
      <c r="CBW149" s="200"/>
      <c r="CBX149" s="201"/>
      <c r="CBY149" s="202"/>
      <c r="CBZ149" s="202"/>
      <c r="CCA149" s="202"/>
      <c r="CCB149" s="202"/>
      <c r="CCC149" s="203"/>
      <c r="CCD149" s="204"/>
      <c r="CCE149" s="204"/>
      <c r="CCF149" s="204"/>
      <c r="CCG149" s="205"/>
      <c r="CCH149" s="206"/>
      <c r="CCI149" s="207"/>
      <c r="CCJ149" s="207"/>
      <c r="CCK149" s="208"/>
      <c r="CCL149" s="209"/>
      <c r="CCM149" s="207"/>
      <c r="CCN149" s="210"/>
      <c r="CCO149" s="209"/>
      <c r="CCP149" s="204"/>
      <c r="CCQ149" s="204"/>
      <c r="CCR149" s="204"/>
      <c r="CCS149" s="199"/>
      <c r="CCT149" s="167"/>
      <c r="CCU149" s="199"/>
      <c r="CCV149" s="200"/>
      <c r="CCW149" s="201"/>
      <c r="CCX149" s="202"/>
      <c r="CCY149" s="202"/>
      <c r="CCZ149" s="202"/>
      <c r="CDA149" s="202"/>
      <c r="CDB149" s="203"/>
      <c r="CDC149" s="204"/>
      <c r="CDD149" s="204"/>
      <c r="CDE149" s="204"/>
      <c r="CDF149" s="205"/>
      <c r="CDG149" s="206"/>
      <c r="CDH149" s="207"/>
      <c r="CDI149" s="207"/>
      <c r="CDJ149" s="208"/>
      <c r="CDK149" s="209"/>
      <c r="CDL149" s="207"/>
      <c r="CDM149" s="210"/>
      <c r="CDN149" s="209"/>
      <c r="CDO149" s="204"/>
      <c r="CDP149" s="204"/>
      <c r="CDQ149" s="204"/>
      <c r="CDR149" s="199"/>
      <c r="CDS149" s="167"/>
      <c r="CDT149" s="199"/>
      <c r="CDU149" s="200"/>
      <c r="CDV149" s="201"/>
      <c r="CDW149" s="202"/>
      <c r="CDX149" s="202"/>
      <c r="CDY149" s="202"/>
      <c r="CDZ149" s="202"/>
      <c r="CEA149" s="203"/>
      <c r="CEB149" s="204"/>
      <c r="CEC149" s="204"/>
      <c r="CED149" s="204"/>
      <c r="CEE149" s="205"/>
      <c r="CEF149" s="206"/>
      <c r="CEG149" s="207"/>
      <c r="CEH149" s="207"/>
      <c r="CEI149" s="208"/>
      <c r="CEJ149" s="209"/>
      <c r="CEK149" s="207"/>
      <c r="CEL149" s="210"/>
      <c r="CEM149" s="209"/>
      <c r="CEN149" s="204"/>
      <c r="CEO149" s="204"/>
      <c r="CEP149" s="204"/>
      <c r="CEQ149" s="199"/>
      <c r="CER149" s="167"/>
      <c r="CES149" s="199"/>
      <c r="CET149" s="200"/>
      <c r="CEU149" s="201"/>
      <c r="CEV149" s="202"/>
      <c r="CEW149" s="202"/>
      <c r="CEX149" s="202"/>
      <c r="CEY149" s="202"/>
      <c r="CEZ149" s="203"/>
      <c r="CFA149" s="204"/>
      <c r="CFB149" s="204"/>
      <c r="CFC149" s="204"/>
      <c r="CFD149" s="205"/>
      <c r="CFE149" s="206"/>
      <c r="CFF149" s="207"/>
      <c r="CFG149" s="207"/>
      <c r="CFH149" s="208"/>
      <c r="CFI149" s="209"/>
      <c r="CFJ149" s="207"/>
      <c r="CFK149" s="210"/>
      <c r="CFL149" s="209"/>
      <c r="CFM149" s="204"/>
      <c r="CFN149" s="204"/>
      <c r="CFO149" s="204"/>
      <c r="CFP149" s="199"/>
      <c r="CFQ149" s="167"/>
      <c r="CFR149" s="199"/>
      <c r="CFS149" s="200"/>
      <c r="CFT149" s="201"/>
      <c r="CFU149" s="202"/>
      <c r="CFV149" s="202"/>
      <c r="CFW149" s="202"/>
      <c r="CFX149" s="202"/>
      <c r="CFY149" s="203"/>
      <c r="CFZ149" s="204"/>
      <c r="CGA149" s="204"/>
      <c r="CGB149" s="204"/>
      <c r="CGC149" s="205"/>
      <c r="CGD149" s="206"/>
      <c r="CGE149" s="207"/>
      <c r="CGF149" s="207"/>
      <c r="CGG149" s="208"/>
      <c r="CGH149" s="209"/>
      <c r="CGI149" s="207"/>
      <c r="CGJ149" s="210"/>
      <c r="CGK149" s="209"/>
      <c r="CGL149" s="204"/>
      <c r="CGM149" s="204"/>
      <c r="CGN149" s="204"/>
      <c r="CGO149" s="199"/>
      <c r="CGP149" s="167"/>
      <c r="CGQ149" s="199"/>
      <c r="CGR149" s="200"/>
      <c r="CGS149" s="201"/>
      <c r="CGT149" s="202"/>
      <c r="CGU149" s="202"/>
      <c r="CGV149" s="202"/>
      <c r="CGW149" s="202"/>
      <c r="CGX149" s="203"/>
      <c r="CGY149" s="204"/>
      <c r="CGZ149" s="204"/>
      <c r="CHA149" s="204"/>
      <c r="CHB149" s="205"/>
      <c r="CHC149" s="206"/>
      <c r="CHD149" s="207"/>
      <c r="CHE149" s="207"/>
      <c r="CHF149" s="208"/>
      <c r="CHG149" s="209"/>
      <c r="CHH149" s="207"/>
      <c r="CHI149" s="210"/>
      <c r="CHJ149" s="209"/>
      <c r="CHK149" s="204"/>
      <c r="CHL149" s="204"/>
      <c r="CHM149" s="204"/>
      <c r="CHN149" s="199"/>
      <c r="CHO149" s="167"/>
      <c r="CHP149" s="199"/>
      <c r="CHQ149" s="200"/>
      <c r="CHR149" s="201"/>
      <c r="CHS149" s="202"/>
      <c r="CHT149" s="202"/>
      <c r="CHU149" s="202"/>
      <c r="CHV149" s="202"/>
      <c r="CHW149" s="203"/>
      <c r="CHX149" s="204"/>
      <c r="CHY149" s="204"/>
      <c r="CHZ149" s="204"/>
      <c r="CIA149" s="205"/>
      <c r="CIB149" s="206"/>
      <c r="CIC149" s="207"/>
      <c r="CID149" s="207"/>
      <c r="CIE149" s="208"/>
      <c r="CIF149" s="209"/>
      <c r="CIG149" s="207"/>
      <c r="CIH149" s="210"/>
      <c r="CII149" s="209"/>
      <c r="CIJ149" s="204"/>
      <c r="CIK149" s="204"/>
      <c r="CIL149" s="204"/>
      <c r="CIM149" s="199"/>
      <c r="CIN149" s="167"/>
      <c r="CIO149" s="199"/>
      <c r="CIP149" s="200"/>
      <c r="CIQ149" s="201"/>
      <c r="CIR149" s="202"/>
      <c r="CIS149" s="202"/>
      <c r="CIT149" s="202"/>
      <c r="CIU149" s="202"/>
      <c r="CIV149" s="203"/>
      <c r="CIW149" s="204"/>
      <c r="CIX149" s="204"/>
      <c r="CIY149" s="204"/>
      <c r="CIZ149" s="205"/>
      <c r="CJA149" s="206"/>
      <c r="CJB149" s="207"/>
      <c r="CJC149" s="207"/>
      <c r="CJD149" s="208"/>
      <c r="CJE149" s="209"/>
      <c r="CJF149" s="207"/>
      <c r="CJG149" s="210"/>
      <c r="CJH149" s="209"/>
      <c r="CJI149" s="204"/>
      <c r="CJJ149" s="204"/>
      <c r="CJK149" s="204"/>
      <c r="CJL149" s="199"/>
      <c r="CJM149" s="167"/>
      <c r="CJN149" s="199"/>
      <c r="CJO149" s="200"/>
      <c r="CJP149" s="201"/>
      <c r="CJQ149" s="202"/>
      <c r="CJR149" s="202"/>
      <c r="CJS149" s="202"/>
      <c r="CJT149" s="202"/>
      <c r="CJU149" s="203"/>
      <c r="CJV149" s="204"/>
      <c r="CJW149" s="204"/>
      <c r="CJX149" s="204"/>
      <c r="CJY149" s="205"/>
      <c r="CJZ149" s="206"/>
      <c r="CKA149" s="207"/>
      <c r="CKB149" s="207"/>
      <c r="CKC149" s="208"/>
      <c r="CKD149" s="209"/>
      <c r="CKE149" s="207"/>
      <c r="CKF149" s="210"/>
      <c r="CKG149" s="209"/>
      <c r="CKH149" s="204"/>
      <c r="CKI149" s="204"/>
      <c r="CKJ149" s="204"/>
      <c r="CKK149" s="199"/>
      <c r="CKL149" s="167"/>
      <c r="CKM149" s="199"/>
      <c r="CKN149" s="200"/>
      <c r="CKO149" s="201"/>
      <c r="CKP149" s="202"/>
      <c r="CKQ149" s="202"/>
      <c r="CKR149" s="202"/>
      <c r="CKS149" s="202"/>
      <c r="CKT149" s="203"/>
      <c r="CKU149" s="204"/>
      <c r="CKV149" s="204"/>
      <c r="CKW149" s="204"/>
      <c r="CKX149" s="205"/>
      <c r="CKY149" s="206"/>
      <c r="CKZ149" s="207"/>
      <c r="CLA149" s="207"/>
      <c r="CLB149" s="208"/>
      <c r="CLC149" s="209"/>
      <c r="CLD149" s="207"/>
      <c r="CLE149" s="210"/>
      <c r="CLF149" s="209"/>
      <c r="CLG149" s="204"/>
      <c r="CLH149" s="204"/>
      <c r="CLI149" s="204"/>
      <c r="CLJ149" s="199"/>
      <c r="CLK149" s="167"/>
      <c r="CLL149" s="199"/>
      <c r="CLM149" s="200"/>
      <c r="CLN149" s="201"/>
      <c r="CLO149" s="202"/>
      <c r="CLP149" s="202"/>
      <c r="CLQ149" s="202"/>
      <c r="CLR149" s="202"/>
      <c r="CLS149" s="203"/>
      <c r="CLT149" s="204"/>
      <c r="CLU149" s="204"/>
      <c r="CLV149" s="204"/>
      <c r="CLW149" s="205"/>
      <c r="CLX149" s="206"/>
      <c r="CLY149" s="207"/>
      <c r="CLZ149" s="207"/>
      <c r="CMA149" s="208"/>
      <c r="CMB149" s="209"/>
      <c r="CMC149" s="207"/>
      <c r="CMD149" s="210"/>
      <c r="CME149" s="209"/>
      <c r="CMF149" s="204"/>
      <c r="CMG149" s="204"/>
      <c r="CMH149" s="204"/>
      <c r="CMI149" s="199"/>
      <c r="CMJ149" s="167"/>
      <c r="CMK149" s="199"/>
      <c r="CML149" s="200"/>
      <c r="CMM149" s="201"/>
      <c r="CMN149" s="202"/>
      <c r="CMO149" s="202"/>
      <c r="CMP149" s="202"/>
      <c r="CMQ149" s="202"/>
      <c r="CMR149" s="203"/>
      <c r="CMS149" s="204"/>
      <c r="CMT149" s="204"/>
      <c r="CMU149" s="204"/>
      <c r="CMV149" s="205"/>
      <c r="CMW149" s="206"/>
      <c r="CMX149" s="207"/>
      <c r="CMY149" s="207"/>
      <c r="CMZ149" s="208"/>
      <c r="CNA149" s="209"/>
      <c r="CNB149" s="207"/>
      <c r="CNC149" s="210"/>
      <c r="CND149" s="209"/>
      <c r="CNE149" s="204"/>
      <c r="CNF149" s="204"/>
      <c r="CNG149" s="204"/>
      <c r="CNH149" s="199"/>
      <c r="CNI149" s="167"/>
      <c r="CNJ149" s="199"/>
      <c r="CNK149" s="200"/>
      <c r="CNL149" s="201"/>
      <c r="CNM149" s="202"/>
      <c r="CNN149" s="202"/>
      <c r="CNO149" s="202"/>
      <c r="CNP149" s="202"/>
      <c r="CNQ149" s="203"/>
      <c r="CNR149" s="204"/>
      <c r="CNS149" s="204"/>
      <c r="CNT149" s="204"/>
      <c r="CNU149" s="205"/>
      <c r="CNV149" s="206"/>
      <c r="CNW149" s="207"/>
      <c r="CNX149" s="207"/>
      <c r="CNY149" s="208"/>
      <c r="CNZ149" s="209"/>
      <c r="COA149" s="207"/>
      <c r="COB149" s="210"/>
      <c r="COC149" s="209"/>
      <c r="COD149" s="204"/>
      <c r="COE149" s="204"/>
      <c r="COF149" s="204"/>
      <c r="COG149" s="199"/>
      <c r="COH149" s="167"/>
      <c r="COI149" s="199"/>
      <c r="COJ149" s="200"/>
      <c r="COK149" s="201"/>
      <c r="COL149" s="202"/>
      <c r="COM149" s="202"/>
      <c r="CON149" s="202"/>
      <c r="COO149" s="202"/>
      <c r="COP149" s="203"/>
      <c r="COQ149" s="204"/>
      <c r="COR149" s="204"/>
      <c r="COS149" s="204"/>
      <c r="COT149" s="205"/>
      <c r="COU149" s="206"/>
      <c r="COV149" s="207"/>
      <c r="COW149" s="207"/>
      <c r="COX149" s="208"/>
      <c r="COY149" s="209"/>
      <c r="COZ149" s="207"/>
      <c r="CPA149" s="210"/>
      <c r="CPB149" s="209"/>
      <c r="CPC149" s="204"/>
      <c r="CPD149" s="204"/>
      <c r="CPE149" s="204"/>
      <c r="CPF149" s="199"/>
      <c r="CPG149" s="167"/>
      <c r="CPH149" s="199"/>
      <c r="CPI149" s="200"/>
      <c r="CPJ149" s="201"/>
      <c r="CPK149" s="202"/>
      <c r="CPL149" s="202"/>
      <c r="CPM149" s="202"/>
      <c r="CPN149" s="202"/>
      <c r="CPO149" s="203"/>
      <c r="CPP149" s="204"/>
      <c r="CPQ149" s="204"/>
      <c r="CPR149" s="204"/>
      <c r="CPS149" s="205"/>
      <c r="CPT149" s="206"/>
      <c r="CPU149" s="207"/>
      <c r="CPV149" s="207"/>
      <c r="CPW149" s="208"/>
      <c r="CPX149" s="209"/>
      <c r="CPY149" s="207"/>
      <c r="CPZ149" s="210"/>
      <c r="CQA149" s="209"/>
      <c r="CQB149" s="204"/>
      <c r="CQC149" s="204"/>
      <c r="CQD149" s="204"/>
      <c r="CQE149" s="199"/>
      <c r="CQF149" s="167"/>
      <c r="CQG149" s="199"/>
      <c r="CQH149" s="200"/>
      <c r="CQI149" s="201"/>
      <c r="CQJ149" s="202"/>
      <c r="CQK149" s="202"/>
      <c r="CQL149" s="202"/>
      <c r="CQM149" s="202"/>
      <c r="CQN149" s="203"/>
      <c r="CQO149" s="204"/>
      <c r="CQP149" s="204"/>
      <c r="CQQ149" s="204"/>
      <c r="CQR149" s="205"/>
      <c r="CQS149" s="206"/>
      <c r="CQT149" s="207"/>
      <c r="CQU149" s="207"/>
      <c r="CQV149" s="208"/>
      <c r="CQW149" s="209"/>
      <c r="CQX149" s="207"/>
      <c r="CQY149" s="210"/>
      <c r="CQZ149" s="209"/>
      <c r="CRA149" s="204"/>
      <c r="CRB149" s="204"/>
      <c r="CRC149" s="204"/>
      <c r="CRD149" s="199"/>
      <c r="CRE149" s="167"/>
      <c r="CRF149" s="199"/>
      <c r="CRG149" s="200"/>
      <c r="CRH149" s="201"/>
      <c r="CRI149" s="202"/>
      <c r="CRJ149" s="202"/>
      <c r="CRK149" s="202"/>
      <c r="CRL149" s="202"/>
      <c r="CRM149" s="203"/>
      <c r="CRN149" s="204"/>
      <c r="CRO149" s="204"/>
      <c r="CRP149" s="204"/>
      <c r="CRQ149" s="205"/>
      <c r="CRR149" s="206"/>
      <c r="CRS149" s="207"/>
      <c r="CRT149" s="207"/>
      <c r="CRU149" s="208"/>
      <c r="CRV149" s="209"/>
      <c r="CRW149" s="207"/>
      <c r="CRX149" s="210"/>
      <c r="CRY149" s="209"/>
      <c r="CRZ149" s="204"/>
      <c r="CSA149" s="204"/>
      <c r="CSB149" s="204"/>
      <c r="CSC149" s="199"/>
      <c r="CSD149" s="167"/>
      <c r="CSE149" s="199"/>
      <c r="CSF149" s="200"/>
      <c r="CSG149" s="201"/>
      <c r="CSH149" s="202"/>
      <c r="CSI149" s="202"/>
      <c r="CSJ149" s="202"/>
      <c r="CSK149" s="202"/>
      <c r="CSL149" s="203"/>
      <c r="CSM149" s="204"/>
      <c r="CSN149" s="204"/>
      <c r="CSO149" s="204"/>
      <c r="CSP149" s="205"/>
      <c r="CSQ149" s="206"/>
      <c r="CSR149" s="207"/>
      <c r="CSS149" s="207"/>
      <c r="CST149" s="208"/>
      <c r="CSU149" s="209"/>
      <c r="CSV149" s="207"/>
      <c r="CSW149" s="210"/>
      <c r="CSX149" s="209"/>
      <c r="CSY149" s="204"/>
      <c r="CSZ149" s="204"/>
      <c r="CTA149" s="204"/>
      <c r="CTB149" s="199"/>
      <c r="CTC149" s="167"/>
      <c r="CTD149" s="199"/>
      <c r="CTE149" s="200"/>
      <c r="CTF149" s="201"/>
      <c r="CTG149" s="202"/>
      <c r="CTH149" s="202"/>
      <c r="CTI149" s="202"/>
      <c r="CTJ149" s="202"/>
      <c r="CTK149" s="203"/>
      <c r="CTL149" s="204"/>
      <c r="CTM149" s="204"/>
      <c r="CTN149" s="204"/>
      <c r="CTO149" s="205"/>
      <c r="CTP149" s="206"/>
      <c r="CTQ149" s="207"/>
      <c r="CTR149" s="207"/>
      <c r="CTS149" s="208"/>
      <c r="CTT149" s="209"/>
      <c r="CTU149" s="207"/>
      <c r="CTV149" s="210"/>
      <c r="CTW149" s="209"/>
      <c r="CTX149" s="204"/>
      <c r="CTY149" s="204"/>
      <c r="CTZ149" s="204"/>
      <c r="CUA149" s="199"/>
      <c r="CUB149" s="167"/>
      <c r="CUC149" s="199"/>
      <c r="CUD149" s="200"/>
      <c r="CUE149" s="201"/>
      <c r="CUF149" s="202"/>
      <c r="CUG149" s="202"/>
      <c r="CUH149" s="202"/>
      <c r="CUI149" s="202"/>
      <c r="CUJ149" s="203"/>
      <c r="CUK149" s="204"/>
      <c r="CUL149" s="204"/>
      <c r="CUM149" s="204"/>
      <c r="CUN149" s="205"/>
      <c r="CUO149" s="206"/>
      <c r="CUP149" s="207"/>
      <c r="CUQ149" s="207"/>
      <c r="CUR149" s="208"/>
      <c r="CUS149" s="209"/>
      <c r="CUT149" s="207"/>
      <c r="CUU149" s="210"/>
      <c r="CUV149" s="209"/>
      <c r="CUW149" s="204"/>
      <c r="CUX149" s="204"/>
      <c r="CUY149" s="204"/>
      <c r="CUZ149" s="199"/>
      <c r="CVA149" s="167"/>
      <c r="CVB149" s="199"/>
      <c r="CVC149" s="200"/>
      <c r="CVD149" s="201"/>
      <c r="CVE149" s="202"/>
      <c r="CVF149" s="202"/>
      <c r="CVG149" s="202"/>
      <c r="CVH149" s="202"/>
      <c r="CVI149" s="203"/>
      <c r="CVJ149" s="204"/>
      <c r="CVK149" s="204"/>
      <c r="CVL149" s="204"/>
      <c r="CVM149" s="205"/>
      <c r="CVN149" s="206"/>
      <c r="CVO149" s="207"/>
      <c r="CVP149" s="207"/>
      <c r="CVQ149" s="208"/>
      <c r="CVR149" s="209"/>
      <c r="CVS149" s="207"/>
      <c r="CVT149" s="210"/>
      <c r="CVU149" s="209"/>
      <c r="CVV149" s="204"/>
      <c r="CVW149" s="204"/>
      <c r="CVX149" s="204"/>
      <c r="CVY149" s="199"/>
      <c r="CVZ149" s="167"/>
      <c r="CWA149" s="199"/>
      <c r="CWB149" s="200"/>
      <c r="CWC149" s="201"/>
      <c r="CWD149" s="202"/>
      <c r="CWE149" s="202"/>
      <c r="CWF149" s="202"/>
      <c r="CWG149" s="202"/>
      <c r="CWH149" s="203"/>
      <c r="CWI149" s="204"/>
      <c r="CWJ149" s="204"/>
      <c r="CWK149" s="204"/>
      <c r="CWL149" s="205"/>
      <c r="CWM149" s="206"/>
      <c r="CWN149" s="207"/>
      <c r="CWO149" s="207"/>
      <c r="CWP149" s="208"/>
      <c r="CWQ149" s="209"/>
      <c r="CWR149" s="207"/>
      <c r="CWS149" s="210"/>
      <c r="CWT149" s="209"/>
      <c r="CWU149" s="204"/>
      <c r="CWV149" s="204"/>
      <c r="CWW149" s="204"/>
      <c r="CWX149" s="199"/>
      <c r="CWY149" s="167"/>
      <c r="CWZ149" s="199"/>
      <c r="CXA149" s="200"/>
      <c r="CXB149" s="201"/>
      <c r="CXC149" s="202"/>
      <c r="CXD149" s="202"/>
      <c r="CXE149" s="202"/>
      <c r="CXF149" s="202"/>
      <c r="CXG149" s="203"/>
      <c r="CXH149" s="204"/>
      <c r="CXI149" s="204"/>
      <c r="CXJ149" s="204"/>
      <c r="CXK149" s="205"/>
      <c r="CXL149" s="206"/>
      <c r="CXM149" s="207"/>
      <c r="CXN149" s="207"/>
      <c r="CXO149" s="208"/>
      <c r="CXP149" s="209"/>
      <c r="CXQ149" s="207"/>
      <c r="CXR149" s="210"/>
      <c r="CXS149" s="209"/>
      <c r="CXT149" s="204"/>
      <c r="CXU149" s="204"/>
      <c r="CXV149" s="204"/>
      <c r="CXW149" s="199"/>
      <c r="CXX149" s="167"/>
      <c r="CXY149" s="199"/>
      <c r="CXZ149" s="200"/>
      <c r="CYA149" s="201"/>
      <c r="CYB149" s="202"/>
      <c r="CYC149" s="202"/>
      <c r="CYD149" s="202"/>
      <c r="CYE149" s="202"/>
      <c r="CYF149" s="203"/>
      <c r="CYG149" s="204"/>
      <c r="CYH149" s="204"/>
      <c r="CYI149" s="204"/>
      <c r="CYJ149" s="205"/>
      <c r="CYK149" s="206"/>
      <c r="CYL149" s="207"/>
      <c r="CYM149" s="207"/>
      <c r="CYN149" s="208"/>
      <c r="CYO149" s="209"/>
      <c r="CYP149" s="207"/>
      <c r="CYQ149" s="210"/>
      <c r="CYR149" s="209"/>
      <c r="CYS149" s="204"/>
      <c r="CYT149" s="204"/>
      <c r="CYU149" s="204"/>
      <c r="CYV149" s="199"/>
      <c r="CYW149" s="167"/>
      <c r="CYX149" s="199"/>
      <c r="CYY149" s="200"/>
      <c r="CYZ149" s="201"/>
      <c r="CZA149" s="202"/>
      <c r="CZB149" s="202"/>
      <c r="CZC149" s="202"/>
      <c r="CZD149" s="202"/>
      <c r="CZE149" s="203"/>
      <c r="CZF149" s="204"/>
      <c r="CZG149" s="204"/>
      <c r="CZH149" s="204"/>
      <c r="CZI149" s="205"/>
      <c r="CZJ149" s="206"/>
      <c r="CZK149" s="207"/>
      <c r="CZL149" s="207"/>
      <c r="CZM149" s="208"/>
      <c r="CZN149" s="209"/>
      <c r="CZO149" s="207"/>
      <c r="CZP149" s="210"/>
      <c r="CZQ149" s="209"/>
      <c r="CZR149" s="204"/>
      <c r="CZS149" s="204"/>
      <c r="CZT149" s="204"/>
      <c r="CZU149" s="199"/>
      <c r="CZV149" s="167"/>
      <c r="CZW149" s="199"/>
      <c r="CZX149" s="200"/>
      <c r="CZY149" s="201"/>
      <c r="CZZ149" s="202"/>
      <c r="DAA149" s="202"/>
      <c r="DAB149" s="202"/>
      <c r="DAC149" s="202"/>
      <c r="DAD149" s="203"/>
      <c r="DAE149" s="204"/>
      <c r="DAF149" s="204"/>
      <c r="DAG149" s="204"/>
      <c r="DAH149" s="205"/>
      <c r="DAI149" s="206"/>
      <c r="DAJ149" s="207"/>
      <c r="DAK149" s="207"/>
      <c r="DAL149" s="208"/>
      <c r="DAM149" s="209"/>
      <c r="DAN149" s="207"/>
      <c r="DAO149" s="210"/>
      <c r="DAP149" s="209"/>
      <c r="DAQ149" s="204"/>
      <c r="DAR149" s="204"/>
      <c r="DAS149" s="204"/>
      <c r="DAT149" s="199"/>
      <c r="DAU149" s="167"/>
      <c r="DAV149" s="199"/>
      <c r="DAW149" s="200"/>
      <c r="DAX149" s="201"/>
      <c r="DAY149" s="202"/>
      <c r="DAZ149" s="202"/>
      <c r="DBA149" s="202"/>
      <c r="DBB149" s="202"/>
      <c r="DBC149" s="203"/>
      <c r="DBD149" s="204"/>
      <c r="DBE149" s="204"/>
      <c r="DBF149" s="204"/>
      <c r="DBG149" s="205"/>
      <c r="DBH149" s="206"/>
      <c r="DBI149" s="207"/>
      <c r="DBJ149" s="207"/>
      <c r="DBK149" s="208"/>
      <c r="DBL149" s="209"/>
      <c r="DBM149" s="207"/>
      <c r="DBN149" s="210"/>
      <c r="DBO149" s="209"/>
      <c r="DBP149" s="204"/>
      <c r="DBQ149" s="204"/>
      <c r="DBR149" s="204"/>
      <c r="DBS149" s="199"/>
      <c r="DBT149" s="167"/>
      <c r="DBU149" s="199"/>
      <c r="DBV149" s="200"/>
      <c r="DBW149" s="201"/>
      <c r="DBX149" s="202"/>
      <c r="DBY149" s="202"/>
      <c r="DBZ149" s="202"/>
      <c r="DCA149" s="202"/>
      <c r="DCB149" s="203"/>
      <c r="DCC149" s="204"/>
      <c r="DCD149" s="204"/>
      <c r="DCE149" s="204"/>
      <c r="DCF149" s="205"/>
      <c r="DCG149" s="206"/>
      <c r="DCH149" s="207"/>
      <c r="DCI149" s="207"/>
      <c r="DCJ149" s="208"/>
      <c r="DCK149" s="209"/>
      <c r="DCL149" s="207"/>
      <c r="DCM149" s="210"/>
      <c r="DCN149" s="209"/>
      <c r="DCO149" s="204"/>
      <c r="DCP149" s="204"/>
      <c r="DCQ149" s="204"/>
      <c r="DCR149" s="199"/>
      <c r="DCS149" s="167"/>
      <c r="DCT149" s="199"/>
      <c r="DCU149" s="200"/>
      <c r="DCV149" s="201"/>
      <c r="DCW149" s="202"/>
      <c r="DCX149" s="202"/>
      <c r="DCY149" s="202"/>
      <c r="DCZ149" s="202"/>
      <c r="DDA149" s="203"/>
      <c r="DDB149" s="204"/>
      <c r="DDC149" s="204"/>
      <c r="DDD149" s="204"/>
      <c r="DDE149" s="205"/>
      <c r="DDF149" s="206"/>
      <c r="DDG149" s="207"/>
      <c r="DDH149" s="207"/>
      <c r="DDI149" s="208"/>
      <c r="DDJ149" s="209"/>
      <c r="DDK149" s="207"/>
      <c r="DDL149" s="210"/>
      <c r="DDM149" s="209"/>
      <c r="DDN149" s="204"/>
      <c r="DDO149" s="204"/>
      <c r="DDP149" s="204"/>
      <c r="DDQ149" s="199"/>
      <c r="DDR149" s="167"/>
      <c r="DDS149" s="199"/>
      <c r="DDT149" s="200"/>
      <c r="DDU149" s="201"/>
      <c r="DDV149" s="202"/>
      <c r="DDW149" s="202"/>
      <c r="DDX149" s="202"/>
      <c r="DDY149" s="202"/>
      <c r="DDZ149" s="203"/>
      <c r="DEA149" s="204"/>
      <c r="DEB149" s="204"/>
      <c r="DEC149" s="204"/>
      <c r="DED149" s="205"/>
      <c r="DEE149" s="206"/>
      <c r="DEF149" s="207"/>
      <c r="DEG149" s="207"/>
      <c r="DEH149" s="208"/>
      <c r="DEI149" s="209"/>
      <c r="DEJ149" s="207"/>
      <c r="DEK149" s="210"/>
      <c r="DEL149" s="209"/>
      <c r="DEM149" s="204"/>
      <c r="DEN149" s="204"/>
      <c r="DEO149" s="204"/>
      <c r="DEP149" s="199"/>
      <c r="DEQ149" s="167"/>
      <c r="DER149" s="199"/>
      <c r="DES149" s="200"/>
      <c r="DET149" s="201"/>
      <c r="DEU149" s="202"/>
      <c r="DEV149" s="202"/>
      <c r="DEW149" s="202"/>
      <c r="DEX149" s="202"/>
      <c r="DEY149" s="203"/>
      <c r="DEZ149" s="204"/>
      <c r="DFA149" s="204"/>
      <c r="DFB149" s="204"/>
      <c r="DFC149" s="205"/>
      <c r="DFD149" s="206"/>
      <c r="DFE149" s="207"/>
      <c r="DFF149" s="207"/>
      <c r="DFG149" s="208"/>
      <c r="DFH149" s="209"/>
      <c r="DFI149" s="207"/>
      <c r="DFJ149" s="210"/>
      <c r="DFK149" s="209"/>
      <c r="DFL149" s="204"/>
      <c r="DFM149" s="204"/>
      <c r="DFN149" s="204"/>
      <c r="DFO149" s="199"/>
      <c r="DFP149" s="167"/>
      <c r="DFQ149" s="199"/>
      <c r="DFR149" s="200"/>
      <c r="DFS149" s="201"/>
      <c r="DFT149" s="202"/>
      <c r="DFU149" s="202"/>
      <c r="DFV149" s="202"/>
      <c r="DFW149" s="202"/>
      <c r="DFX149" s="203"/>
      <c r="DFY149" s="204"/>
      <c r="DFZ149" s="204"/>
      <c r="DGA149" s="204"/>
      <c r="DGB149" s="205"/>
      <c r="DGC149" s="206"/>
      <c r="DGD149" s="207"/>
      <c r="DGE149" s="207"/>
      <c r="DGF149" s="208"/>
      <c r="DGG149" s="209"/>
      <c r="DGH149" s="207"/>
      <c r="DGI149" s="210"/>
      <c r="DGJ149" s="209"/>
      <c r="DGK149" s="204"/>
      <c r="DGL149" s="204"/>
      <c r="DGM149" s="204"/>
      <c r="DGN149" s="199"/>
      <c r="DGO149" s="167"/>
      <c r="DGP149" s="199"/>
      <c r="DGQ149" s="200"/>
      <c r="DGR149" s="201"/>
      <c r="DGS149" s="202"/>
      <c r="DGT149" s="202"/>
      <c r="DGU149" s="202"/>
      <c r="DGV149" s="202"/>
      <c r="DGW149" s="203"/>
      <c r="DGX149" s="204"/>
      <c r="DGY149" s="204"/>
      <c r="DGZ149" s="204"/>
      <c r="DHA149" s="205"/>
      <c r="DHB149" s="206"/>
      <c r="DHC149" s="207"/>
      <c r="DHD149" s="207"/>
      <c r="DHE149" s="208"/>
      <c r="DHF149" s="209"/>
      <c r="DHG149" s="207"/>
      <c r="DHH149" s="210"/>
      <c r="DHI149" s="209"/>
      <c r="DHJ149" s="204"/>
      <c r="DHK149" s="204"/>
      <c r="DHL149" s="204"/>
      <c r="DHM149" s="199"/>
      <c r="DHN149" s="167"/>
      <c r="DHO149" s="199"/>
      <c r="DHP149" s="200"/>
      <c r="DHQ149" s="201"/>
      <c r="DHR149" s="202"/>
      <c r="DHS149" s="202"/>
      <c r="DHT149" s="202"/>
      <c r="DHU149" s="202"/>
      <c r="DHV149" s="203"/>
      <c r="DHW149" s="204"/>
      <c r="DHX149" s="204"/>
      <c r="DHY149" s="204"/>
      <c r="DHZ149" s="205"/>
      <c r="DIA149" s="206"/>
      <c r="DIB149" s="207"/>
      <c r="DIC149" s="207"/>
      <c r="DID149" s="208"/>
      <c r="DIE149" s="209"/>
      <c r="DIF149" s="207"/>
      <c r="DIG149" s="210"/>
      <c r="DIH149" s="209"/>
      <c r="DII149" s="204"/>
      <c r="DIJ149" s="204"/>
      <c r="DIK149" s="204"/>
      <c r="DIL149" s="199"/>
      <c r="DIM149" s="167"/>
      <c r="DIN149" s="199"/>
      <c r="DIO149" s="200"/>
      <c r="DIP149" s="201"/>
      <c r="DIQ149" s="202"/>
      <c r="DIR149" s="202"/>
      <c r="DIS149" s="202"/>
      <c r="DIT149" s="202"/>
      <c r="DIU149" s="203"/>
      <c r="DIV149" s="204"/>
      <c r="DIW149" s="204"/>
      <c r="DIX149" s="204"/>
      <c r="DIY149" s="205"/>
      <c r="DIZ149" s="206"/>
      <c r="DJA149" s="207"/>
      <c r="DJB149" s="207"/>
      <c r="DJC149" s="208"/>
      <c r="DJD149" s="209"/>
      <c r="DJE149" s="207"/>
      <c r="DJF149" s="210"/>
      <c r="DJG149" s="209"/>
      <c r="DJH149" s="204"/>
      <c r="DJI149" s="204"/>
      <c r="DJJ149" s="204"/>
      <c r="DJK149" s="199"/>
      <c r="DJL149" s="167"/>
      <c r="DJM149" s="199"/>
      <c r="DJN149" s="200"/>
      <c r="DJO149" s="201"/>
      <c r="DJP149" s="202"/>
      <c r="DJQ149" s="202"/>
      <c r="DJR149" s="202"/>
      <c r="DJS149" s="202"/>
      <c r="DJT149" s="203"/>
      <c r="DJU149" s="204"/>
      <c r="DJV149" s="204"/>
      <c r="DJW149" s="204"/>
      <c r="DJX149" s="205"/>
      <c r="DJY149" s="206"/>
      <c r="DJZ149" s="207"/>
      <c r="DKA149" s="207"/>
      <c r="DKB149" s="208"/>
      <c r="DKC149" s="209"/>
      <c r="DKD149" s="207"/>
      <c r="DKE149" s="210"/>
      <c r="DKF149" s="209"/>
      <c r="DKG149" s="204"/>
      <c r="DKH149" s="204"/>
      <c r="DKI149" s="204"/>
      <c r="DKJ149" s="199"/>
      <c r="DKK149" s="167"/>
      <c r="DKL149" s="199"/>
      <c r="DKM149" s="200"/>
      <c r="DKN149" s="201"/>
      <c r="DKO149" s="202"/>
      <c r="DKP149" s="202"/>
      <c r="DKQ149" s="202"/>
      <c r="DKR149" s="202"/>
      <c r="DKS149" s="203"/>
      <c r="DKT149" s="204"/>
      <c r="DKU149" s="204"/>
      <c r="DKV149" s="204"/>
      <c r="DKW149" s="205"/>
      <c r="DKX149" s="206"/>
      <c r="DKY149" s="207"/>
      <c r="DKZ149" s="207"/>
      <c r="DLA149" s="208"/>
      <c r="DLB149" s="209"/>
      <c r="DLC149" s="207"/>
      <c r="DLD149" s="210"/>
      <c r="DLE149" s="209"/>
      <c r="DLF149" s="204"/>
      <c r="DLG149" s="204"/>
      <c r="DLH149" s="204"/>
      <c r="DLI149" s="199"/>
      <c r="DLJ149" s="167"/>
      <c r="DLK149" s="199"/>
      <c r="DLL149" s="200"/>
      <c r="DLM149" s="201"/>
      <c r="DLN149" s="202"/>
      <c r="DLO149" s="202"/>
      <c r="DLP149" s="202"/>
      <c r="DLQ149" s="202"/>
      <c r="DLR149" s="203"/>
      <c r="DLS149" s="204"/>
      <c r="DLT149" s="204"/>
      <c r="DLU149" s="204"/>
      <c r="DLV149" s="205"/>
      <c r="DLW149" s="206"/>
      <c r="DLX149" s="207"/>
      <c r="DLY149" s="207"/>
      <c r="DLZ149" s="208"/>
      <c r="DMA149" s="209"/>
      <c r="DMB149" s="207"/>
      <c r="DMC149" s="210"/>
      <c r="DMD149" s="209"/>
      <c r="DME149" s="204"/>
      <c r="DMF149" s="204"/>
      <c r="DMG149" s="204"/>
      <c r="DMH149" s="199"/>
      <c r="DMI149" s="167"/>
      <c r="DMJ149" s="199"/>
      <c r="DMK149" s="200"/>
      <c r="DML149" s="201"/>
      <c r="DMM149" s="202"/>
      <c r="DMN149" s="202"/>
      <c r="DMO149" s="202"/>
      <c r="DMP149" s="202"/>
      <c r="DMQ149" s="203"/>
      <c r="DMR149" s="204"/>
      <c r="DMS149" s="204"/>
      <c r="DMT149" s="204"/>
      <c r="DMU149" s="205"/>
      <c r="DMV149" s="206"/>
      <c r="DMW149" s="207"/>
      <c r="DMX149" s="207"/>
      <c r="DMY149" s="208"/>
      <c r="DMZ149" s="209"/>
      <c r="DNA149" s="207"/>
      <c r="DNB149" s="210"/>
      <c r="DNC149" s="209"/>
      <c r="DND149" s="204"/>
      <c r="DNE149" s="204"/>
      <c r="DNF149" s="204"/>
      <c r="DNG149" s="199"/>
      <c r="DNH149" s="167"/>
      <c r="DNI149" s="199"/>
      <c r="DNJ149" s="200"/>
      <c r="DNK149" s="201"/>
      <c r="DNL149" s="202"/>
      <c r="DNM149" s="202"/>
      <c r="DNN149" s="202"/>
      <c r="DNO149" s="202"/>
      <c r="DNP149" s="203"/>
      <c r="DNQ149" s="204"/>
      <c r="DNR149" s="204"/>
      <c r="DNS149" s="204"/>
      <c r="DNT149" s="205"/>
      <c r="DNU149" s="206"/>
      <c r="DNV149" s="207"/>
      <c r="DNW149" s="207"/>
      <c r="DNX149" s="208"/>
      <c r="DNY149" s="209"/>
      <c r="DNZ149" s="207"/>
      <c r="DOA149" s="210"/>
      <c r="DOB149" s="209"/>
      <c r="DOC149" s="204"/>
      <c r="DOD149" s="204"/>
      <c r="DOE149" s="204"/>
      <c r="DOF149" s="199"/>
      <c r="DOG149" s="167"/>
      <c r="DOH149" s="199"/>
      <c r="DOI149" s="200"/>
      <c r="DOJ149" s="201"/>
      <c r="DOK149" s="202"/>
      <c r="DOL149" s="202"/>
      <c r="DOM149" s="202"/>
      <c r="DON149" s="202"/>
      <c r="DOO149" s="203"/>
      <c r="DOP149" s="204"/>
      <c r="DOQ149" s="204"/>
      <c r="DOR149" s="204"/>
      <c r="DOS149" s="205"/>
      <c r="DOT149" s="206"/>
      <c r="DOU149" s="207"/>
      <c r="DOV149" s="207"/>
      <c r="DOW149" s="208"/>
      <c r="DOX149" s="209"/>
      <c r="DOY149" s="207"/>
      <c r="DOZ149" s="210"/>
      <c r="DPA149" s="209"/>
      <c r="DPB149" s="204"/>
      <c r="DPC149" s="204"/>
      <c r="DPD149" s="204"/>
      <c r="DPE149" s="199"/>
      <c r="DPF149" s="167"/>
      <c r="DPG149" s="199"/>
      <c r="DPH149" s="200"/>
      <c r="DPI149" s="201"/>
      <c r="DPJ149" s="202"/>
      <c r="DPK149" s="202"/>
      <c r="DPL149" s="202"/>
      <c r="DPM149" s="202"/>
      <c r="DPN149" s="203"/>
      <c r="DPO149" s="204"/>
      <c r="DPP149" s="204"/>
      <c r="DPQ149" s="204"/>
      <c r="DPR149" s="205"/>
      <c r="DPS149" s="206"/>
      <c r="DPT149" s="207"/>
      <c r="DPU149" s="207"/>
      <c r="DPV149" s="208"/>
      <c r="DPW149" s="209"/>
      <c r="DPX149" s="207"/>
      <c r="DPY149" s="210"/>
      <c r="DPZ149" s="209"/>
      <c r="DQA149" s="204"/>
      <c r="DQB149" s="204"/>
      <c r="DQC149" s="204"/>
      <c r="DQD149" s="199"/>
      <c r="DQE149" s="167"/>
      <c r="DQF149" s="199"/>
      <c r="DQG149" s="200"/>
      <c r="DQH149" s="201"/>
      <c r="DQI149" s="202"/>
      <c r="DQJ149" s="202"/>
      <c r="DQK149" s="202"/>
      <c r="DQL149" s="202"/>
      <c r="DQM149" s="203"/>
      <c r="DQN149" s="204"/>
      <c r="DQO149" s="204"/>
      <c r="DQP149" s="204"/>
      <c r="DQQ149" s="205"/>
      <c r="DQR149" s="206"/>
      <c r="DQS149" s="207"/>
      <c r="DQT149" s="207"/>
      <c r="DQU149" s="208"/>
      <c r="DQV149" s="209"/>
      <c r="DQW149" s="207"/>
      <c r="DQX149" s="210"/>
      <c r="DQY149" s="209"/>
      <c r="DQZ149" s="204"/>
      <c r="DRA149" s="204"/>
      <c r="DRB149" s="204"/>
      <c r="DRC149" s="199"/>
      <c r="DRD149" s="167"/>
      <c r="DRE149" s="199"/>
      <c r="DRF149" s="200"/>
      <c r="DRG149" s="201"/>
      <c r="DRH149" s="202"/>
      <c r="DRI149" s="202"/>
      <c r="DRJ149" s="202"/>
      <c r="DRK149" s="202"/>
      <c r="DRL149" s="203"/>
      <c r="DRM149" s="204"/>
      <c r="DRN149" s="204"/>
      <c r="DRO149" s="204"/>
      <c r="DRP149" s="205"/>
      <c r="DRQ149" s="206"/>
      <c r="DRR149" s="207"/>
      <c r="DRS149" s="207"/>
      <c r="DRT149" s="208"/>
      <c r="DRU149" s="209"/>
      <c r="DRV149" s="207"/>
      <c r="DRW149" s="210"/>
      <c r="DRX149" s="209"/>
      <c r="DRY149" s="204"/>
      <c r="DRZ149" s="204"/>
      <c r="DSA149" s="204"/>
      <c r="DSB149" s="199"/>
      <c r="DSC149" s="167"/>
      <c r="DSD149" s="199"/>
      <c r="DSE149" s="200"/>
      <c r="DSF149" s="201"/>
      <c r="DSG149" s="202"/>
      <c r="DSH149" s="202"/>
      <c r="DSI149" s="202"/>
      <c r="DSJ149" s="202"/>
      <c r="DSK149" s="203"/>
      <c r="DSL149" s="204"/>
      <c r="DSM149" s="204"/>
      <c r="DSN149" s="204"/>
      <c r="DSO149" s="205"/>
      <c r="DSP149" s="206"/>
      <c r="DSQ149" s="207"/>
      <c r="DSR149" s="207"/>
      <c r="DSS149" s="208"/>
      <c r="DST149" s="209"/>
      <c r="DSU149" s="207"/>
      <c r="DSV149" s="210"/>
      <c r="DSW149" s="209"/>
      <c r="DSX149" s="204"/>
      <c r="DSY149" s="204"/>
      <c r="DSZ149" s="204"/>
      <c r="DTA149" s="199"/>
      <c r="DTB149" s="167"/>
      <c r="DTC149" s="199"/>
      <c r="DTD149" s="200"/>
      <c r="DTE149" s="201"/>
      <c r="DTF149" s="202"/>
      <c r="DTG149" s="202"/>
      <c r="DTH149" s="202"/>
      <c r="DTI149" s="202"/>
      <c r="DTJ149" s="203"/>
      <c r="DTK149" s="204"/>
      <c r="DTL149" s="204"/>
      <c r="DTM149" s="204"/>
      <c r="DTN149" s="205"/>
      <c r="DTO149" s="206"/>
      <c r="DTP149" s="207"/>
      <c r="DTQ149" s="207"/>
      <c r="DTR149" s="208"/>
      <c r="DTS149" s="209"/>
      <c r="DTT149" s="207"/>
      <c r="DTU149" s="210"/>
      <c r="DTV149" s="209"/>
      <c r="DTW149" s="204"/>
      <c r="DTX149" s="204"/>
      <c r="DTY149" s="204"/>
      <c r="DTZ149" s="199"/>
      <c r="DUA149" s="167"/>
      <c r="DUB149" s="199"/>
      <c r="DUC149" s="200"/>
      <c r="DUD149" s="201"/>
      <c r="DUE149" s="202"/>
      <c r="DUF149" s="202"/>
      <c r="DUG149" s="202"/>
      <c r="DUH149" s="202"/>
      <c r="DUI149" s="203"/>
      <c r="DUJ149" s="204"/>
      <c r="DUK149" s="204"/>
      <c r="DUL149" s="204"/>
      <c r="DUM149" s="205"/>
      <c r="DUN149" s="206"/>
      <c r="DUO149" s="207"/>
      <c r="DUP149" s="207"/>
      <c r="DUQ149" s="208"/>
      <c r="DUR149" s="209"/>
      <c r="DUS149" s="207"/>
      <c r="DUT149" s="210"/>
      <c r="DUU149" s="209"/>
      <c r="DUV149" s="204"/>
      <c r="DUW149" s="204"/>
      <c r="DUX149" s="204"/>
      <c r="DUY149" s="199"/>
      <c r="DUZ149" s="167"/>
      <c r="DVA149" s="199"/>
      <c r="DVB149" s="200"/>
      <c r="DVC149" s="201"/>
      <c r="DVD149" s="202"/>
      <c r="DVE149" s="202"/>
      <c r="DVF149" s="202"/>
      <c r="DVG149" s="202"/>
      <c r="DVH149" s="203"/>
      <c r="DVI149" s="204"/>
      <c r="DVJ149" s="204"/>
      <c r="DVK149" s="204"/>
      <c r="DVL149" s="205"/>
      <c r="DVM149" s="206"/>
      <c r="DVN149" s="207"/>
      <c r="DVO149" s="207"/>
      <c r="DVP149" s="208"/>
      <c r="DVQ149" s="209"/>
      <c r="DVR149" s="207"/>
      <c r="DVS149" s="210"/>
      <c r="DVT149" s="209"/>
      <c r="DVU149" s="204"/>
      <c r="DVV149" s="204"/>
      <c r="DVW149" s="204"/>
      <c r="DVX149" s="199"/>
      <c r="DVY149" s="167"/>
      <c r="DVZ149" s="199"/>
      <c r="DWA149" s="200"/>
      <c r="DWB149" s="201"/>
      <c r="DWC149" s="202"/>
      <c r="DWD149" s="202"/>
      <c r="DWE149" s="202"/>
      <c r="DWF149" s="202"/>
      <c r="DWG149" s="203"/>
      <c r="DWH149" s="204"/>
      <c r="DWI149" s="204"/>
      <c r="DWJ149" s="204"/>
      <c r="DWK149" s="205"/>
      <c r="DWL149" s="206"/>
      <c r="DWM149" s="207"/>
      <c r="DWN149" s="207"/>
      <c r="DWO149" s="208"/>
      <c r="DWP149" s="209"/>
      <c r="DWQ149" s="207"/>
      <c r="DWR149" s="210"/>
      <c r="DWS149" s="209"/>
      <c r="DWT149" s="204"/>
      <c r="DWU149" s="204"/>
      <c r="DWV149" s="204"/>
      <c r="DWW149" s="199"/>
      <c r="DWX149" s="167"/>
      <c r="DWY149" s="199"/>
      <c r="DWZ149" s="200"/>
      <c r="DXA149" s="201"/>
      <c r="DXB149" s="202"/>
      <c r="DXC149" s="202"/>
      <c r="DXD149" s="202"/>
      <c r="DXE149" s="202"/>
      <c r="DXF149" s="203"/>
      <c r="DXG149" s="204"/>
      <c r="DXH149" s="204"/>
      <c r="DXI149" s="204"/>
      <c r="DXJ149" s="205"/>
      <c r="DXK149" s="206"/>
      <c r="DXL149" s="207"/>
      <c r="DXM149" s="207"/>
      <c r="DXN149" s="208"/>
      <c r="DXO149" s="209"/>
      <c r="DXP149" s="207"/>
      <c r="DXQ149" s="210"/>
      <c r="DXR149" s="209"/>
      <c r="DXS149" s="204"/>
      <c r="DXT149" s="204"/>
      <c r="DXU149" s="204"/>
      <c r="DXV149" s="199"/>
      <c r="DXW149" s="167"/>
      <c r="DXX149" s="199"/>
      <c r="DXY149" s="200"/>
      <c r="DXZ149" s="201"/>
      <c r="DYA149" s="202"/>
      <c r="DYB149" s="202"/>
      <c r="DYC149" s="202"/>
      <c r="DYD149" s="202"/>
      <c r="DYE149" s="203"/>
      <c r="DYF149" s="204"/>
      <c r="DYG149" s="204"/>
      <c r="DYH149" s="204"/>
      <c r="DYI149" s="205"/>
      <c r="DYJ149" s="206"/>
      <c r="DYK149" s="207"/>
      <c r="DYL149" s="207"/>
      <c r="DYM149" s="208"/>
      <c r="DYN149" s="209"/>
      <c r="DYO149" s="207"/>
      <c r="DYP149" s="210"/>
      <c r="DYQ149" s="209"/>
      <c r="DYR149" s="204"/>
      <c r="DYS149" s="204"/>
      <c r="DYT149" s="204"/>
      <c r="DYU149" s="199"/>
      <c r="DYV149" s="167"/>
      <c r="DYW149" s="199"/>
      <c r="DYX149" s="200"/>
      <c r="DYY149" s="201"/>
      <c r="DYZ149" s="202"/>
      <c r="DZA149" s="202"/>
      <c r="DZB149" s="202"/>
      <c r="DZC149" s="202"/>
      <c r="DZD149" s="203"/>
      <c r="DZE149" s="204"/>
      <c r="DZF149" s="204"/>
      <c r="DZG149" s="204"/>
      <c r="DZH149" s="205"/>
      <c r="DZI149" s="206"/>
      <c r="DZJ149" s="207"/>
      <c r="DZK149" s="207"/>
      <c r="DZL149" s="208"/>
      <c r="DZM149" s="209"/>
      <c r="DZN149" s="207"/>
      <c r="DZO149" s="210"/>
      <c r="DZP149" s="209"/>
      <c r="DZQ149" s="204"/>
      <c r="DZR149" s="204"/>
      <c r="DZS149" s="204"/>
      <c r="DZT149" s="199"/>
      <c r="DZU149" s="167"/>
      <c r="DZV149" s="199"/>
      <c r="DZW149" s="200"/>
      <c r="DZX149" s="201"/>
      <c r="DZY149" s="202"/>
      <c r="DZZ149" s="202"/>
      <c r="EAA149" s="202"/>
      <c r="EAB149" s="202"/>
      <c r="EAC149" s="203"/>
      <c r="EAD149" s="204"/>
      <c r="EAE149" s="204"/>
      <c r="EAF149" s="204"/>
      <c r="EAG149" s="205"/>
      <c r="EAH149" s="206"/>
      <c r="EAI149" s="207"/>
      <c r="EAJ149" s="207"/>
      <c r="EAK149" s="208"/>
      <c r="EAL149" s="209"/>
      <c r="EAM149" s="207"/>
      <c r="EAN149" s="210"/>
      <c r="EAO149" s="209"/>
      <c r="EAP149" s="204"/>
      <c r="EAQ149" s="204"/>
      <c r="EAR149" s="204"/>
      <c r="EAS149" s="199"/>
      <c r="EAT149" s="167"/>
      <c r="EAU149" s="199"/>
      <c r="EAV149" s="200"/>
      <c r="EAW149" s="201"/>
      <c r="EAX149" s="202"/>
      <c r="EAY149" s="202"/>
      <c r="EAZ149" s="202"/>
      <c r="EBA149" s="202"/>
      <c r="EBB149" s="203"/>
      <c r="EBC149" s="204"/>
      <c r="EBD149" s="204"/>
      <c r="EBE149" s="204"/>
      <c r="EBF149" s="205"/>
      <c r="EBG149" s="206"/>
      <c r="EBH149" s="207"/>
      <c r="EBI149" s="207"/>
      <c r="EBJ149" s="208"/>
      <c r="EBK149" s="209"/>
      <c r="EBL149" s="207"/>
      <c r="EBM149" s="210"/>
      <c r="EBN149" s="209"/>
      <c r="EBO149" s="204"/>
      <c r="EBP149" s="204"/>
      <c r="EBQ149" s="204"/>
      <c r="EBR149" s="199"/>
      <c r="EBS149" s="167"/>
      <c r="EBT149" s="199"/>
      <c r="EBU149" s="200"/>
      <c r="EBV149" s="201"/>
      <c r="EBW149" s="202"/>
      <c r="EBX149" s="202"/>
      <c r="EBY149" s="202"/>
      <c r="EBZ149" s="202"/>
      <c r="ECA149" s="203"/>
      <c r="ECB149" s="204"/>
      <c r="ECC149" s="204"/>
      <c r="ECD149" s="204"/>
      <c r="ECE149" s="205"/>
      <c r="ECF149" s="206"/>
      <c r="ECG149" s="207"/>
      <c r="ECH149" s="207"/>
      <c r="ECI149" s="208"/>
      <c r="ECJ149" s="209"/>
      <c r="ECK149" s="207"/>
      <c r="ECL149" s="210"/>
      <c r="ECM149" s="209"/>
      <c r="ECN149" s="204"/>
      <c r="ECO149" s="204"/>
      <c r="ECP149" s="204"/>
      <c r="ECQ149" s="199"/>
      <c r="ECR149" s="167"/>
      <c r="ECS149" s="199"/>
      <c r="ECT149" s="200"/>
      <c r="ECU149" s="201"/>
      <c r="ECV149" s="202"/>
      <c r="ECW149" s="202"/>
      <c r="ECX149" s="202"/>
      <c r="ECY149" s="202"/>
      <c r="ECZ149" s="203"/>
      <c r="EDA149" s="204"/>
      <c r="EDB149" s="204"/>
      <c r="EDC149" s="204"/>
      <c r="EDD149" s="205"/>
      <c r="EDE149" s="206"/>
      <c r="EDF149" s="207"/>
      <c r="EDG149" s="207"/>
      <c r="EDH149" s="208"/>
      <c r="EDI149" s="209"/>
      <c r="EDJ149" s="207"/>
      <c r="EDK149" s="210"/>
      <c r="EDL149" s="209"/>
      <c r="EDM149" s="204"/>
      <c r="EDN149" s="204"/>
      <c r="EDO149" s="204"/>
      <c r="EDP149" s="199"/>
      <c r="EDQ149" s="167"/>
      <c r="EDR149" s="199"/>
      <c r="EDS149" s="200"/>
      <c r="EDT149" s="201"/>
      <c r="EDU149" s="202"/>
      <c r="EDV149" s="202"/>
      <c r="EDW149" s="202"/>
      <c r="EDX149" s="202"/>
      <c r="EDY149" s="203"/>
      <c r="EDZ149" s="204"/>
      <c r="EEA149" s="204"/>
      <c r="EEB149" s="204"/>
      <c r="EEC149" s="205"/>
      <c r="EED149" s="206"/>
      <c r="EEE149" s="207"/>
      <c r="EEF149" s="207"/>
      <c r="EEG149" s="208"/>
      <c r="EEH149" s="209"/>
      <c r="EEI149" s="207"/>
      <c r="EEJ149" s="210"/>
      <c r="EEK149" s="209"/>
      <c r="EEL149" s="204"/>
      <c r="EEM149" s="204"/>
      <c r="EEN149" s="204"/>
      <c r="EEO149" s="199"/>
      <c r="EEP149" s="167"/>
      <c r="EEQ149" s="199"/>
      <c r="EER149" s="200"/>
      <c r="EES149" s="201"/>
      <c r="EET149" s="202"/>
      <c r="EEU149" s="202"/>
      <c r="EEV149" s="202"/>
      <c r="EEW149" s="202"/>
      <c r="EEX149" s="203"/>
      <c r="EEY149" s="204"/>
      <c r="EEZ149" s="204"/>
      <c r="EFA149" s="204"/>
      <c r="EFB149" s="205"/>
      <c r="EFC149" s="206"/>
      <c r="EFD149" s="207"/>
      <c r="EFE149" s="207"/>
      <c r="EFF149" s="208"/>
      <c r="EFG149" s="209"/>
      <c r="EFH149" s="207"/>
      <c r="EFI149" s="210"/>
      <c r="EFJ149" s="209"/>
      <c r="EFK149" s="204"/>
      <c r="EFL149" s="204"/>
      <c r="EFM149" s="204"/>
      <c r="EFN149" s="199"/>
      <c r="EFO149" s="167"/>
      <c r="EFP149" s="199"/>
      <c r="EFQ149" s="200"/>
      <c r="EFR149" s="201"/>
      <c r="EFS149" s="202"/>
      <c r="EFT149" s="202"/>
      <c r="EFU149" s="202"/>
      <c r="EFV149" s="202"/>
      <c r="EFW149" s="203"/>
      <c r="EFX149" s="204"/>
      <c r="EFY149" s="204"/>
      <c r="EFZ149" s="204"/>
      <c r="EGA149" s="205"/>
      <c r="EGB149" s="206"/>
      <c r="EGC149" s="207"/>
      <c r="EGD149" s="207"/>
      <c r="EGE149" s="208"/>
      <c r="EGF149" s="209"/>
      <c r="EGG149" s="207"/>
      <c r="EGH149" s="210"/>
      <c r="EGI149" s="209"/>
      <c r="EGJ149" s="204"/>
      <c r="EGK149" s="204"/>
      <c r="EGL149" s="204"/>
      <c r="EGM149" s="199"/>
      <c r="EGN149" s="167"/>
      <c r="EGO149" s="199"/>
      <c r="EGP149" s="200"/>
      <c r="EGQ149" s="201"/>
      <c r="EGR149" s="202"/>
      <c r="EGS149" s="202"/>
      <c r="EGT149" s="202"/>
      <c r="EGU149" s="202"/>
      <c r="EGV149" s="203"/>
      <c r="EGW149" s="204"/>
      <c r="EGX149" s="204"/>
      <c r="EGY149" s="204"/>
      <c r="EGZ149" s="205"/>
      <c r="EHA149" s="206"/>
      <c r="EHB149" s="207"/>
      <c r="EHC149" s="207"/>
      <c r="EHD149" s="208"/>
      <c r="EHE149" s="209"/>
      <c r="EHF149" s="207"/>
      <c r="EHG149" s="210"/>
      <c r="EHH149" s="209"/>
      <c r="EHI149" s="204"/>
      <c r="EHJ149" s="204"/>
      <c r="EHK149" s="204"/>
      <c r="EHL149" s="199"/>
      <c r="EHM149" s="167"/>
      <c r="EHN149" s="199"/>
      <c r="EHO149" s="200"/>
      <c r="EHP149" s="201"/>
      <c r="EHQ149" s="202"/>
      <c r="EHR149" s="202"/>
      <c r="EHS149" s="202"/>
      <c r="EHT149" s="202"/>
      <c r="EHU149" s="203"/>
      <c r="EHV149" s="204"/>
      <c r="EHW149" s="204"/>
      <c r="EHX149" s="204"/>
      <c r="EHY149" s="205"/>
      <c r="EHZ149" s="206"/>
      <c r="EIA149" s="207"/>
      <c r="EIB149" s="207"/>
      <c r="EIC149" s="208"/>
      <c r="EID149" s="209"/>
      <c r="EIE149" s="207"/>
      <c r="EIF149" s="210"/>
      <c r="EIG149" s="209"/>
      <c r="EIH149" s="204"/>
      <c r="EII149" s="204"/>
      <c r="EIJ149" s="204"/>
      <c r="EIK149" s="199"/>
      <c r="EIL149" s="167"/>
      <c r="EIM149" s="199"/>
      <c r="EIN149" s="200"/>
      <c r="EIO149" s="201"/>
      <c r="EIP149" s="202"/>
      <c r="EIQ149" s="202"/>
      <c r="EIR149" s="202"/>
      <c r="EIS149" s="202"/>
      <c r="EIT149" s="203"/>
      <c r="EIU149" s="204"/>
      <c r="EIV149" s="204"/>
      <c r="EIW149" s="204"/>
      <c r="EIX149" s="205"/>
      <c r="EIY149" s="206"/>
      <c r="EIZ149" s="207"/>
      <c r="EJA149" s="207"/>
      <c r="EJB149" s="208"/>
      <c r="EJC149" s="209"/>
      <c r="EJD149" s="207"/>
      <c r="EJE149" s="210"/>
      <c r="EJF149" s="209"/>
      <c r="EJG149" s="204"/>
      <c r="EJH149" s="204"/>
      <c r="EJI149" s="204"/>
      <c r="EJJ149" s="199"/>
      <c r="EJK149" s="167"/>
      <c r="EJL149" s="199"/>
      <c r="EJM149" s="200"/>
      <c r="EJN149" s="201"/>
      <c r="EJO149" s="202"/>
      <c r="EJP149" s="202"/>
      <c r="EJQ149" s="202"/>
      <c r="EJR149" s="202"/>
      <c r="EJS149" s="203"/>
      <c r="EJT149" s="204"/>
      <c r="EJU149" s="204"/>
      <c r="EJV149" s="204"/>
      <c r="EJW149" s="205"/>
      <c r="EJX149" s="206"/>
      <c r="EJY149" s="207"/>
      <c r="EJZ149" s="207"/>
      <c r="EKA149" s="208"/>
      <c r="EKB149" s="209"/>
      <c r="EKC149" s="207"/>
      <c r="EKD149" s="210"/>
      <c r="EKE149" s="209"/>
      <c r="EKF149" s="204"/>
      <c r="EKG149" s="204"/>
      <c r="EKH149" s="204"/>
      <c r="EKI149" s="199"/>
      <c r="EKJ149" s="167"/>
      <c r="EKK149" s="199"/>
      <c r="EKL149" s="200"/>
      <c r="EKM149" s="201"/>
      <c r="EKN149" s="202"/>
      <c r="EKO149" s="202"/>
      <c r="EKP149" s="202"/>
      <c r="EKQ149" s="202"/>
      <c r="EKR149" s="203"/>
      <c r="EKS149" s="204"/>
      <c r="EKT149" s="204"/>
      <c r="EKU149" s="204"/>
      <c r="EKV149" s="205"/>
      <c r="EKW149" s="206"/>
      <c r="EKX149" s="207"/>
      <c r="EKY149" s="207"/>
      <c r="EKZ149" s="208"/>
      <c r="ELA149" s="209"/>
      <c r="ELB149" s="207"/>
      <c r="ELC149" s="210"/>
      <c r="ELD149" s="209"/>
      <c r="ELE149" s="204"/>
      <c r="ELF149" s="204"/>
      <c r="ELG149" s="204"/>
      <c r="ELH149" s="199"/>
      <c r="ELI149" s="167"/>
      <c r="ELJ149" s="199"/>
      <c r="ELK149" s="200"/>
      <c r="ELL149" s="201"/>
      <c r="ELM149" s="202"/>
      <c r="ELN149" s="202"/>
      <c r="ELO149" s="202"/>
      <c r="ELP149" s="202"/>
      <c r="ELQ149" s="203"/>
      <c r="ELR149" s="204"/>
      <c r="ELS149" s="204"/>
      <c r="ELT149" s="204"/>
      <c r="ELU149" s="205"/>
      <c r="ELV149" s="206"/>
      <c r="ELW149" s="207"/>
      <c r="ELX149" s="207"/>
      <c r="ELY149" s="208"/>
      <c r="ELZ149" s="209"/>
      <c r="EMA149" s="207"/>
      <c r="EMB149" s="210"/>
      <c r="EMC149" s="209"/>
      <c r="EMD149" s="204"/>
      <c r="EME149" s="204"/>
      <c r="EMF149" s="204"/>
      <c r="EMG149" s="199"/>
      <c r="EMH149" s="167"/>
      <c r="EMI149" s="199"/>
      <c r="EMJ149" s="200"/>
      <c r="EMK149" s="201"/>
      <c r="EML149" s="202"/>
      <c r="EMM149" s="202"/>
      <c r="EMN149" s="202"/>
      <c r="EMO149" s="202"/>
      <c r="EMP149" s="203"/>
      <c r="EMQ149" s="204"/>
      <c r="EMR149" s="204"/>
      <c r="EMS149" s="204"/>
      <c r="EMT149" s="205"/>
      <c r="EMU149" s="206"/>
      <c r="EMV149" s="207"/>
      <c r="EMW149" s="207"/>
      <c r="EMX149" s="208"/>
      <c r="EMY149" s="209"/>
      <c r="EMZ149" s="207"/>
      <c r="ENA149" s="210"/>
      <c r="ENB149" s="209"/>
      <c r="ENC149" s="204"/>
      <c r="END149" s="204"/>
      <c r="ENE149" s="204"/>
      <c r="ENF149" s="199"/>
      <c r="ENG149" s="167"/>
      <c r="ENH149" s="199"/>
      <c r="ENI149" s="200"/>
      <c r="ENJ149" s="201"/>
      <c r="ENK149" s="202"/>
      <c r="ENL149" s="202"/>
      <c r="ENM149" s="202"/>
      <c r="ENN149" s="202"/>
      <c r="ENO149" s="203"/>
      <c r="ENP149" s="204"/>
      <c r="ENQ149" s="204"/>
      <c r="ENR149" s="204"/>
      <c r="ENS149" s="205"/>
      <c r="ENT149" s="206"/>
      <c r="ENU149" s="207"/>
      <c r="ENV149" s="207"/>
      <c r="ENW149" s="208"/>
      <c r="ENX149" s="209"/>
      <c r="ENY149" s="207"/>
      <c r="ENZ149" s="210"/>
      <c r="EOA149" s="209"/>
      <c r="EOB149" s="204"/>
      <c r="EOC149" s="204"/>
      <c r="EOD149" s="204"/>
      <c r="EOE149" s="199"/>
      <c r="EOF149" s="167"/>
      <c r="EOG149" s="199"/>
      <c r="EOH149" s="200"/>
      <c r="EOI149" s="201"/>
      <c r="EOJ149" s="202"/>
      <c r="EOK149" s="202"/>
      <c r="EOL149" s="202"/>
      <c r="EOM149" s="202"/>
      <c r="EON149" s="203"/>
      <c r="EOO149" s="204"/>
      <c r="EOP149" s="204"/>
      <c r="EOQ149" s="204"/>
      <c r="EOR149" s="205"/>
      <c r="EOS149" s="206"/>
      <c r="EOT149" s="207"/>
      <c r="EOU149" s="207"/>
      <c r="EOV149" s="208"/>
      <c r="EOW149" s="209"/>
      <c r="EOX149" s="207"/>
      <c r="EOY149" s="210"/>
      <c r="EOZ149" s="209"/>
      <c r="EPA149" s="204"/>
      <c r="EPB149" s="204"/>
      <c r="EPC149" s="204"/>
      <c r="EPD149" s="199"/>
      <c r="EPE149" s="167"/>
      <c r="EPF149" s="199"/>
      <c r="EPG149" s="200"/>
      <c r="EPH149" s="201"/>
      <c r="EPI149" s="202"/>
      <c r="EPJ149" s="202"/>
      <c r="EPK149" s="202"/>
      <c r="EPL149" s="202"/>
      <c r="EPM149" s="203"/>
      <c r="EPN149" s="204"/>
      <c r="EPO149" s="204"/>
      <c r="EPP149" s="204"/>
      <c r="EPQ149" s="205"/>
      <c r="EPR149" s="206"/>
      <c r="EPS149" s="207"/>
      <c r="EPT149" s="207"/>
      <c r="EPU149" s="208"/>
      <c r="EPV149" s="209"/>
      <c r="EPW149" s="207"/>
      <c r="EPX149" s="210"/>
      <c r="EPY149" s="209"/>
      <c r="EPZ149" s="204"/>
      <c r="EQA149" s="204"/>
      <c r="EQB149" s="204"/>
      <c r="EQC149" s="199"/>
      <c r="EQD149" s="167"/>
      <c r="EQE149" s="199"/>
      <c r="EQF149" s="200"/>
      <c r="EQG149" s="201"/>
      <c r="EQH149" s="202"/>
      <c r="EQI149" s="202"/>
      <c r="EQJ149" s="202"/>
      <c r="EQK149" s="202"/>
      <c r="EQL149" s="203"/>
      <c r="EQM149" s="204"/>
      <c r="EQN149" s="204"/>
      <c r="EQO149" s="204"/>
      <c r="EQP149" s="205"/>
      <c r="EQQ149" s="206"/>
      <c r="EQR149" s="207"/>
      <c r="EQS149" s="207"/>
      <c r="EQT149" s="208"/>
      <c r="EQU149" s="209"/>
      <c r="EQV149" s="207"/>
      <c r="EQW149" s="210"/>
      <c r="EQX149" s="209"/>
      <c r="EQY149" s="204"/>
      <c r="EQZ149" s="204"/>
      <c r="ERA149" s="204"/>
      <c r="ERB149" s="199"/>
      <c r="ERC149" s="167"/>
      <c r="ERD149" s="199"/>
      <c r="ERE149" s="200"/>
      <c r="ERF149" s="201"/>
      <c r="ERG149" s="202"/>
      <c r="ERH149" s="202"/>
      <c r="ERI149" s="202"/>
      <c r="ERJ149" s="202"/>
      <c r="ERK149" s="203"/>
      <c r="ERL149" s="204"/>
      <c r="ERM149" s="204"/>
      <c r="ERN149" s="204"/>
      <c r="ERO149" s="205"/>
      <c r="ERP149" s="206"/>
      <c r="ERQ149" s="207"/>
      <c r="ERR149" s="207"/>
      <c r="ERS149" s="208"/>
      <c r="ERT149" s="209"/>
      <c r="ERU149" s="207"/>
      <c r="ERV149" s="210"/>
      <c r="ERW149" s="209"/>
      <c r="ERX149" s="204"/>
      <c r="ERY149" s="204"/>
      <c r="ERZ149" s="204"/>
      <c r="ESA149" s="199"/>
      <c r="ESB149" s="167"/>
      <c r="ESC149" s="199"/>
      <c r="ESD149" s="200"/>
      <c r="ESE149" s="201"/>
      <c r="ESF149" s="202"/>
      <c r="ESG149" s="202"/>
      <c r="ESH149" s="202"/>
      <c r="ESI149" s="202"/>
      <c r="ESJ149" s="203"/>
      <c r="ESK149" s="204"/>
      <c r="ESL149" s="204"/>
      <c r="ESM149" s="204"/>
      <c r="ESN149" s="205"/>
      <c r="ESO149" s="206"/>
      <c r="ESP149" s="207"/>
      <c r="ESQ149" s="207"/>
      <c r="ESR149" s="208"/>
      <c r="ESS149" s="209"/>
      <c r="EST149" s="207"/>
      <c r="ESU149" s="210"/>
      <c r="ESV149" s="209"/>
      <c r="ESW149" s="204"/>
      <c r="ESX149" s="204"/>
      <c r="ESY149" s="204"/>
      <c r="ESZ149" s="199"/>
      <c r="ETA149" s="167"/>
      <c r="ETB149" s="199"/>
      <c r="ETC149" s="200"/>
      <c r="ETD149" s="201"/>
      <c r="ETE149" s="202"/>
      <c r="ETF149" s="202"/>
      <c r="ETG149" s="202"/>
      <c r="ETH149" s="202"/>
      <c r="ETI149" s="203"/>
      <c r="ETJ149" s="204"/>
      <c r="ETK149" s="204"/>
      <c r="ETL149" s="204"/>
      <c r="ETM149" s="205"/>
      <c r="ETN149" s="206"/>
      <c r="ETO149" s="207"/>
      <c r="ETP149" s="207"/>
      <c r="ETQ149" s="208"/>
      <c r="ETR149" s="209"/>
      <c r="ETS149" s="207"/>
      <c r="ETT149" s="210"/>
      <c r="ETU149" s="209"/>
      <c r="ETV149" s="204"/>
      <c r="ETW149" s="204"/>
      <c r="ETX149" s="204"/>
      <c r="ETY149" s="199"/>
      <c r="ETZ149" s="167"/>
      <c r="EUA149" s="199"/>
      <c r="EUB149" s="200"/>
      <c r="EUC149" s="201"/>
      <c r="EUD149" s="202"/>
      <c r="EUE149" s="202"/>
      <c r="EUF149" s="202"/>
      <c r="EUG149" s="202"/>
      <c r="EUH149" s="203"/>
      <c r="EUI149" s="204"/>
      <c r="EUJ149" s="204"/>
      <c r="EUK149" s="204"/>
      <c r="EUL149" s="205"/>
      <c r="EUM149" s="206"/>
      <c r="EUN149" s="207"/>
      <c r="EUO149" s="207"/>
      <c r="EUP149" s="208"/>
      <c r="EUQ149" s="209"/>
      <c r="EUR149" s="207"/>
      <c r="EUS149" s="210"/>
      <c r="EUT149" s="209"/>
      <c r="EUU149" s="204"/>
      <c r="EUV149" s="204"/>
      <c r="EUW149" s="204"/>
      <c r="EUX149" s="199"/>
      <c r="EUY149" s="167"/>
      <c r="EUZ149" s="199"/>
      <c r="EVA149" s="200"/>
      <c r="EVB149" s="201"/>
      <c r="EVC149" s="202"/>
      <c r="EVD149" s="202"/>
      <c r="EVE149" s="202"/>
      <c r="EVF149" s="202"/>
      <c r="EVG149" s="203"/>
      <c r="EVH149" s="204"/>
      <c r="EVI149" s="204"/>
      <c r="EVJ149" s="204"/>
      <c r="EVK149" s="205"/>
      <c r="EVL149" s="206"/>
      <c r="EVM149" s="207"/>
      <c r="EVN149" s="207"/>
      <c r="EVO149" s="208"/>
      <c r="EVP149" s="209"/>
      <c r="EVQ149" s="207"/>
      <c r="EVR149" s="210"/>
      <c r="EVS149" s="209"/>
      <c r="EVT149" s="204"/>
      <c r="EVU149" s="204"/>
      <c r="EVV149" s="204"/>
      <c r="EVW149" s="199"/>
      <c r="EVX149" s="167"/>
      <c r="EVY149" s="199"/>
      <c r="EVZ149" s="200"/>
      <c r="EWA149" s="201"/>
      <c r="EWB149" s="202"/>
      <c r="EWC149" s="202"/>
      <c r="EWD149" s="202"/>
      <c r="EWE149" s="202"/>
      <c r="EWF149" s="203"/>
      <c r="EWG149" s="204"/>
      <c r="EWH149" s="204"/>
      <c r="EWI149" s="204"/>
      <c r="EWJ149" s="205"/>
      <c r="EWK149" s="206"/>
      <c r="EWL149" s="207"/>
      <c r="EWM149" s="207"/>
      <c r="EWN149" s="208"/>
      <c r="EWO149" s="209"/>
      <c r="EWP149" s="207"/>
      <c r="EWQ149" s="210"/>
      <c r="EWR149" s="209"/>
      <c r="EWS149" s="204"/>
      <c r="EWT149" s="204"/>
      <c r="EWU149" s="204"/>
      <c r="EWV149" s="199"/>
      <c r="EWW149" s="167"/>
      <c r="EWX149" s="199"/>
      <c r="EWY149" s="200"/>
      <c r="EWZ149" s="201"/>
      <c r="EXA149" s="202"/>
      <c r="EXB149" s="202"/>
      <c r="EXC149" s="202"/>
      <c r="EXD149" s="202"/>
      <c r="EXE149" s="203"/>
      <c r="EXF149" s="204"/>
      <c r="EXG149" s="204"/>
      <c r="EXH149" s="204"/>
      <c r="EXI149" s="205"/>
      <c r="EXJ149" s="206"/>
      <c r="EXK149" s="207"/>
      <c r="EXL149" s="207"/>
      <c r="EXM149" s="208"/>
      <c r="EXN149" s="209"/>
      <c r="EXO149" s="207"/>
      <c r="EXP149" s="210"/>
      <c r="EXQ149" s="209"/>
      <c r="EXR149" s="204"/>
      <c r="EXS149" s="204"/>
      <c r="EXT149" s="204"/>
      <c r="EXU149" s="199"/>
      <c r="EXV149" s="167"/>
      <c r="EXW149" s="199"/>
      <c r="EXX149" s="200"/>
      <c r="EXY149" s="201"/>
      <c r="EXZ149" s="202"/>
      <c r="EYA149" s="202"/>
      <c r="EYB149" s="202"/>
      <c r="EYC149" s="202"/>
      <c r="EYD149" s="203"/>
      <c r="EYE149" s="204"/>
      <c r="EYF149" s="204"/>
      <c r="EYG149" s="204"/>
      <c r="EYH149" s="205"/>
      <c r="EYI149" s="206"/>
      <c r="EYJ149" s="207"/>
      <c r="EYK149" s="207"/>
      <c r="EYL149" s="208"/>
      <c r="EYM149" s="209"/>
      <c r="EYN149" s="207"/>
      <c r="EYO149" s="210"/>
      <c r="EYP149" s="209"/>
      <c r="EYQ149" s="204"/>
      <c r="EYR149" s="204"/>
      <c r="EYS149" s="204"/>
      <c r="EYT149" s="199"/>
      <c r="EYU149" s="167"/>
      <c r="EYV149" s="199"/>
      <c r="EYW149" s="200"/>
      <c r="EYX149" s="201"/>
      <c r="EYY149" s="202"/>
      <c r="EYZ149" s="202"/>
      <c r="EZA149" s="202"/>
      <c r="EZB149" s="202"/>
      <c r="EZC149" s="203"/>
      <c r="EZD149" s="204"/>
      <c r="EZE149" s="204"/>
      <c r="EZF149" s="204"/>
      <c r="EZG149" s="205"/>
      <c r="EZH149" s="206"/>
      <c r="EZI149" s="207"/>
      <c r="EZJ149" s="207"/>
      <c r="EZK149" s="208"/>
      <c r="EZL149" s="209"/>
      <c r="EZM149" s="207"/>
      <c r="EZN149" s="210"/>
      <c r="EZO149" s="209"/>
      <c r="EZP149" s="204"/>
      <c r="EZQ149" s="204"/>
      <c r="EZR149" s="204"/>
      <c r="EZS149" s="199"/>
      <c r="EZT149" s="167"/>
      <c r="EZU149" s="199"/>
      <c r="EZV149" s="200"/>
      <c r="EZW149" s="201"/>
      <c r="EZX149" s="202"/>
      <c r="EZY149" s="202"/>
      <c r="EZZ149" s="202"/>
      <c r="FAA149" s="202"/>
      <c r="FAB149" s="203"/>
      <c r="FAC149" s="204"/>
      <c r="FAD149" s="204"/>
      <c r="FAE149" s="204"/>
      <c r="FAF149" s="205"/>
      <c r="FAG149" s="206"/>
      <c r="FAH149" s="207"/>
      <c r="FAI149" s="207"/>
      <c r="FAJ149" s="208"/>
      <c r="FAK149" s="209"/>
      <c r="FAL149" s="207"/>
      <c r="FAM149" s="210"/>
      <c r="FAN149" s="209"/>
      <c r="FAO149" s="204"/>
      <c r="FAP149" s="204"/>
      <c r="FAQ149" s="204"/>
      <c r="FAR149" s="199"/>
      <c r="FAS149" s="167"/>
      <c r="FAT149" s="199"/>
      <c r="FAU149" s="200"/>
      <c r="FAV149" s="201"/>
      <c r="FAW149" s="202"/>
      <c r="FAX149" s="202"/>
      <c r="FAY149" s="202"/>
      <c r="FAZ149" s="202"/>
      <c r="FBA149" s="203"/>
      <c r="FBB149" s="204"/>
      <c r="FBC149" s="204"/>
      <c r="FBD149" s="204"/>
      <c r="FBE149" s="205"/>
      <c r="FBF149" s="206"/>
      <c r="FBG149" s="207"/>
      <c r="FBH149" s="207"/>
      <c r="FBI149" s="208"/>
      <c r="FBJ149" s="209"/>
      <c r="FBK149" s="207"/>
      <c r="FBL149" s="210"/>
      <c r="FBM149" s="209"/>
      <c r="FBN149" s="204"/>
      <c r="FBO149" s="204"/>
      <c r="FBP149" s="204"/>
      <c r="FBQ149" s="199"/>
      <c r="FBR149" s="167"/>
      <c r="FBS149" s="199"/>
      <c r="FBT149" s="200"/>
      <c r="FBU149" s="201"/>
      <c r="FBV149" s="202"/>
      <c r="FBW149" s="202"/>
      <c r="FBX149" s="202"/>
      <c r="FBY149" s="202"/>
      <c r="FBZ149" s="203"/>
      <c r="FCA149" s="204"/>
      <c r="FCB149" s="204"/>
      <c r="FCC149" s="204"/>
      <c r="FCD149" s="205"/>
      <c r="FCE149" s="206"/>
      <c r="FCF149" s="207"/>
      <c r="FCG149" s="207"/>
      <c r="FCH149" s="208"/>
      <c r="FCI149" s="209"/>
      <c r="FCJ149" s="207"/>
      <c r="FCK149" s="210"/>
      <c r="FCL149" s="209"/>
      <c r="FCM149" s="204"/>
      <c r="FCN149" s="204"/>
      <c r="FCO149" s="204"/>
      <c r="FCP149" s="199"/>
      <c r="FCQ149" s="167"/>
      <c r="FCR149" s="199"/>
      <c r="FCS149" s="200"/>
      <c r="FCT149" s="201"/>
      <c r="FCU149" s="202"/>
      <c r="FCV149" s="202"/>
      <c r="FCW149" s="202"/>
      <c r="FCX149" s="202"/>
      <c r="FCY149" s="203"/>
      <c r="FCZ149" s="204"/>
      <c r="FDA149" s="204"/>
      <c r="FDB149" s="204"/>
      <c r="FDC149" s="205"/>
      <c r="FDD149" s="206"/>
      <c r="FDE149" s="207"/>
      <c r="FDF149" s="207"/>
      <c r="FDG149" s="208"/>
      <c r="FDH149" s="209"/>
      <c r="FDI149" s="207"/>
      <c r="FDJ149" s="210"/>
      <c r="FDK149" s="209"/>
      <c r="FDL149" s="204"/>
      <c r="FDM149" s="204"/>
      <c r="FDN149" s="204"/>
      <c r="FDO149" s="199"/>
      <c r="FDP149" s="167"/>
      <c r="FDQ149" s="199"/>
      <c r="FDR149" s="200"/>
      <c r="FDS149" s="201"/>
      <c r="FDT149" s="202"/>
      <c r="FDU149" s="202"/>
      <c r="FDV149" s="202"/>
      <c r="FDW149" s="202"/>
      <c r="FDX149" s="203"/>
      <c r="FDY149" s="204"/>
      <c r="FDZ149" s="204"/>
      <c r="FEA149" s="204"/>
      <c r="FEB149" s="205"/>
      <c r="FEC149" s="206"/>
      <c r="FED149" s="207"/>
      <c r="FEE149" s="207"/>
      <c r="FEF149" s="208"/>
      <c r="FEG149" s="209"/>
      <c r="FEH149" s="207"/>
      <c r="FEI149" s="210"/>
      <c r="FEJ149" s="209"/>
      <c r="FEK149" s="204"/>
      <c r="FEL149" s="204"/>
      <c r="FEM149" s="204"/>
      <c r="FEN149" s="199"/>
      <c r="FEO149" s="167"/>
      <c r="FEP149" s="199"/>
      <c r="FEQ149" s="200"/>
      <c r="FER149" s="201"/>
      <c r="FES149" s="202"/>
      <c r="FET149" s="202"/>
      <c r="FEU149" s="202"/>
      <c r="FEV149" s="202"/>
      <c r="FEW149" s="203"/>
      <c r="FEX149" s="204"/>
      <c r="FEY149" s="204"/>
      <c r="FEZ149" s="204"/>
      <c r="FFA149" s="205"/>
      <c r="FFB149" s="206"/>
      <c r="FFC149" s="207"/>
      <c r="FFD149" s="207"/>
      <c r="FFE149" s="208"/>
      <c r="FFF149" s="209"/>
      <c r="FFG149" s="207"/>
      <c r="FFH149" s="210"/>
      <c r="FFI149" s="209"/>
      <c r="FFJ149" s="204"/>
      <c r="FFK149" s="204"/>
      <c r="FFL149" s="204"/>
      <c r="FFM149" s="199"/>
      <c r="FFN149" s="167"/>
      <c r="FFO149" s="199"/>
      <c r="FFP149" s="200"/>
      <c r="FFQ149" s="201"/>
      <c r="FFR149" s="202"/>
      <c r="FFS149" s="202"/>
      <c r="FFT149" s="202"/>
      <c r="FFU149" s="202"/>
      <c r="FFV149" s="203"/>
      <c r="FFW149" s="204"/>
      <c r="FFX149" s="204"/>
      <c r="FFY149" s="204"/>
      <c r="FFZ149" s="205"/>
      <c r="FGA149" s="206"/>
      <c r="FGB149" s="207"/>
      <c r="FGC149" s="207"/>
      <c r="FGD149" s="208"/>
      <c r="FGE149" s="209"/>
      <c r="FGF149" s="207"/>
      <c r="FGG149" s="210"/>
      <c r="FGH149" s="209"/>
      <c r="FGI149" s="204"/>
      <c r="FGJ149" s="204"/>
      <c r="FGK149" s="204"/>
      <c r="FGL149" s="199"/>
      <c r="FGM149" s="167"/>
      <c r="FGN149" s="199"/>
      <c r="FGO149" s="200"/>
      <c r="FGP149" s="201"/>
      <c r="FGQ149" s="202"/>
      <c r="FGR149" s="202"/>
      <c r="FGS149" s="202"/>
      <c r="FGT149" s="202"/>
      <c r="FGU149" s="203"/>
      <c r="FGV149" s="204"/>
      <c r="FGW149" s="204"/>
      <c r="FGX149" s="204"/>
      <c r="FGY149" s="205"/>
      <c r="FGZ149" s="206"/>
      <c r="FHA149" s="207"/>
      <c r="FHB149" s="207"/>
      <c r="FHC149" s="208"/>
      <c r="FHD149" s="209"/>
      <c r="FHE149" s="207"/>
      <c r="FHF149" s="210"/>
      <c r="FHG149" s="209"/>
      <c r="FHH149" s="204"/>
      <c r="FHI149" s="204"/>
      <c r="FHJ149" s="204"/>
      <c r="FHK149" s="199"/>
      <c r="FHL149" s="167"/>
      <c r="FHM149" s="199"/>
      <c r="FHN149" s="200"/>
      <c r="FHO149" s="201"/>
      <c r="FHP149" s="202"/>
      <c r="FHQ149" s="202"/>
      <c r="FHR149" s="202"/>
      <c r="FHS149" s="202"/>
      <c r="FHT149" s="203"/>
      <c r="FHU149" s="204"/>
      <c r="FHV149" s="204"/>
      <c r="FHW149" s="204"/>
      <c r="FHX149" s="205"/>
      <c r="FHY149" s="206"/>
      <c r="FHZ149" s="207"/>
      <c r="FIA149" s="207"/>
      <c r="FIB149" s="208"/>
      <c r="FIC149" s="209"/>
      <c r="FID149" s="207"/>
      <c r="FIE149" s="210"/>
      <c r="FIF149" s="209"/>
      <c r="FIG149" s="204"/>
      <c r="FIH149" s="204"/>
      <c r="FII149" s="204"/>
      <c r="FIJ149" s="199"/>
      <c r="FIK149" s="167"/>
      <c r="FIL149" s="199"/>
      <c r="FIM149" s="200"/>
      <c r="FIN149" s="201"/>
      <c r="FIO149" s="202"/>
      <c r="FIP149" s="202"/>
      <c r="FIQ149" s="202"/>
      <c r="FIR149" s="202"/>
      <c r="FIS149" s="203"/>
      <c r="FIT149" s="204"/>
      <c r="FIU149" s="204"/>
      <c r="FIV149" s="204"/>
      <c r="FIW149" s="205"/>
      <c r="FIX149" s="206"/>
      <c r="FIY149" s="207"/>
      <c r="FIZ149" s="207"/>
      <c r="FJA149" s="208"/>
      <c r="FJB149" s="209"/>
      <c r="FJC149" s="207"/>
      <c r="FJD149" s="210"/>
      <c r="FJE149" s="209"/>
      <c r="FJF149" s="204"/>
      <c r="FJG149" s="204"/>
      <c r="FJH149" s="204"/>
      <c r="FJI149" s="199"/>
      <c r="FJJ149" s="167"/>
      <c r="FJK149" s="199"/>
      <c r="FJL149" s="200"/>
      <c r="FJM149" s="201"/>
      <c r="FJN149" s="202"/>
      <c r="FJO149" s="202"/>
      <c r="FJP149" s="202"/>
      <c r="FJQ149" s="202"/>
      <c r="FJR149" s="203"/>
      <c r="FJS149" s="204"/>
      <c r="FJT149" s="204"/>
      <c r="FJU149" s="204"/>
      <c r="FJV149" s="205"/>
      <c r="FJW149" s="206"/>
      <c r="FJX149" s="207"/>
      <c r="FJY149" s="207"/>
      <c r="FJZ149" s="208"/>
      <c r="FKA149" s="209"/>
      <c r="FKB149" s="207"/>
      <c r="FKC149" s="210"/>
      <c r="FKD149" s="209"/>
      <c r="FKE149" s="204"/>
      <c r="FKF149" s="204"/>
      <c r="FKG149" s="204"/>
      <c r="FKH149" s="199"/>
      <c r="FKI149" s="167"/>
      <c r="FKJ149" s="199"/>
      <c r="FKK149" s="200"/>
      <c r="FKL149" s="201"/>
      <c r="FKM149" s="202"/>
      <c r="FKN149" s="202"/>
      <c r="FKO149" s="202"/>
      <c r="FKP149" s="202"/>
      <c r="FKQ149" s="203"/>
      <c r="FKR149" s="204"/>
      <c r="FKS149" s="204"/>
      <c r="FKT149" s="204"/>
      <c r="FKU149" s="205"/>
      <c r="FKV149" s="206"/>
      <c r="FKW149" s="207"/>
      <c r="FKX149" s="207"/>
      <c r="FKY149" s="208"/>
      <c r="FKZ149" s="209"/>
      <c r="FLA149" s="207"/>
      <c r="FLB149" s="210"/>
      <c r="FLC149" s="209"/>
      <c r="FLD149" s="204"/>
      <c r="FLE149" s="204"/>
      <c r="FLF149" s="204"/>
      <c r="FLG149" s="199"/>
      <c r="FLH149" s="167"/>
      <c r="FLI149" s="199"/>
      <c r="FLJ149" s="200"/>
      <c r="FLK149" s="201"/>
      <c r="FLL149" s="202"/>
      <c r="FLM149" s="202"/>
      <c r="FLN149" s="202"/>
      <c r="FLO149" s="202"/>
      <c r="FLP149" s="203"/>
      <c r="FLQ149" s="204"/>
      <c r="FLR149" s="204"/>
      <c r="FLS149" s="204"/>
      <c r="FLT149" s="205"/>
      <c r="FLU149" s="206"/>
      <c r="FLV149" s="207"/>
      <c r="FLW149" s="207"/>
      <c r="FLX149" s="208"/>
      <c r="FLY149" s="209"/>
      <c r="FLZ149" s="207"/>
      <c r="FMA149" s="210"/>
      <c r="FMB149" s="209"/>
      <c r="FMC149" s="204"/>
      <c r="FMD149" s="204"/>
      <c r="FME149" s="204"/>
      <c r="FMF149" s="199"/>
      <c r="FMG149" s="167"/>
      <c r="FMH149" s="199"/>
      <c r="FMI149" s="200"/>
      <c r="FMJ149" s="201"/>
      <c r="FMK149" s="202"/>
      <c r="FML149" s="202"/>
      <c r="FMM149" s="202"/>
      <c r="FMN149" s="202"/>
      <c r="FMO149" s="203"/>
      <c r="FMP149" s="204"/>
      <c r="FMQ149" s="204"/>
      <c r="FMR149" s="204"/>
      <c r="FMS149" s="205"/>
      <c r="FMT149" s="206"/>
      <c r="FMU149" s="207"/>
      <c r="FMV149" s="207"/>
      <c r="FMW149" s="208"/>
      <c r="FMX149" s="209"/>
      <c r="FMY149" s="207"/>
      <c r="FMZ149" s="210"/>
      <c r="FNA149" s="209"/>
      <c r="FNB149" s="204"/>
      <c r="FNC149" s="204"/>
      <c r="FND149" s="204"/>
      <c r="FNE149" s="199"/>
      <c r="FNF149" s="167"/>
      <c r="FNG149" s="199"/>
      <c r="FNH149" s="200"/>
      <c r="FNI149" s="201"/>
      <c r="FNJ149" s="202"/>
      <c r="FNK149" s="202"/>
      <c r="FNL149" s="202"/>
      <c r="FNM149" s="202"/>
      <c r="FNN149" s="203"/>
      <c r="FNO149" s="204"/>
      <c r="FNP149" s="204"/>
      <c r="FNQ149" s="204"/>
      <c r="FNR149" s="205"/>
      <c r="FNS149" s="206"/>
      <c r="FNT149" s="207"/>
      <c r="FNU149" s="207"/>
      <c r="FNV149" s="208"/>
      <c r="FNW149" s="209"/>
      <c r="FNX149" s="207"/>
      <c r="FNY149" s="210"/>
      <c r="FNZ149" s="209"/>
      <c r="FOA149" s="204"/>
      <c r="FOB149" s="204"/>
      <c r="FOC149" s="204"/>
      <c r="FOD149" s="199"/>
      <c r="FOE149" s="167"/>
      <c r="FOF149" s="199"/>
      <c r="FOG149" s="200"/>
      <c r="FOH149" s="201"/>
      <c r="FOI149" s="202"/>
      <c r="FOJ149" s="202"/>
      <c r="FOK149" s="202"/>
      <c r="FOL149" s="202"/>
      <c r="FOM149" s="203"/>
      <c r="FON149" s="204"/>
      <c r="FOO149" s="204"/>
      <c r="FOP149" s="204"/>
      <c r="FOQ149" s="205"/>
      <c r="FOR149" s="206"/>
      <c r="FOS149" s="207"/>
      <c r="FOT149" s="207"/>
      <c r="FOU149" s="208"/>
      <c r="FOV149" s="209"/>
      <c r="FOW149" s="207"/>
      <c r="FOX149" s="210"/>
      <c r="FOY149" s="209"/>
      <c r="FOZ149" s="204"/>
      <c r="FPA149" s="204"/>
      <c r="FPB149" s="204"/>
      <c r="FPC149" s="199"/>
      <c r="FPD149" s="167"/>
      <c r="FPE149" s="199"/>
      <c r="FPF149" s="200"/>
      <c r="FPG149" s="201"/>
      <c r="FPH149" s="202"/>
      <c r="FPI149" s="202"/>
      <c r="FPJ149" s="202"/>
      <c r="FPK149" s="202"/>
      <c r="FPL149" s="203"/>
      <c r="FPM149" s="204"/>
      <c r="FPN149" s="204"/>
      <c r="FPO149" s="204"/>
      <c r="FPP149" s="205"/>
      <c r="FPQ149" s="206"/>
      <c r="FPR149" s="207"/>
      <c r="FPS149" s="207"/>
      <c r="FPT149" s="208"/>
      <c r="FPU149" s="209"/>
      <c r="FPV149" s="207"/>
      <c r="FPW149" s="210"/>
      <c r="FPX149" s="209"/>
      <c r="FPY149" s="204"/>
      <c r="FPZ149" s="204"/>
      <c r="FQA149" s="204"/>
      <c r="FQB149" s="199"/>
      <c r="FQC149" s="167"/>
      <c r="FQD149" s="199"/>
      <c r="FQE149" s="200"/>
      <c r="FQF149" s="201"/>
      <c r="FQG149" s="202"/>
      <c r="FQH149" s="202"/>
      <c r="FQI149" s="202"/>
      <c r="FQJ149" s="202"/>
      <c r="FQK149" s="203"/>
      <c r="FQL149" s="204"/>
      <c r="FQM149" s="204"/>
      <c r="FQN149" s="204"/>
      <c r="FQO149" s="205"/>
      <c r="FQP149" s="206"/>
      <c r="FQQ149" s="207"/>
      <c r="FQR149" s="207"/>
      <c r="FQS149" s="208"/>
      <c r="FQT149" s="209"/>
      <c r="FQU149" s="207"/>
      <c r="FQV149" s="210"/>
      <c r="FQW149" s="209"/>
      <c r="FQX149" s="204"/>
      <c r="FQY149" s="204"/>
      <c r="FQZ149" s="204"/>
      <c r="FRA149" s="199"/>
      <c r="FRB149" s="167"/>
      <c r="FRC149" s="199"/>
      <c r="FRD149" s="200"/>
      <c r="FRE149" s="201"/>
      <c r="FRF149" s="202"/>
      <c r="FRG149" s="202"/>
      <c r="FRH149" s="202"/>
      <c r="FRI149" s="202"/>
      <c r="FRJ149" s="203"/>
      <c r="FRK149" s="204"/>
      <c r="FRL149" s="204"/>
      <c r="FRM149" s="204"/>
      <c r="FRN149" s="205"/>
      <c r="FRO149" s="206"/>
      <c r="FRP149" s="207"/>
      <c r="FRQ149" s="207"/>
      <c r="FRR149" s="208"/>
      <c r="FRS149" s="209"/>
      <c r="FRT149" s="207"/>
      <c r="FRU149" s="210"/>
      <c r="FRV149" s="209"/>
      <c r="FRW149" s="204"/>
      <c r="FRX149" s="204"/>
      <c r="FRY149" s="204"/>
      <c r="FRZ149" s="199"/>
      <c r="FSA149" s="167"/>
      <c r="FSB149" s="199"/>
      <c r="FSC149" s="200"/>
      <c r="FSD149" s="201"/>
      <c r="FSE149" s="202"/>
      <c r="FSF149" s="202"/>
      <c r="FSG149" s="202"/>
      <c r="FSH149" s="202"/>
      <c r="FSI149" s="203"/>
      <c r="FSJ149" s="204"/>
      <c r="FSK149" s="204"/>
      <c r="FSL149" s="204"/>
      <c r="FSM149" s="205"/>
      <c r="FSN149" s="206"/>
      <c r="FSO149" s="207"/>
      <c r="FSP149" s="207"/>
      <c r="FSQ149" s="208"/>
      <c r="FSR149" s="209"/>
      <c r="FSS149" s="207"/>
      <c r="FST149" s="210"/>
      <c r="FSU149" s="209"/>
      <c r="FSV149" s="204"/>
      <c r="FSW149" s="204"/>
      <c r="FSX149" s="204"/>
      <c r="FSY149" s="199"/>
      <c r="FSZ149" s="167"/>
      <c r="FTA149" s="199"/>
      <c r="FTB149" s="200"/>
      <c r="FTC149" s="201"/>
      <c r="FTD149" s="202"/>
      <c r="FTE149" s="202"/>
      <c r="FTF149" s="202"/>
      <c r="FTG149" s="202"/>
      <c r="FTH149" s="203"/>
      <c r="FTI149" s="204"/>
      <c r="FTJ149" s="204"/>
      <c r="FTK149" s="204"/>
      <c r="FTL149" s="205"/>
      <c r="FTM149" s="206"/>
      <c r="FTN149" s="207"/>
      <c r="FTO149" s="207"/>
      <c r="FTP149" s="208"/>
      <c r="FTQ149" s="209"/>
      <c r="FTR149" s="207"/>
      <c r="FTS149" s="210"/>
      <c r="FTT149" s="209"/>
      <c r="FTU149" s="204"/>
      <c r="FTV149" s="204"/>
      <c r="FTW149" s="204"/>
      <c r="FTX149" s="199"/>
      <c r="FTY149" s="167"/>
      <c r="FTZ149" s="199"/>
      <c r="FUA149" s="200"/>
      <c r="FUB149" s="201"/>
      <c r="FUC149" s="202"/>
      <c r="FUD149" s="202"/>
      <c r="FUE149" s="202"/>
      <c r="FUF149" s="202"/>
      <c r="FUG149" s="203"/>
      <c r="FUH149" s="204"/>
      <c r="FUI149" s="204"/>
      <c r="FUJ149" s="204"/>
      <c r="FUK149" s="205"/>
      <c r="FUL149" s="206"/>
      <c r="FUM149" s="207"/>
      <c r="FUN149" s="207"/>
      <c r="FUO149" s="208"/>
      <c r="FUP149" s="209"/>
      <c r="FUQ149" s="207"/>
      <c r="FUR149" s="210"/>
      <c r="FUS149" s="209"/>
      <c r="FUT149" s="204"/>
      <c r="FUU149" s="204"/>
      <c r="FUV149" s="204"/>
      <c r="FUW149" s="199"/>
      <c r="FUX149" s="167"/>
      <c r="FUY149" s="199"/>
      <c r="FUZ149" s="200"/>
      <c r="FVA149" s="201"/>
      <c r="FVB149" s="202"/>
      <c r="FVC149" s="202"/>
      <c r="FVD149" s="202"/>
      <c r="FVE149" s="202"/>
      <c r="FVF149" s="203"/>
      <c r="FVG149" s="204"/>
      <c r="FVH149" s="204"/>
      <c r="FVI149" s="204"/>
      <c r="FVJ149" s="205"/>
      <c r="FVK149" s="206"/>
      <c r="FVL149" s="207"/>
      <c r="FVM149" s="207"/>
      <c r="FVN149" s="208"/>
      <c r="FVO149" s="209"/>
      <c r="FVP149" s="207"/>
      <c r="FVQ149" s="210"/>
      <c r="FVR149" s="209"/>
      <c r="FVS149" s="204"/>
      <c r="FVT149" s="204"/>
      <c r="FVU149" s="204"/>
      <c r="FVV149" s="199"/>
      <c r="FVW149" s="167"/>
      <c r="FVX149" s="199"/>
      <c r="FVY149" s="200"/>
      <c r="FVZ149" s="201"/>
      <c r="FWA149" s="202"/>
      <c r="FWB149" s="202"/>
      <c r="FWC149" s="202"/>
      <c r="FWD149" s="202"/>
      <c r="FWE149" s="203"/>
      <c r="FWF149" s="204"/>
      <c r="FWG149" s="204"/>
      <c r="FWH149" s="204"/>
      <c r="FWI149" s="205"/>
      <c r="FWJ149" s="206"/>
      <c r="FWK149" s="207"/>
      <c r="FWL149" s="207"/>
      <c r="FWM149" s="208"/>
      <c r="FWN149" s="209"/>
      <c r="FWO149" s="207"/>
      <c r="FWP149" s="210"/>
      <c r="FWQ149" s="209"/>
      <c r="FWR149" s="204"/>
      <c r="FWS149" s="204"/>
      <c r="FWT149" s="204"/>
      <c r="FWU149" s="199"/>
      <c r="FWV149" s="167"/>
      <c r="FWW149" s="199"/>
      <c r="FWX149" s="200"/>
      <c r="FWY149" s="201"/>
      <c r="FWZ149" s="202"/>
      <c r="FXA149" s="202"/>
      <c r="FXB149" s="202"/>
      <c r="FXC149" s="202"/>
      <c r="FXD149" s="203"/>
      <c r="FXE149" s="204"/>
      <c r="FXF149" s="204"/>
      <c r="FXG149" s="204"/>
      <c r="FXH149" s="205"/>
      <c r="FXI149" s="206"/>
      <c r="FXJ149" s="207"/>
      <c r="FXK149" s="207"/>
      <c r="FXL149" s="208"/>
      <c r="FXM149" s="209"/>
      <c r="FXN149" s="207"/>
      <c r="FXO149" s="210"/>
      <c r="FXP149" s="209"/>
      <c r="FXQ149" s="204"/>
      <c r="FXR149" s="204"/>
      <c r="FXS149" s="204"/>
      <c r="FXT149" s="199"/>
      <c r="FXU149" s="167"/>
      <c r="FXV149" s="199"/>
      <c r="FXW149" s="200"/>
      <c r="FXX149" s="201"/>
      <c r="FXY149" s="202"/>
      <c r="FXZ149" s="202"/>
      <c r="FYA149" s="202"/>
      <c r="FYB149" s="202"/>
      <c r="FYC149" s="203"/>
      <c r="FYD149" s="204"/>
      <c r="FYE149" s="204"/>
      <c r="FYF149" s="204"/>
      <c r="FYG149" s="205"/>
      <c r="FYH149" s="206"/>
      <c r="FYI149" s="207"/>
      <c r="FYJ149" s="207"/>
      <c r="FYK149" s="208"/>
      <c r="FYL149" s="209"/>
      <c r="FYM149" s="207"/>
      <c r="FYN149" s="210"/>
      <c r="FYO149" s="209"/>
      <c r="FYP149" s="204"/>
      <c r="FYQ149" s="204"/>
      <c r="FYR149" s="204"/>
      <c r="FYS149" s="199"/>
      <c r="FYT149" s="167"/>
      <c r="FYU149" s="199"/>
      <c r="FYV149" s="200"/>
      <c r="FYW149" s="201"/>
      <c r="FYX149" s="202"/>
      <c r="FYY149" s="202"/>
      <c r="FYZ149" s="202"/>
      <c r="FZA149" s="202"/>
      <c r="FZB149" s="203"/>
      <c r="FZC149" s="204"/>
      <c r="FZD149" s="204"/>
      <c r="FZE149" s="204"/>
      <c r="FZF149" s="205"/>
      <c r="FZG149" s="206"/>
      <c r="FZH149" s="207"/>
      <c r="FZI149" s="207"/>
      <c r="FZJ149" s="208"/>
      <c r="FZK149" s="209"/>
      <c r="FZL149" s="207"/>
      <c r="FZM149" s="210"/>
      <c r="FZN149" s="209"/>
      <c r="FZO149" s="204"/>
      <c r="FZP149" s="204"/>
      <c r="FZQ149" s="204"/>
      <c r="FZR149" s="199"/>
      <c r="FZS149" s="167"/>
      <c r="FZT149" s="199"/>
      <c r="FZU149" s="200"/>
      <c r="FZV149" s="201"/>
      <c r="FZW149" s="202"/>
      <c r="FZX149" s="202"/>
      <c r="FZY149" s="202"/>
      <c r="FZZ149" s="202"/>
      <c r="GAA149" s="203"/>
      <c r="GAB149" s="204"/>
      <c r="GAC149" s="204"/>
      <c r="GAD149" s="204"/>
      <c r="GAE149" s="205"/>
      <c r="GAF149" s="206"/>
      <c r="GAG149" s="207"/>
      <c r="GAH149" s="207"/>
      <c r="GAI149" s="208"/>
      <c r="GAJ149" s="209"/>
      <c r="GAK149" s="207"/>
      <c r="GAL149" s="210"/>
      <c r="GAM149" s="209"/>
      <c r="GAN149" s="204"/>
      <c r="GAO149" s="204"/>
      <c r="GAP149" s="204"/>
      <c r="GAQ149" s="199"/>
      <c r="GAR149" s="167"/>
      <c r="GAS149" s="199"/>
      <c r="GAT149" s="200"/>
      <c r="GAU149" s="201"/>
      <c r="GAV149" s="202"/>
      <c r="GAW149" s="202"/>
      <c r="GAX149" s="202"/>
      <c r="GAY149" s="202"/>
      <c r="GAZ149" s="203"/>
      <c r="GBA149" s="204"/>
      <c r="GBB149" s="204"/>
      <c r="GBC149" s="204"/>
      <c r="GBD149" s="205"/>
      <c r="GBE149" s="206"/>
      <c r="GBF149" s="207"/>
      <c r="GBG149" s="207"/>
      <c r="GBH149" s="208"/>
      <c r="GBI149" s="209"/>
      <c r="GBJ149" s="207"/>
      <c r="GBK149" s="210"/>
      <c r="GBL149" s="209"/>
      <c r="GBM149" s="204"/>
      <c r="GBN149" s="204"/>
      <c r="GBO149" s="204"/>
      <c r="GBP149" s="199"/>
      <c r="GBQ149" s="167"/>
      <c r="GBR149" s="199"/>
      <c r="GBS149" s="200"/>
      <c r="GBT149" s="201"/>
      <c r="GBU149" s="202"/>
      <c r="GBV149" s="202"/>
      <c r="GBW149" s="202"/>
      <c r="GBX149" s="202"/>
      <c r="GBY149" s="203"/>
      <c r="GBZ149" s="204"/>
      <c r="GCA149" s="204"/>
      <c r="GCB149" s="204"/>
      <c r="GCC149" s="205"/>
      <c r="GCD149" s="206"/>
      <c r="GCE149" s="207"/>
      <c r="GCF149" s="207"/>
      <c r="GCG149" s="208"/>
      <c r="GCH149" s="209"/>
      <c r="GCI149" s="207"/>
      <c r="GCJ149" s="210"/>
      <c r="GCK149" s="209"/>
      <c r="GCL149" s="204"/>
      <c r="GCM149" s="204"/>
      <c r="GCN149" s="204"/>
      <c r="GCO149" s="199"/>
      <c r="GCP149" s="167"/>
      <c r="GCQ149" s="199"/>
      <c r="GCR149" s="200"/>
      <c r="GCS149" s="201"/>
      <c r="GCT149" s="202"/>
      <c r="GCU149" s="202"/>
      <c r="GCV149" s="202"/>
      <c r="GCW149" s="202"/>
      <c r="GCX149" s="203"/>
      <c r="GCY149" s="204"/>
      <c r="GCZ149" s="204"/>
      <c r="GDA149" s="204"/>
      <c r="GDB149" s="205"/>
      <c r="GDC149" s="206"/>
      <c r="GDD149" s="207"/>
      <c r="GDE149" s="207"/>
      <c r="GDF149" s="208"/>
      <c r="GDG149" s="209"/>
      <c r="GDH149" s="207"/>
      <c r="GDI149" s="210"/>
      <c r="GDJ149" s="209"/>
      <c r="GDK149" s="204"/>
      <c r="GDL149" s="204"/>
      <c r="GDM149" s="204"/>
      <c r="GDN149" s="199"/>
      <c r="GDO149" s="167"/>
      <c r="GDP149" s="199"/>
      <c r="GDQ149" s="200"/>
      <c r="GDR149" s="201"/>
      <c r="GDS149" s="202"/>
      <c r="GDT149" s="202"/>
      <c r="GDU149" s="202"/>
      <c r="GDV149" s="202"/>
      <c r="GDW149" s="203"/>
      <c r="GDX149" s="204"/>
      <c r="GDY149" s="204"/>
      <c r="GDZ149" s="204"/>
      <c r="GEA149" s="205"/>
      <c r="GEB149" s="206"/>
      <c r="GEC149" s="207"/>
      <c r="GED149" s="207"/>
      <c r="GEE149" s="208"/>
      <c r="GEF149" s="209"/>
      <c r="GEG149" s="207"/>
      <c r="GEH149" s="210"/>
      <c r="GEI149" s="209"/>
      <c r="GEJ149" s="204"/>
      <c r="GEK149" s="204"/>
      <c r="GEL149" s="204"/>
      <c r="GEM149" s="199"/>
      <c r="GEN149" s="167"/>
      <c r="GEO149" s="199"/>
      <c r="GEP149" s="200"/>
      <c r="GEQ149" s="201"/>
      <c r="GER149" s="202"/>
      <c r="GES149" s="202"/>
      <c r="GET149" s="202"/>
      <c r="GEU149" s="202"/>
      <c r="GEV149" s="203"/>
      <c r="GEW149" s="204"/>
      <c r="GEX149" s="204"/>
      <c r="GEY149" s="204"/>
      <c r="GEZ149" s="205"/>
      <c r="GFA149" s="206"/>
      <c r="GFB149" s="207"/>
      <c r="GFC149" s="207"/>
      <c r="GFD149" s="208"/>
      <c r="GFE149" s="209"/>
      <c r="GFF149" s="207"/>
      <c r="GFG149" s="210"/>
      <c r="GFH149" s="209"/>
      <c r="GFI149" s="204"/>
      <c r="GFJ149" s="204"/>
      <c r="GFK149" s="204"/>
      <c r="GFL149" s="199"/>
      <c r="GFM149" s="167"/>
      <c r="GFN149" s="199"/>
      <c r="GFO149" s="200"/>
      <c r="GFP149" s="201"/>
      <c r="GFQ149" s="202"/>
      <c r="GFR149" s="202"/>
      <c r="GFS149" s="202"/>
      <c r="GFT149" s="202"/>
      <c r="GFU149" s="203"/>
      <c r="GFV149" s="204"/>
      <c r="GFW149" s="204"/>
      <c r="GFX149" s="204"/>
      <c r="GFY149" s="205"/>
      <c r="GFZ149" s="206"/>
      <c r="GGA149" s="207"/>
      <c r="GGB149" s="207"/>
      <c r="GGC149" s="208"/>
      <c r="GGD149" s="209"/>
      <c r="GGE149" s="207"/>
      <c r="GGF149" s="210"/>
      <c r="GGG149" s="209"/>
      <c r="GGH149" s="204"/>
      <c r="GGI149" s="204"/>
      <c r="GGJ149" s="204"/>
      <c r="GGK149" s="199"/>
      <c r="GGL149" s="167"/>
      <c r="GGM149" s="199"/>
      <c r="GGN149" s="200"/>
      <c r="GGO149" s="201"/>
      <c r="GGP149" s="202"/>
      <c r="GGQ149" s="202"/>
      <c r="GGR149" s="202"/>
      <c r="GGS149" s="202"/>
      <c r="GGT149" s="203"/>
      <c r="GGU149" s="204"/>
      <c r="GGV149" s="204"/>
      <c r="GGW149" s="204"/>
      <c r="GGX149" s="205"/>
      <c r="GGY149" s="206"/>
      <c r="GGZ149" s="207"/>
      <c r="GHA149" s="207"/>
      <c r="GHB149" s="208"/>
      <c r="GHC149" s="209"/>
      <c r="GHD149" s="207"/>
      <c r="GHE149" s="210"/>
      <c r="GHF149" s="209"/>
      <c r="GHG149" s="204"/>
      <c r="GHH149" s="204"/>
      <c r="GHI149" s="204"/>
      <c r="GHJ149" s="199"/>
      <c r="GHK149" s="167"/>
      <c r="GHL149" s="199"/>
      <c r="GHM149" s="200"/>
      <c r="GHN149" s="201"/>
      <c r="GHO149" s="202"/>
      <c r="GHP149" s="202"/>
      <c r="GHQ149" s="202"/>
      <c r="GHR149" s="202"/>
      <c r="GHS149" s="203"/>
      <c r="GHT149" s="204"/>
      <c r="GHU149" s="204"/>
      <c r="GHV149" s="204"/>
      <c r="GHW149" s="205"/>
      <c r="GHX149" s="206"/>
      <c r="GHY149" s="207"/>
      <c r="GHZ149" s="207"/>
      <c r="GIA149" s="208"/>
      <c r="GIB149" s="209"/>
      <c r="GIC149" s="207"/>
      <c r="GID149" s="210"/>
      <c r="GIE149" s="209"/>
      <c r="GIF149" s="204"/>
      <c r="GIG149" s="204"/>
      <c r="GIH149" s="204"/>
      <c r="GII149" s="199"/>
      <c r="GIJ149" s="167"/>
      <c r="GIK149" s="199"/>
      <c r="GIL149" s="200"/>
      <c r="GIM149" s="201"/>
      <c r="GIN149" s="202"/>
      <c r="GIO149" s="202"/>
      <c r="GIP149" s="202"/>
      <c r="GIQ149" s="202"/>
      <c r="GIR149" s="203"/>
      <c r="GIS149" s="204"/>
      <c r="GIT149" s="204"/>
      <c r="GIU149" s="204"/>
      <c r="GIV149" s="205"/>
      <c r="GIW149" s="206"/>
      <c r="GIX149" s="207"/>
      <c r="GIY149" s="207"/>
      <c r="GIZ149" s="208"/>
      <c r="GJA149" s="209"/>
      <c r="GJB149" s="207"/>
      <c r="GJC149" s="210"/>
      <c r="GJD149" s="209"/>
      <c r="GJE149" s="204"/>
      <c r="GJF149" s="204"/>
      <c r="GJG149" s="204"/>
      <c r="GJH149" s="199"/>
      <c r="GJI149" s="167"/>
      <c r="GJJ149" s="199"/>
      <c r="GJK149" s="200"/>
      <c r="GJL149" s="201"/>
      <c r="GJM149" s="202"/>
      <c r="GJN149" s="202"/>
      <c r="GJO149" s="202"/>
      <c r="GJP149" s="202"/>
      <c r="GJQ149" s="203"/>
      <c r="GJR149" s="204"/>
      <c r="GJS149" s="204"/>
      <c r="GJT149" s="204"/>
      <c r="GJU149" s="205"/>
      <c r="GJV149" s="206"/>
      <c r="GJW149" s="207"/>
      <c r="GJX149" s="207"/>
      <c r="GJY149" s="208"/>
      <c r="GJZ149" s="209"/>
      <c r="GKA149" s="207"/>
      <c r="GKB149" s="210"/>
      <c r="GKC149" s="209"/>
      <c r="GKD149" s="204"/>
      <c r="GKE149" s="204"/>
      <c r="GKF149" s="204"/>
      <c r="GKG149" s="199"/>
      <c r="GKH149" s="167"/>
      <c r="GKI149" s="199"/>
      <c r="GKJ149" s="200"/>
      <c r="GKK149" s="201"/>
      <c r="GKL149" s="202"/>
      <c r="GKM149" s="202"/>
      <c r="GKN149" s="202"/>
      <c r="GKO149" s="202"/>
      <c r="GKP149" s="203"/>
      <c r="GKQ149" s="204"/>
      <c r="GKR149" s="204"/>
      <c r="GKS149" s="204"/>
      <c r="GKT149" s="205"/>
      <c r="GKU149" s="206"/>
      <c r="GKV149" s="207"/>
      <c r="GKW149" s="207"/>
      <c r="GKX149" s="208"/>
      <c r="GKY149" s="209"/>
      <c r="GKZ149" s="207"/>
      <c r="GLA149" s="210"/>
      <c r="GLB149" s="209"/>
      <c r="GLC149" s="204"/>
      <c r="GLD149" s="204"/>
      <c r="GLE149" s="204"/>
      <c r="GLF149" s="199"/>
      <c r="GLG149" s="167"/>
      <c r="GLH149" s="199"/>
      <c r="GLI149" s="200"/>
      <c r="GLJ149" s="201"/>
      <c r="GLK149" s="202"/>
      <c r="GLL149" s="202"/>
      <c r="GLM149" s="202"/>
      <c r="GLN149" s="202"/>
      <c r="GLO149" s="203"/>
      <c r="GLP149" s="204"/>
      <c r="GLQ149" s="204"/>
      <c r="GLR149" s="204"/>
      <c r="GLS149" s="205"/>
      <c r="GLT149" s="206"/>
      <c r="GLU149" s="207"/>
      <c r="GLV149" s="207"/>
      <c r="GLW149" s="208"/>
      <c r="GLX149" s="209"/>
      <c r="GLY149" s="207"/>
      <c r="GLZ149" s="210"/>
      <c r="GMA149" s="209"/>
      <c r="GMB149" s="204"/>
      <c r="GMC149" s="204"/>
      <c r="GMD149" s="204"/>
      <c r="GME149" s="199"/>
      <c r="GMF149" s="167"/>
      <c r="GMG149" s="199"/>
      <c r="GMH149" s="200"/>
      <c r="GMI149" s="201"/>
      <c r="GMJ149" s="202"/>
      <c r="GMK149" s="202"/>
      <c r="GML149" s="202"/>
      <c r="GMM149" s="202"/>
      <c r="GMN149" s="203"/>
      <c r="GMO149" s="204"/>
      <c r="GMP149" s="204"/>
      <c r="GMQ149" s="204"/>
      <c r="GMR149" s="205"/>
      <c r="GMS149" s="206"/>
      <c r="GMT149" s="207"/>
      <c r="GMU149" s="207"/>
      <c r="GMV149" s="208"/>
      <c r="GMW149" s="209"/>
      <c r="GMX149" s="207"/>
      <c r="GMY149" s="210"/>
      <c r="GMZ149" s="209"/>
      <c r="GNA149" s="204"/>
      <c r="GNB149" s="204"/>
      <c r="GNC149" s="204"/>
      <c r="GND149" s="199"/>
      <c r="GNE149" s="167"/>
      <c r="GNF149" s="199"/>
      <c r="GNG149" s="200"/>
      <c r="GNH149" s="201"/>
      <c r="GNI149" s="202"/>
      <c r="GNJ149" s="202"/>
      <c r="GNK149" s="202"/>
      <c r="GNL149" s="202"/>
      <c r="GNM149" s="203"/>
      <c r="GNN149" s="204"/>
      <c r="GNO149" s="204"/>
      <c r="GNP149" s="204"/>
      <c r="GNQ149" s="205"/>
      <c r="GNR149" s="206"/>
      <c r="GNS149" s="207"/>
      <c r="GNT149" s="207"/>
      <c r="GNU149" s="208"/>
      <c r="GNV149" s="209"/>
      <c r="GNW149" s="207"/>
      <c r="GNX149" s="210"/>
      <c r="GNY149" s="209"/>
      <c r="GNZ149" s="204"/>
      <c r="GOA149" s="204"/>
      <c r="GOB149" s="204"/>
      <c r="GOC149" s="199"/>
      <c r="GOD149" s="167"/>
      <c r="GOE149" s="199"/>
      <c r="GOF149" s="200"/>
      <c r="GOG149" s="201"/>
      <c r="GOH149" s="202"/>
      <c r="GOI149" s="202"/>
      <c r="GOJ149" s="202"/>
      <c r="GOK149" s="202"/>
      <c r="GOL149" s="203"/>
      <c r="GOM149" s="204"/>
      <c r="GON149" s="204"/>
      <c r="GOO149" s="204"/>
      <c r="GOP149" s="205"/>
      <c r="GOQ149" s="206"/>
      <c r="GOR149" s="207"/>
      <c r="GOS149" s="207"/>
      <c r="GOT149" s="208"/>
      <c r="GOU149" s="209"/>
      <c r="GOV149" s="207"/>
      <c r="GOW149" s="210"/>
      <c r="GOX149" s="209"/>
      <c r="GOY149" s="204"/>
      <c r="GOZ149" s="204"/>
      <c r="GPA149" s="204"/>
      <c r="GPB149" s="199"/>
      <c r="GPC149" s="167"/>
      <c r="GPD149" s="199"/>
      <c r="GPE149" s="200"/>
      <c r="GPF149" s="201"/>
      <c r="GPG149" s="202"/>
      <c r="GPH149" s="202"/>
      <c r="GPI149" s="202"/>
      <c r="GPJ149" s="202"/>
      <c r="GPK149" s="203"/>
      <c r="GPL149" s="204"/>
      <c r="GPM149" s="204"/>
      <c r="GPN149" s="204"/>
      <c r="GPO149" s="205"/>
      <c r="GPP149" s="206"/>
      <c r="GPQ149" s="207"/>
      <c r="GPR149" s="207"/>
      <c r="GPS149" s="208"/>
      <c r="GPT149" s="209"/>
      <c r="GPU149" s="207"/>
      <c r="GPV149" s="210"/>
      <c r="GPW149" s="209"/>
      <c r="GPX149" s="204"/>
      <c r="GPY149" s="204"/>
      <c r="GPZ149" s="204"/>
      <c r="GQA149" s="199"/>
      <c r="GQB149" s="167"/>
      <c r="GQC149" s="199"/>
      <c r="GQD149" s="200"/>
      <c r="GQE149" s="201"/>
      <c r="GQF149" s="202"/>
      <c r="GQG149" s="202"/>
      <c r="GQH149" s="202"/>
      <c r="GQI149" s="202"/>
      <c r="GQJ149" s="203"/>
      <c r="GQK149" s="204"/>
      <c r="GQL149" s="204"/>
      <c r="GQM149" s="204"/>
      <c r="GQN149" s="205"/>
      <c r="GQO149" s="206"/>
      <c r="GQP149" s="207"/>
      <c r="GQQ149" s="207"/>
      <c r="GQR149" s="208"/>
      <c r="GQS149" s="209"/>
      <c r="GQT149" s="207"/>
      <c r="GQU149" s="210"/>
      <c r="GQV149" s="209"/>
      <c r="GQW149" s="204"/>
      <c r="GQX149" s="204"/>
      <c r="GQY149" s="204"/>
      <c r="GQZ149" s="199"/>
      <c r="GRA149" s="167"/>
      <c r="GRB149" s="199"/>
      <c r="GRC149" s="200"/>
      <c r="GRD149" s="201"/>
      <c r="GRE149" s="202"/>
      <c r="GRF149" s="202"/>
      <c r="GRG149" s="202"/>
      <c r="GRH149" s="202"/>
      <c r="GRI149" s="203"/>
      <c r="GRJ149" s="204"/>
      <c r="GRK149" s="204"/>
      <c r="GRL149" s="204"/>
      <c r="GRM149" s="205"/>
      <c r="GRN149" s="206"/>
      <c r="GRO149" s="207"/>
      <c r="GRP149" s="207"/>
      <c r="GRQ149" s="208"/>
      <c r="GRR149" s="209"/>
      <c r="GRS149" s="207"/>
      <c r="GRT149" s="210"/>
      <c r="GRU149" s="209"/>
      <c r="GRV149" s="204"/>
      <c r="GRW149" s="204"/>
      <c r="GRX149" s="204"/>
      <c r="GRY149" s="199"/>
      <c r="GRZ149" s="167"/>
      <c r="GSA149" s="199"/>
      <c r="GSB149" s="200"/>
      <c r="GSC149" s="201"/>
      <c r="GSD149" s="202"/>
      <c r="GSE149" s="202"/>
      <c r="GSF149" s="202"/>
      <c r="GSG149" s="202"/>
      <c r="GSH149" s="203"/>
      <c r="GSI149" s="204"/>
      <c r="GSJ149" s="204"/>
      <c r="GSK149" s="204"/>
      <c r="GSL149" s="205"/>
      <c r="GSM149" s="206"/>
      <c r="GSN149" s="207"/>
      <c r="GSO149" s="207"/>
      <c r="GSP149" s="208"/>
      <c r="GSQ149" s="209"/>
      <c r="GSR149" s="207"/>
      <c r="GSS149" s="210"/>
      <c r="GST149" s="209"/>
      <c r="GSU149" s="204"/>
      <c r="GSV149" s="204"/>
      <c r="GSW149" s="204"/>
      <c r="GSX149" s="199"/>
      <c r="GSY149" s="167"/>
      <c r="GSZ149" s="199"/>
      <c r="GTA149" s="200"/>
      <c r="GTB149" s="201"/>
      <c r="GTC149" s="202"/>
      <c r="GTD149" s="202"/>
      <c r="GTE149" s="202"/>
      <c r="GTF149" s="202"/>
      <c r="GTG149" s="203"/>
      <c r="GTH149" s="204"/>
      <c r="GTI149" s="204"/>
      <c r="GTJ149" s="204"/>
      <c r="GTK149" s="205"/>
      <c r="GTL149" s="206"/>
      <c r="GTM149" s="207"/>
      <c r="GTN149" s="207"/>
      <c r="GTO149" s="208"/>
      <c r="GTP149" s="209"/>
      <c r="GTQ149" s="207"/>
      <c r="GTR149" s="210"/>
      <c r="GTS149" s="209"/>
      <c r="GTT149" s="204"/>
      <c r="GTU149" s="204"/>
      <c r="GTV149" s="204"/>
      <c r="GTW149" s="199"/>
      <c r="GTX149" s="167"/>
      <c r="GTY149" s="199"/>
      <c r="GTZ149" s="200"/>
      <c r="GUA149" s="201"/>
      <c r="GUB149" s="202"/>
      <c r="GUC149" s="202"/>
      <c r="GUD149" s="202"/>
      <c r="GUE149" s="202"/>
      <c r="GUF149" s="203"/>
      <c r="GUG149" s="204"/>
      <c r="GUH149" s="204"/>
      <c r="GUI149" s="204"/>
      <c r="GUJ149" s="205"/>
      <c r="GUK149" s="206"/>
      <c r="GUL149" s="207"/>
      <c r="GUM149" s="207"/>
      <c r="GUN149" s="208"/>
      <c r="GUO149" s="209"/>
      <c r="GUP149" s="207"/>
      <c r="GUQ149" s="210"/>
      <c r="GUR149" s="209"/>
      <c r="GUS149" s="204"/>
      <c r="GUT149" s="204"/>
      <c r="GUU149" s="204"/>
      <c r="GUV149" s="199"/>
      <c r="GUW149" s="167"/>
      <c r="GUX149" s="199"/>
      <c r="GUY149" s="200"/>
      <c r="GUZ149" s="201"/>
      <c r="GVA149" s="202"/>
      <c r="GVB149" s="202"/>
      <c r="GVC149" s="202"/>
      <c r="GVD149" s="202"/>
      <c r="GVE149" s="203"/>
      <c r="GVF149" s="204"/>
      <c r="GVG149" s="204"/>
      <c r="GVH149" s="204"/>
      <c r="GVI149" s="205"/>
      <c r="GVJ149" s="206"/>
      <c r="GVK149" s="207"/>
      <c r="GVL149" s="207"/>
      <c r="GVM149" s="208"/>
      <c r="GVN149" s="209"/>
      <c r="GVO149" s="207"/>
      <c r="GVP149" s="210"/>
      <c r="GVQ149" s="209"/>
      <c r="GVR149" s="204"/>
      <c r="GVS149" s="204"/>
      <c r="GVT149" s="204"/>
      <c r="GVU149" s="199"/>
      <c r="GVV149" s="167"/>
      <c r="GVW149" s="199"/>
      <c r="GVX149" s="200"/>
      <c r="GVY149" s="201"/>
      <c r="GVZ149" s="202"/>
      <c r="GWA149" s="202"/>
      <c r="GWB149" s="202"/>
      <c r="GWC149" s="202"/>
      <c r="GWD149" s="203"/>
      <c r="GWE149" s="204"/>
      <c r="GWF149" s="204"/>
      <c r="GWG149" s="204"/>
      <c r="GWH149" s="205"/>
      <c r="GWI149" s="206"/>
      <c r="GWJ149" s="207"/>
      <c r="GWK149" s="207"/>
      <c r="GWL149" s="208"/>
      <c r="GWM149" s="209"/>
      <c r="GWN149" s="207"/>
      <c r="GWO149" s="210"/>
      <c r="GWP149" s="209"/>
      <c r="GWQ149" s="204"/>
      <c r="GWR149" s="204"/>
      <c r="GWS149" s="204"/>
      <c r="GWT149" s="199"/>
      <c r="GWU149" s="167"/>
      <c r="GWV149" s="199"/>
      <c r="GWW149" s="200"/>
      <c r="GWX149" s="201"/>
      <c r="GWY149" s="202"/>
      <c r="GWZ149" s="202"/>
      <c r="GXA149" s="202"/>
      <c r="GXB149" s="202"/>
      <c r="GXC149" s="203"/>
      <c r="GXD149" s="204"/>
      <c r="GXE149" s="204"/>
      <c r="GXF149" s="204"/>
      <c r="GXG149" s="205"/>
      <c r="GXH149" s="206"/>
      <c r="GXI149" s="207"/>
      <c r="GXJ149" s="207"/>
      <c r="GXK149" s="208"/>
      <c r="GXL149" s="209"/>
      <c r="GXM149" s="207"/>
      <c r="GXN149" s="210"/>
      <c r="GXO149" s="209"/>
      <c r="GXP149" s="204"/>
      <c r="GXQ149" s="204"/>
      <c r="GXR149" s="204"/>
      <c r="GXS149" s="199"/>
      <c r="GXT149" s="167"/>
      <c r="GXU149" s="199"/>
      <c r="GXV149" s="200"/>
      <c r="GXW149" s="201"/>
      <c r="GXX149" s="202"/>
      <c r="GXY149" s="202"/>
      <c r="GXZ149" s="202"/>
      <c r="GYA149" s="202"/>
      <c r="GYB149" s="203"/>
      <c r="GYC149" s="204"/>
      <c r="GYD149" s="204"/>
      <c r="GYE149" s="204"/>
      <c r="GYF149" s="205"/>
      <c r="GYG149" s="206"/>
      <c r="GYH149" s="207"/>
      <c r="GYI149" s="207"/>
      <c r="GYJ149" s="208"/>
      <c r="GYK149" s="209"/>
      <c r="GYL149" s="207"/>
      <c r="GYM149" s="210"/>
      <c r="GYN149" s="209"/>
      <c r="GYO149" s="204"/>
      <c r="GYP149" s="204"/>
      <c r="GYQ149" s="204"/>
      <c r="GYR149" s="199"/>
      <c r="GYS149" s="167"/>
      <c r="GYT149" s="199"/>
      <c r="GYU149" s="200"/>
      <c r="GYV149" s="201"/>
      <c r="GYW149" s="202"/>
      <c r="GYX149" s="202"/>
      <c r="GYY149" s="202"/>
      <c r="GYZ149" s="202"/>
      <c r="GZA149" s="203"/>
      <c r="GZB149" s="204"/>
      <c r="GZC149" s="204"/>
      <c r="GZD149" s="204"/>
      <c r="GZE149" s="205"/>
      <c r="GZF149" s="206"/>
      <c r="GZG149" s="207"/>
      <c r="GZH149" s="207"/>
      <c r="GZI149" s="208"/>
      <c r="GZJ149" s="209"/>
      <c r="GZK149" s="207"/>
      <c r="GZL149" s="210"/>
      <c r="GZM149" s="209"/>
      <c r="GZN149" s="204"/>
      <c r="GZO149" s="204"/>
      <c r="GZP149" s="204"/>
      <c r="GZQ149" s="199"/>
      <c r="GZR149" s="167"/>
      <c r="GZS149" s="199"/>
      <c r="GZT149" s="200"/>
      <c r="GZU149" s="201"/>
      <c r="GZV149" s="202"/>
      <c r="GZW149" s="202"/>
      <c r="GZX149" s="202"/>
      <c r="GZY149" s="202"/>
      <c r="GZZ149" s="203"/>
      <c r="HAA149" s="204"/>
      <c r="HAB149" s="204"/>
      <c r="HAC149" s="204"/>
      <c r="HAD149" s="205"/>
      <c r="HAE149" s="206"/>
      <c r="HAF149" s="207"/>
      <c r="HAG149" s="207"/>
      <c r="HAH149" s="208"/>
      <c r="HAI149" s="209"/>
      <c r="HAJ149" s="207"/>
      <c r="HAK149" s="210"/>
      <c r="HAL149" s="209"/>
      <c r="HAM149" s="204"/>
      <c r="HAN149" s="204"/>
      <c r="HAO149" s="204"/>
      <c r="HAP149" s="199"/>
      <c r="HAQ149" s="167"/>
      <c r="HAR149" s="199"/>
      <c r="HAS149" s="200"/>
      <c r="HAT149" s="201"/>
      <c r="HAU149" s="202"/>
      <c r="HAV149" s="202"/>
      <c r="HAW149" s="202"/>
      <c r="HAX149" s="202"/>
      <c r="HAY149" s="203"/>
      <c r="HAZ149" s="204"/>
      <c r="HBA149" s="204"/>
      <c r="HBB149" s="204"/>
      <c r="HBC149" s="205"/>
      <c r="HBD149" s="206"/>
      <c r="HBE149" s="207"/>
      <c r="HBF149" s="207"/>
      <c r="HBG149" s="208"/>
      <c r="HBH149" s="209"/>
      <c r="HBI149" s="207"/>
      <c r="HBJ149" s="210"/>
      <c r="HBK149" s="209"/>
      <c r="HBL149" s="204"/>
      <c r="HBM149" s="204"/>
      <c r="HBN149" s="204"/>
      <c r="HBO149" s="199"/>
      <c r="HBP149" s="167"/>
      <c r="HBQ149" s="199"/>
      <c r="HBR149" s="200"/>
      <c r="HBS149" s="201"/>
      <c r="HBT149" s="202"/>
      <c r="HBU149" s="202"/>
      <c r="HBV149" s="202"/>
      <c r="HBW149" s="202"/>
      <c r="HBX149" s="203"/>
      <c r="HBY149" s="204"/>
      <c r="HBZ149" s="204"/>
      <c r="HCA149" s="204"/>
      <c r="HCB149" s="205"/>
      <c r="HCC149" s="206"/>
      <c r="HCD149" s="207"/>
      <c r="HCE149" s="207"/>
      <c r="HCF149" s="208"/>
      <c r="HCG149" s="209"/>
      <c r="HCH149" s="207"/>
      <c r="HCI149" s="210"/>
      <c r="HCJ149" s="209"/>
      <c r="HCK149" s="204"/>
      <c r="HCL149" s="204"/>
      <c r="HCM149" s="204"/>
      <c r="HCN149" s="199"/>
      <c r="HCO149" s="167"/>
      <c r="HCP149" s="199"/>
      <c r="HCQ149" s="200"/>
      <c r="HCR149" s="201"/>
      <c r="HCS149" s="202"/>
      <c r="HCT149" s="202"/>
      <c r="HCU149" s="202"/>
      <c r="HCV149" s="202"/>
      <c r="HCW149" s="203"/>
      <c r="HCX149" s="204"/>
      <c r="HCY149" s="204"/>
      <c r="HCZ149" s="204"/>
      <c r="HDA149" s="205"/>
      <c r="HDB149" s="206"/>
      <c r="HDC149" s="207"/>
      <c r="HDD149" s="207"/>
      <c r="HDE149" s="208"/>
      <c r="HDF149" s="209"/>
      <c r="HDG149" s="207"/>
      <c r="HDH149" s="210"/>
      <c r="HDI149" s="209"/>
      <c r="HDJ149" s="204"/>
      <c r="HDK149" s="204"/>
      <c r="HDL149" s="204"/>
      <c r="HDM149" s="199"/>
      <c r="HDN149" s="167"/>
      <c r="HDO149" s="199"/>
      <c r="HDP149" s="200"/>
      <c r="HDQ149" s="201"/>
      <c r="HDR149" s="202"/>
      <c r="HDS149" s="202"/>
      <c r="HDT149" s="202"/>
      <c r="HDU149" s="202"/>
      <c r="HDV149" s="203"/>
      <c r="HDW149" s="204"/>
      <c r="HDX149" s="204"/>
      <c r="HDY149" s="204"/>
      <c r="HDZ149" s="205"/>
      <c r="HEA149" s="206"/>
      <c r="HEB149" s="207"/>
      <c r="HEC149" s="207"/>
      <c r="HED149" s="208"/>
      <c r="HEE149" s="209"/>
      <c r="HEF149" s="207"/>
      <c r="HEG149" s="210"/>
      <c r="HEH149" s="209"/>
      <c r="HEI149" s="204"/>
      <c r="HEJ149" s="204"/>
      <c r="HEK149" s="204"/>
      <c r="HEL149" s="199"/>
      <c r="HEM149" s="167"/>
      <c r="HEN149" s="199"/>
      <c r="HEO149" s="200"/>
      <c r="HEP149" s="201"/>
      <c r="HEQ149" s="202"/>
      <c r="HER149" s="202"/>
      <c r="HES149" s="202"/>
      <c r="HET149" s="202"/>
      <c r="HEU149" s="203"/>
      <c r="HEV149" s="204"/>
      <c r="HEW149" s="204"/>
      <c r="HEX149" s="204"/>
      <c r="HEY149" s="205"/>
      <c r="HEZ149" s="206"/>
      <c r="HFA149" s="207"/>
      <c r="HFB149" s="207"/>
      <c r="HFC149" s="208"/>
      <c r="HFD149" s="209"/>
      <c r="HFE149" s="207"/>
      <c r="HFF149" s="210"/>
      <c r="HFG149" s="209"/>
      <c r="HFH149" s="204"/>
      <c r="HFI149" s="204"/>
      <c r="HFJ149" s="204"/>
      <c r="HFK149" s="199"/>
      <c r="HFL149" s="167"/>
      <c r="HFM149" s="199"/>
      <c r="HFN149" s="200"/>
      <c r="HFO149" s="201"/>
      <c r="HFP149" s="202"/>
      <c r="HFQ149" s="202"/>
      <c r="HFR149" s="202"/>
      <c r="HFS149" s="202"/>
      <c r="HFT149" s="203"/>
      <c r="HFU149" s="204"/>
      <c r="HFV149" s="204"/>
      <c r="HFW149" s="204"/>
      <c r="HFX149" s="205"/>
      <c r="HFY149" s="206"/>
      <c r="HFZ149" s="207"/>
      <c r="HGA149" s="207"/>
      <c r="HGB149" s="208"/>
      <c r="HGC149" s="209"/>
      <c r="HGD149" s="207"/>
      <c r="HGE149" s="210"/>
      <c r="HGF149" s="209"/>
      <c r="HGG149" s="204"/>
      <c r="HGH149" s="204"/>
      <c r="HGI149" s="204"/>
      <c r="HGJ149" s="199"/>
      <c r="HGK149" s="167"/>
      <c r="HGL149" s="199"/>
      <c r="HGM149" s="200"/>
      <c r="HGN149" s="201"/>
      <c r="HGO149" s="202"/>
      <c r="HGP149" s="202"/>
      <c r="HGQ149" s="202"/>
      <c r="HGR149" s="202"/>
      <c r="HGS149" s="203"/>
      <c r="HGT149" s="204"/>
      <c r="HGU149" s="204"/>
      <c r="HGV149" s="204"/>
      <c r="HGW149" s="205"/>
      <c r="HGX149" s="206"/>
      <c r="HGY149" s="207"/>
      <c r="HGZ149" s="207"/>
      <c r="HHA149" s="208"/>
      <c r="HHB149" s="209"/>
      <c r="HHC149" s="207"/>
      <c r="HHD149" s="210"/>
      <c r="HHE149" s="209"/>
      <c r="HHF149" s="204"/>
      <c r="HHG149" s="204"/>
      <c r="HHH149" s="204"/>
      <c r="HHI149" s="199"/>
      <c r="HHJ149" s="167"/>
      <c r="HHK149" s="199"/>
      <c r="HHL149" s="200"/>
      <c r="HHM149" s="201"/>
      <c r="HHN149" s="202"/>
      <c r="HHO149" s="202"/>
      <c r="HHP149" s="202"/>
      <c r="HHQ149" s="202"/>
      <c r="HHR149" s="203"/>
      <c r="HHS149" s="204"/>
      <c r="HHT149" s="204"/>
      <c r="HHU149" s="204"/>
      <c r="HHV149" s="205"/>
      <c r="HHW149" s="206"/>
      <c r="HHX149" s="207"/>
      <c r="HHY149" s="207"/>
      <c r="HHZ149" s="208"/>
      <c r="HIA149" s="209"/>
      <c r="HIB149" s="207"/>
      <c r="HIC149" s="210"/>
      <c r="HID149" s="209"/>
      <c r="HIE149" s="204"/>
      <c r="HIF149" s="204"/>
      <c r="HIG149" s="204"/>
      <c r="HIH149" s="199"/>
      <c r="HII149" s="167"/>
      <c r="HIJ149" s="199"/>
      <c r="HIK149" s="200"/>
      <c r="HIL149" s="201"/>
      <c r="HIM149" s="202"/>
      <c r="HIN149" s="202"/>
      <c r="HIO149" s="202"/>
      <c r="HIP149" s="202"/>
      <c r="HIQ149" s="203"/>
      <c r="HIR149" s="204"/>
      <c r="HIS149" s="204"/>
      <c r="HIT149" s="204"/>
      <c r="HIU149" s="205"/>
      <c r="HIV149" s="206"/>
      <c r="HIW149" s="207"/>
      <c r="HIX149" s="207"/>
      <c r="HIY149" s="208"/>
      <c r="HIZ149" s="209"/>
      <c r="HJA149" s="207"/>
      <c r="HJB149" s="210"/>
      <c r="HJC149" s="209"/>
      <c r="HJD149" s="204"/>
      <c r="HJE149" s="204"/>
      <c r="HJF149" s="204"/>
      <c r="HJG149" s="199"/>
      <c r="HJH149" s="167"/>
      <c r="HJI149" s="199"/>
      <c r="HJJ149" s="200"/>
      <c r="HJK149" s="201"/>
      <c r="HJL149" s="202"/>
      <c r="HJM149" s="202"/>
      <c r="HJN149" s="202"/>
      <c r="HJO149" s="202"/>
      <c r="HJP149" s="203"/>
      <c r="HJQ149" s="204"/>
      <c r="HJR149" s="204"/>
      <c r="HJS149" s="204"/>
      <c r="HJT149" s="205"/>
      <c r="HJU149" s="206"/>
      <c r="HJV149" s="207"/>
      <c r="HJW149" s="207"/>
      <c r="HJX149" s="208"/>
      <c r="HJY149" s="209"/>
      <c r="HJZ149" s="207"/>
      <c r="HKA149" s="210"/>
      <c r="HKB149" s="209"/>
      <c r="HKC149" s="204"/>
      <c r="HKD149" s="204"/>
      <c r="HKE149" s="204"/>
      <c r="HKF149" s="199"/>
      <c r="HKG149" s="167"/>
      <c r="HKH149" s="199"/>
      <c r="HKI149" s="200"/>
      <c r="HKJ149" s="201"/>
      <c r="HKK149" s="202"/>
      <c r="HKL149" s="202"/>
      <c r="HKM149" s="202"/>
      <c r="HKN149" s="202"/>
      <c r="HKO149" s="203"/>
      <c r="HKP149" s="204"/>
      <c r="HKQ149" s="204"/>
      <c r="HKR149" s="204"/>
      <c r="HKS149" s="205"/>
      <c r="HKT149" s="206"/>
      <c r="HKU149" s="207"/>
      <c r="HKV149" s="207"/>
      <c r="HKW149" s="208"/>
      <c r="HKX149" s="209"/>
      <c r="HKY149" s="207"/>
      <c r="HKZ149" s="210"/>
      <c r="HLA149" s="209"/>
      <c r="HLB149" s="204"/>
      <c r="HLC149" s="204"/>
      <c r="HLD149" s="204"/>
      <c r="HLE149" s="199"/>
      <c r="HLF149" s="167"/>
      <c r="HLG149" s="199"/>
      <c r="HLH149" s="200"/>
      <c r="HLI149" s="201"/>
      <c r="HLJ149" s="202"/>
      <c r="HLK149" s="202"/>
      <c r="HLL149" s="202"/>
      <c r="HLM149" s="202"/>
      <c r="HLN149" s="203"/>
      <c r="HLO149" s="204"/>
      <c r="HLP149" s="204"/>
      <c r="HLQ149" s="204"/>
      <c r="HLR149" s="205"/>
      <c r="HLS149" s="206"/>
      <c r="HLT149" s="207"/>
      <c r="HLU149" s="207"/>
      <c r="HLV149" s="208"/>
      <c r="HLW149" s="209"/>
      <c r="HLX149" s="207"/>
      <c r="HLY149" s="210"/>
      <c r="HLZ149" s="209"/>
      <c r="HMA149" s="204"/>
      <c r="HMB149" s="204"/>
      <c r="HMC149" s="204"/>
      <c r="HMD149" s="199"/>
      <c r="HME149" s="167"/>
      <c r="HMF149" s="199"/>
      <c r="HMG149" s="200"/>
      <c r="HMH149" s="201"/>
      <c r="HMI149" s="202"/>
      <c r="HMJ149" s="202"/>
      <c r="HMK149" s="202"/>
      <c r="HML149" s="202"/>
      <c r="HMM149" s="203"/>
      <c r="HMN149" s="204"/>
      <c r="HMO149" s="204"/>
      <c r="HMP149" s="204"/>
      <c r="HMQ149" s="205"/>
      <c r="HMR149" s="206"/>
      <c r="HMS149" s="207"/>
      <c r="HMT149" s="207"/>
      <c r="HMU149" s="208"/>
      <c r="HMV149" s="209"/>
      <c r="HMW149" s="207"/>
      <c r="HMX149" s="210"/>
      <c r="HMY149" s="209"/>
      <c r="HMZ149" s="204"/>
      <c r="HNA149" s="204"/>
      <c r="HNB149" s="204"/>
      <c r="HNC149" s="199"/>
      <c r="HND149" s="167"/>
      <c r="HNE149" s="199"/>
      <c r="HNF149" s="200"/>
      <c r="HNG149" s="201"/>
      <c r="HNH149" s="202"/>
      <c r="HNI149" s="202"/>
      <c r="HNJ149" s="202"/>
      <c r="HNK149" s="202"/>
      <c r="HNL149" s="203"/>
      <c r="HNM149" s="204"/>
      <c r="HNN149" s="204"/>
      <c r="HNO149" s="204"/>
      <c r="HNP149" s="205"/>
      <c r="HNQ149" s="206"/>
      <c r="HNR149" s="207"/>
      <c r="HNS149" s="207"/>
      <c r="HNT149" s="208"/>
      <c r="HNU149" s="209"/>
      <c r="HNV149" s="207"/>
      <c r="HNW149" s="210"/>
      <c r="HNX149" s="209"/>
      <c r="HNY149" s="204"/>
      <c r="HNZ149" s="204"/>
      <c r="HOA149" s="204"/>
      <c r="HOB149" s="199"/>
      <c r="HOC149" s="167"/>
      <c r="HOD149" s="199"/>
      <c r="HOE149" s="200"/>
      <c r="HOF149" s="201"/>
      <c r="HOG149" s="202"/>
      <c r="HOH149" s="202"/>
      <c r="HOI149" s="202"/>
      <c r="HOJ149" s="202"/>
      <c r="HOK149" s="203"/>
      <c r="HOL149" s="204"/>
      <c r="HOM149" s="204"/>
      <c r="HON149" s="204"/>
      <c r="HOO149" s="205"/>
      <c r="HOP149" s="206"/>
      <c r="HOQ149" s="207"/>
      <c r="HOR149" s="207"/>
      <c r="HOS149" s="208"/>
      <c r="HOT149" s="209"/>
      <c r="HOU149" s="207"/>
      <c r="HOV149" s="210"/>
      <c r="HOW149" s="209"/>
      <c r="HOX149" s="204"/>
      <c r="HOY149" s="204"/>
      <c r="HOZ149" s="204"/>
      <c r="HPA149" s="199"/>
      <c r="HPB149" s="167"/>
      <c r="HPC149" s="199"/>
      <c r="HPD149" s="200"/>
      <c r="HPE149" s="201"/>
      <c r="HPF149" s="202"/>
      <c r="HPG149" s="202"/>
      <c r="HPH149" s="202"/>
      <c r="HPI149" s="202"/>
      <c r="HPJ149" s="203"/>
      <c r="HPK149" s="204"/>
      <c r="HPL149" s="204"/>
      <c r="HPM149" s="204"/>
      <c r="HPN149" s="205"/>
      <c r="HPO149" s="206"/>
      <c r="HPP149" s="207"/>
      <c r="HPQ149" s="207"/>
      <c r="HPR149" s="208"/>
      <c r="HPS149" s="209"/>
      <c r="HPT149" s="207"/>
      <c r="HPU149" s="210"/>
      <c r="HPV149" s="209"/>
      <c r="HPW149" s="204"/>
      <c r="HPX149" s="204"/>
      <c r="HPY149" s="204"/>
      <c r="HPZ149" s="199"/>
      <c r="HQA149" s="167"/>
      <c r="HQB149" s="199"/>
      <c r="HQC149" s="200"/>
      <c r="HQD149" s="201"/>
      <c r="HQE149" s="202"/>
      <c r="HQF149" s="202"/>
      <c r="HQG149" s="202"/>
      <c r="HQH149" s="202"/>
      <c r="HQI149" s="203"/>
      <c r="HQJ149" s="204"/>
      <c r="HQK149" s="204"/>
      <c r="HQL149" s="204"/>
      <c r="HQM149" s="205"/>
      <c r="HQN149" s="206"/>
      <c r="HQO149" s="207"/>
      <c r="HQP149" s="207"/>
      <c r="HQQ149" s="208"/>
      <c r="HQR149" s="209"/>
      <c r="HQS149" s="207"/>
      <c r="HQT149" s="210"/>
      <c r="HQU149" s="209"/>
      <c r="HQV149" s="204"/>
      <c r="HQW149" s="204"/>
      <c r="HQX149" s="204"/>
      <c r="HQY149" s="199"/>
      <c r="HQZ149" s="167"/>
      <c r="HRA149" s="199"/>
      <c r="HRB149" s="200"/>
      <c r="HRC149" s="201"/>
      <c r="HRD149" s="202"/>
      <c r="HRE149" s="202"/>
      <c r="HRF149" s="202"/>
      <c r="HRG149" s="202"/>
      <c r="HRH149" s="203"/>
      <c r="HRI149" s="204"/>
      <c r="HRJ149" s="204"/>
      <c r="HRK149" s="204"/>
      <c r="HRL149" s="205"/>
      <c r="HRM149" s="206"/>
      <c r="HRN149" s="207"/>
      <c r="HRO149" s="207"/>
      <c r="HRP149" s="208"/>
      <c r="HRQ149" s="209"/>
      <c r="HRR149" s="207"/>
      <c r="HRS149" s="210"/>
      <c r="HRT149" s="209"/>
      <c r="HRU149" s="204"/>
      <c r="HRV149" s="204"/>
      <c r="HRW149" s="204"/>
      <c r="HRX149" s="199"/>
      <c r="HRY149" s="167"/>
      <c r="HRZ149" s="199"/>
      <c r="HSA149" s="200"/>
      <c r="HSB149" s="201"/>
      <c r="HSC149" s="202"/>
      <c r="HSD149" s="202"/>
      <c r="HSE149" s="202"/>
      <c r="HSF149" s="202"/>
      <c r="HSG149" s="203"/>
      <c r="HSH149" s="204"/>
      <c r="HSI149" s="204"/>
      <c r="HSJ149" s="204"/>
      <c r="HSK149" s="205"/>
      <c r="HSL149" s="206"/>
      <c r="HSM149" s="207"/>
      <c r="HSN149" s="207"/>
      <c r="HSO149" s="208"/>
      <c r="HSP149" s="209"/>
      <c r="HSQ149" s="207"/>
      <c r="HSR149" s="210"/>
      <c r="HSS149" s="209"/>
      <c r="HST149" s="204"/>
      <c r="HSU149" s="204"/>
      <c r="HSV149" s="204"/>
      <c r="HSW149" s="199"/>
      <c r="HSX149" s="167"/>
      <c r="HSY149" s="199"/>
      <c r="HSZ149" s="200"/>
      <c r="HTA149" s="201"/>
      <c r="HTB149" s="202"/>
      <c r="HTC149" s="202"/>
      <c r="HTD149" s="202"/>
      <c r="HTE149" s="202"/>
      <c r="HTF149" s="203"/>
      <c r="HTG149" s="204"/>
      <c r="HTH149" s="204"/>
      <c r="HTI149" s="204"/>
      <c r="HTJ149" s="205"/>
      <c r="HTK149" s="206"/>
      <c r="HTL149" s="207"/>
      <c r="HTM149" s="207"/>
      <c r="HTN149" s="208"/>
      <c r="HTO149" s="209"/>
      <c r="HTP149" s="207"/>
      <c r="HTQ149" s="210"/>
      <c r="HTR149" s="209"/>
      <c r="HTS149" s="204"/>
      <c r="HTT149" s="204"/>
      <c r="HTU149" s="204"/>
      <c r="HTV149" s="199"/>
      <c r="HTW149" s="167"/>
      <c r="HTX149" s="199"/>
      <c r="HTY149" s="200"/>
      <c r="HTZ149" s="201"/>
      <c r="HUA149" s="202"/>
      <c r="HUB149" s="202"/>
      <c r="HUC149" s="202"/>
      <c r="HUD149" s="202"/>
      <c r="HUE149" s="203"/>
      <c r="HUF149" s="204"/>
      <c r="HUG149" s="204"/>
      <c r="HUH149" s="204"/>
      <c r="HUI149" s="205"/>
      <c r="HUJ149" s="206"/>
      <c r="HUK149" s="207"/>
      <c r="HUL149" s="207"/>
      <c r="HUM149" s="208"/>
      <c r="HUN149" s="209"/>
      <c r="HUO149" s="207"/>
      <c r="HUP149" s="210"/>
      <c r="HUQ149" s="209"/>
      <c r="HUR149" s="204"/>
      <c r="HUS149" s="204"/>
      <c r="HUT149" s="204"/>
      <c r="HUU149" s="199"/>
      <c r="HUV149" s="167"/>
      <c r="HUW149" s="199"/>
      <c r="HUX149" s="200"/>
      <c r="HUY149" s="201"/>
      <c r="HUZ149" s="202"/>
      <c r="HVA149" s="202"/>
      <c r="HVB149" s="202"/>
      <c r="HVC149" s="202"/>
      <c r="HVD149" s="203"/>
      <c r="HVE149" s="204"/>
      <c r="HVF149" s="204"/>
      <c r="HVG149" s="204"/>
      <c r="HVH149" s="205"/>
      <c r="HVI149" s="206"/>
      <c r="HVJ149" s="207"/>
      <c r="HVK149" s="207"/>
      <c r="HVL149" s="208"/>
      <c r="HVM149" s="209"/>
      <c r="HVN149" s="207"/>
      <c r="HVO149" s="210"/>
      <c r="HVP149" s="209"/>
      <c r="HVQ149" s="204"/>
      <c r="HVR149" s="204"/>
      <c r="HVS149" s="204"/>
      <c r="HVT149" s="199"/>
      <c r="HVU149" s="167"/>
      <c r="HVV149" s="199"/>
      <c r="HVW149" s="200"/>
      <c r="HVX149" s="201"/>
      <c r="HVY149" s="202"/>
      <c r="HVZ149" s="202"/>
      <c r="HWA149" s="202"/>
      <c r="HWB149" s="202"/>
      <c r="HWC149" s="203"/>
      <c r="HWD149" s="204"/>
      <c r="HWE149" s="204"/>
      <c r="HWF149" s="204"/>
      <c r="HWG149" s="205"/>
      <c r="HWH149" s="206"/>
      <c r="HWI149" s="207"/>
      <c r="HWJ149" s="207"/>
      <c r="HWK149" s="208"/>
      <c r="HWL149" s="209"/>
      <c r="HWM149" s="207"/>
      <c r="HWN149" s="210"/>
      <c r="HWO149" s="209"/>
      <c r="HWP149" s="204"/>
      <c r="HWQ149" s="204"/>
      <c r="HWR149" s="204"/>
      <c r="HWS149" s="199"/>
      <c r="HWT149" s="167"/>
      <c r="HWU149" s="199"/>
      <c r="HWV149" s="200"/>
      <c r="HWW149" s="201"/>
      <c r="HWX149" s="202"/>
      <c r="HWY149" s="202"/>
      <c r="HWZ149" s="202"/>
      <c r="HXA149" s="202"/>
      <c r="HXB149" s="203"/>
      <c r="HXC149" s="204"/>
      <c r="HXD149" s="204"/>
      <c r="HXE149" s="204"/>
      <c r="HXF149" s="205"/>
      <c r="HXG149" s="206"/>
      <c r="HXH149" s="207"/>
      <c r="HXI149" s="207"/>
      <c r="HXJ149" s="208"/>
      <c r="HXK149" s="209"/>
      <c r="HXL149" s="207"/>
      <c r="HXM149" s="210"/>
      <c r="HXN149" s="209"/>
      <c r="HXO149" s="204"/>
      <c r="HXP149" s="204"/>
      <c r="HXQ149" s="204"/>
      <c r="HXR149" s="199"/>
      <c r="HXS149" s="167"/>
      <c r="HXT149" s="199"/>
      <c r="HXU149" s="200"/>
      <c r="HXV149" s="201"/>
      <c r="HXW149" s="202"/>
      <c r="HXX149" s="202"/>
      <c r="HXY149" s="202"/>
      <c r="HXZ149" s="202"/>
      <c r="HYA149" s="203"/>
      <c r="HYB149" s="204"/>
      <c r="HYC149" s="204"/>
      <c r="HYD149" s="204"/>
      <c r="HYE149" s="205"/>
      <c r="HYF149" s="206"/>
      <c r="HYG149" s="207"/>
      <c r="HYH149" s="207"/>
      <c r="HYI149" s="208"/>
      <c r="HYJ149" s="209"/>
      <c r="HYK149" s="207"/>
      <c r="HYL149" s="210"/>
      <c r="HYM149" s="209"/>
      <c r="HYN149" s="204"/>
      <c r="HYO149" s="204"/>
      <c r="HYP149" s="204"/>
      <c r="HYQ149" s="199"/>
      <c r="HYR149" s="167"/>
      <c r="HYS149" s="199"/>
      <c r="HYT149" s="200"/>
      <c r="HYU149" s="201"/>
      <c r="HYV149" s="202"/>
      <c r="HYW149" s="202"/>
      <c r="HYX149" s="202"/>
      <c r="HYY149" s="202"/>
      <c r="HYZ149" s="203"/>
      <c r="HZA149" s="204"/>
      <c r="HZB149" s="204"/>
      <c r="HZC149" s="204"/>
      <c r="HZD149" s="205"/>
      <c r="HZE149" s="206"/>
      <c r="HZF149" s="207"/>
      <c r="HZG149" s="207"/>
      <c r="HZH149" s="208"/>
      <c r="HZI149" s="209"/>
      <c r="HZJ149" s="207"/>
      <c r="HZK149" s="210"/>
      <c r="HZL149" s="209"/>
      <c r="HZM149" s="204"/>
      <c r="HZN149" s="204"/>
      <c r="HZO149" s="204"/>
      <c r="HZP149" s="199"/>
      <c r="HZQ149" s="167"/>
      <c r="HZR149" s="199"/>
      <c r="HZS149" s="200"/>
      <c r="HZT149" s="201"/>
      <c r="HZU149" s="202"/>
      <c r="HZV149" s="202"/>
      <c r="HZW149" s="202"/>
      <c r="HZX149" s="202"/>
      <c r="HZY149" s="203"/>
      <c r="HZZ149" s="204"/>
      <c r="IAA149" s="204"/>
      <c r="IAB149" s="204"/>
      <c r="IAC149" s="205"/>
      <c r="IAD149" s="206"/>
      <c r="IAE149" s="207"/>
      <c r="IAF149" s="207"/>
      <c r="IAG149" s="208"/>
      <c r="IAH149" s="209"/>
      <c r="IAI149" s="207"/>
      <c r="IAJ149" s="210"/>
      <c r="IAK149" s="209"/>
      <c r="IAL149" s="204"/>
      <c r="IAM149" s="204"/>
      <c r="IAN149" s="204"/>
      <c r="IAO149" s="199"/>
      <c r="IAP149" s="167"/>
      <c r="IAQ149" s="199"/>
      <c r="IAR149" s="200"/>
      <c r="IAS149" s="201"/>
      <c r="IAT149" s="202"/>
      <c r="IAU149" s="202"/>
      <c r="IAV149" s="202"/>
      <c r="IAW149" s="202"/>
      <c r="IAX149" s="203"/>
      <c r="IAY149" s="204"/>
      <c r="IAZ149" s="204"/>
      <c r="IBA149" s="204"/>
      <c r="IBB149" s="205"/>
      <c r="IBC149" s="206"/>
      <c r="IBD149" s="207"/>
      <c r="IBE149" s="207"/>
      <c r="IBF149" s="208"/>
      <c r="IBG149" s="209"/>
      <c r="IBH149" s="207"/>
      <c r="IBI149" s="210"/>
      <c r="IBJ149" s="209"/>
      <c r="IBK149" s="204"/>
      <c r="IBL149" s="204"/>
      <c r="IBM149" s="204"/>
      <c r="IBN149" s="199"/>
      <c r="IBO149" s="167"/>
      <c r="IBP149" s="199"/>
      <c r="IBQ149" s="200"/>
      <c r="IBR149" s="201"/>
      <c r="IBS149" s="202"/>
      <c r="IBT149" s="202"/>
      <c r="IBU149" s="202"/>
      <c r="IBV149" s="202"/>
      <c r="IBW149" s="203"/>
      <c r="IBX149" s="204"/>
      <c r="IBY149" s="204"/>
      <c r="IBZ149" s="204"/>
      <c r="ICA149" s="205"/>
      <c r="ICB149" s="206"/>
      <c r="ICC149" s="207"/>
      <c r="ICD149" s="207"/>
      <c r="ICE149" s="208"/>
      <c r="ICF149" s="209"/>
      <c r="ICG149" s="207"/>
      <c r="ICH149" s="210"/>
      <c r="ICI149" s="209"/>
      <c r="ICJ149" s="204"/>
      <c r="ICK149" s="204"/>
      <c r="ICL149" s="204"/>
      <c r="ICM149" s="199"/>
      <c r="ICN149" s="167"/>
      <c r="ICO149" s="199"/>
      <c r="ICP149" s="200"/>
      <c r="ICQ149" s="201"/>
      <c r="ICR149" s="202"/>
      <c r="ICS149" s="202"/>
      <c r="ICT149" s="202"/>
      <c r="ICU149" s="202"/>
      <c r="ICV149" s="203"/>
      <c r="ICW149" s="204"/>
      <c r="ICX149" s="204"/>
      <c r="ICY149" s="204"/>
      <c r="ICZ149" s="205"/>
      <c r="IDA149" s="206"/>
      <c r="IDB149" s="207"/>
      <c r="IDC149" s="207"/>
      <c r="IDD149" s="208"/>
      <c r="IDE149" s="209"/>
      <c r="IDF149" s="207"/>
      <c r="IDG149" s="210"/>
      <c r="IDH149" s="209"/>
      <c r="IDI149" s="204"/>
      <c r="IDJ149" s="204"/>
      <c r="IDK149" s="204"/>
      <c r="IDL149" s="199"/>
      <c r="IDM149" s="167"/>
      <c r="IDN149" s="199"/>
      <c r="IDO149" s="200"/>
      <c r="IDP149" s="201"/>
      <c r="IDQ149" s="202"/>
      <c r="IDR149" s="202"/>
      <c r="IDS149" s="202"/>
      <c r="IDT149" s="202"/>
      <c r="IDU149" s="203"/>
      <c r="IDV149" s="204"/>
      <c r="IDW149" s="204"/>
      <c r="IDX149" s="204"/>
      <c r="IDY149" s="205"/>
      <c r="IDZ149" s="206"/>
      <c r="IEA149" s="207"/>
      <c r="IEB149" s="207"/>
      <c r="IEC149" s="208"/>
      <c r="IED149" s="209"/>
      <c r="IEE149" s="207"/>
      <c r="IEF149" s="210"/>
      <c r="IEG149" s="209"/>
      <c r="IEH149" s="204"/>
      <c r="IEI149" s="204"/>
      <c r="IEJ149" s="204"/>
      <c r="IEK149" s="199"/>
      <c r="IEL149" s="167"/>
      <c r="IEM149" s="199"/>
      <c r="IEN149" s="200"/>
      <c r="IEO149" s="201"/>
      <c r="IEP149" s="202"/>
      <c r="IEQ149" s="202"/>
      <c r="IER149" s="202"/>
      <c r="IES149" s="202"/>
      <c r="IET149" s="203"/>
      <c r="IEU149" s="204"/>
      <c r="IEV149" s="204"/>
      <c r="IEW149" s="204"/>
      <c r="IEX149" s="205"/>
      <c r="IEY149" s="206"/>
      <c r="IEZ149" s="207"/>
      <c r="IFA149" s="207"/>
      <c r="IFB149" s="208"/>
      <c r="IFC149" s="209"/>
      <c r="IFD149" s="207"/>
      <c r="IFE149" s="210"/>
      <c r="IFF149" s="209"/>
      <c r="IFG149" s="204"/>
      <c r="IFH149" s="204"/>
      <c r="IFI149" s="204"/>
      <c r="IFJ149" s="199"/>
      <c r="IFK149" s="167"/>
      <c r="IFL149" s="199"/>
      <c r="IFM149" s="200"/>
      <c r="IFN149" s="201"/>
      <c r="IFO149" s="202"/>
      <c r="IFP149" s="202"/>
      <c r="IFQ149" s="202"/>
      <c r="IFR149" s="202"/>
      <c r="IFS149" s="203"/>
      <c r="IFT149" s="204"/>
      <c r="IFU149" s="204"/>
      <c r="IFV149" s="204"/>
      <c r="IFW149" s="205"/>
      <c r="IFX149" s="206"/>
      <c r="IFY149" s="207"/>
      <c r="IFZ149" s="207"/>
      <c r="IGA149" s="208"/>
      <c r="IGB149" s="209"/>
      <c r="IGC149" s="207"/>
      <c r="IGD149" s="210"/>
      <c r="IGE149" s="209"/>
      <c r="IGF149" s="204"/>
      <c r="IGG149" s="204"/>
      <c r="IGH149" s="204"/>
      <c r="IGI149" s="199"/>
      <c r="IGJ149" s="167"/>
      <c r="IGK149" s="199"/>
      <c r="IGL149" s="200"/>
      <c r="IGM149" s="201"/>
      <c r="IGN149" s="202"/>
      <c r="IGO149" s="202"/>
      <c r="IGP149" s="202"/>
      <c r="IGQ149" s="202"/>
      <c r="IGR149" s="203"/>
      <c r="IGS149" s="204"/>
      <c r="IGT149" s="204"/>
      <c r="IGU149" s="204"/>
      <c r="IGV149" s="205"/>
      <c r="IGW149" s="206"/>
      <c r="IGX149" s="207"/>
      <c r="IGY149" s="207"/>
      <c r="IGZ149" s="208"/>
      <c r="IHA149" s="209"/>
      <c r="IHB149" s="207"/>
      <c r="IHC149" s="210"/>
      <c r="IHD149" s="209"/>
      <c r="IHE149" s="204"/>
      <c r="IHF149" s="204"/>
      <c r="IHG149" s="204"/>
      <c r="IHH149" s="199"/>
      <c r="IHI149" s="167"/>
      <c r="IHJ149" s="199"/>
      <c r="IHK149" s="200"/>
      <c r="IHL149" s="201"/>
      <c r="IHM149" s="202"/>
      <c r="IHN149" s="202"/>
      <c r="IHO149" s="202"/>
      <c r="IHP149" s="202"/>
      <c r="IHQ149" s="203"/>
      <c r="IHR149" s="204"/>
      <c r="IHS149" s="204"/>
      <c r="IHT149" s="204"/>
      <c r="IHU149" s="205"/>
      <c r="IHV149" s="206"/>
      <c r="IHW149" s="207"/>
      <c r="IHX149" s="207"/>
      <c r="IHY149" s="208"/>
      <c r="IHZ149" s="209"/>
      <c r="IIA149" s="207"/>
      <c r="IIB149" s="210"/>
      <c r="IIC149" s="209"/>
      <c r="IID149" s="204"/>
      <c r="IIE149" s="204"/>
      <c r="IIF149" s="204"/>
      <c r="IIG149" s="199"/>
      <c r="IIH149" s="167"/>
      <c r="III149" s="199"/>
      <c r="IIJ149" s="200"/>
      <c r="IIK149" s="201"/>
      <c r="IIL149" s="202"/>
      <c r="IIM149" s="202"/>
      <c r="IIN149" s="202"/>
      <c r="IIO149" s="202"/>
      <c r="IIP149" s="203"/>
      <c r="IIQ149" s="204"/>
      <c r="IIR149" s="204"/>
      <c r="IIS149" s="204"/>
      <c r="IIT149" s="205"/>
      <c r="IIU149" s="206"/>
      <c r="IIV149" s="207"/>
      <c r="IIW149" s="207"/>
      <c r="IIX149" s="208"/>
      <c r="IIY149" s="209"/>
      <c r="IIZ149" s="207"/>
      <c r="IJA149" s="210"/>
      <c r="IJB149" s="209"/>
      <c r="IJC149" s="204"/>
      <c r="IJD149" s="204"/>
      <c r="IJE149" s="204"/>
      <c r="IJF149" s="199"/>
      <c r="IJG149" s="167"/>
      <c r="IJH149" s="199"/>
      <c r="IJI149" s="200"/>
      <c r="IJJ149" s="201"/>
      <c r="IJK149" s="202"/>
      <c r="IJL149" s="202"/>
      <c r="IJM149" s="202"/>
      <c r="IJN149" s="202"/>
      <c r="IJO149" s="203"/>
      <c r="IJP149" s="204"/>
      <c r="IJQ149" s="204"/>
      <c r="IJR149" s="204"/>
      <c r="IJS149" s="205"/>
      <c r="IJT149" s="206"/>
      <c r="IJU149" s="207"/>
      <c r="IJV149" s="207"/>
      <c r="IJW149" s="208"/>
      <c r="IJX149" s="209"/>
      <c r="IJY149" s="207"/>
      <c r="IJZ149" s="210"/>
      <c r="IKA149" s="209"/>
      <c r="IKB149" s="204"/>
      <c r="IKC149" s="204"/>
      <c r="IKD149" s="204"/>
      <c r="IKE149" s="199"/>
      <c r="IKF149" s="167"/>
      <c r="IKG149" s="199"/>
      <c r="IKH149" s="200"/>
      <c r="IKI149" s="201"/>
      <c r="IKJ149" s="202"/>
      <c r="IKK149" s="202"/>
      <c r="IKL149" s="202"/>
      <c r="IKM149" s="202"/>
      <c r="IKN149" s="203"/>
      <c r="IKO149" s="204"/>
      <c r="IKP149" s="204"/>
      <c r="IKQ149" s="204"/>
      <c r="IKR149" s="205"/>
      <c r="IKS149" s="206"/>
      <c r="IKT149" s="207"/>
      <c r="IKU149" s="207"/>
      <c r="IKV149" s="208"/>
      <c r="IKW149" s="209"/>
      <c r="IKX149" s="207"/>
      <c r="IKY149" s="210"/>
      <c r="IKZ149" s="209"/>
      <c r="ILA149" s="204"/>
      <c r="ILB149" s="204"/>
      <c r="ILC149" s="204"/>
      <c r="ILD149" s="199"/>
      <c r="ILE149" s="167"/>
      <c r="ILF149" s="199"/>
      <c r="ILG149" s="200"/>
      <c r="ILH149" s="201"/>
      <c r="ILI149" s="202"/>
      <c r="ILJ149" s="202"/>
      <c r="ILK149" s="202"/>
      <c r="ILL149" s="202"/>
      <c r="ILM149" s="203"/>
      <c r="ILN149" s="204"/>
      <c r="ILO149" s="204"/>
      <c r="ILP149" s="204"/>
      <c r="ILQ149" s="205"/>
      <c r="ILR149" s="206"/>
      <c r="ILS149" s="207"/>
      <c r="ILT149" s="207"/>
      <c r="ILU149" s="208"/>
      <c r="ILV149" s="209"/>
      <c r="ILW149" s="207"/>
      <c r="ILX149" s="210"/>
      <c r="ILY149" s="209"/>
      <c r="ILZ149" s="204"/>
      <c r="IMA149" s="204"/>
      <c r="IMB149" s="204"/>
      <c r="IMC149" s="199"/>
      <c r="IMD149" s="167"/>
      <c r="IME149" s="199"/>
      <c r="IMF149" s="200"/>
      <c r="IMG149" s="201"/>
      <c r="IMH149" s="202"/>
      <c r="IMI149" s="202"/>
      <c r="IMJ149" s="202"/>
      <c r="IMK149" s="202"/>
      <c r="IML149" s="203"/>
      <c r="IMM149" s="204"/>
      <c r="IMN149" s="204"/>
      <c r="IMO149" s="204"/>
      <c r="IMP149" s="205"/>
      <c r="IMQ149" s="206"/>
      <c r="IMR149" s="207"/>
      <c r="IMS149" s="207"/>
      <c r="IMT149" s="208"/>
      <c r="IMU149" s="209"/>
      <c r="IMV149" s="207"/>
      <c r="IMW149" s="210"/>
      <c r="IMX149" s="209"/>
      <c r="IMY149" s="204"/>
      <c r="IMZ149" s="204"/>
      <c r="INA149" s="204"/>
      <c r="INB149" s="199"/>
      <c r="INC149" s="167"/>
      <c r="IND149" s="199"/>
      <c r="INE149" s="200"/>
      <c r="INF149" s="201"/>
      <c r="ING149" s="202"/>
      <c r="INH149" s="202"/>
      <c r="INI149" s="202"/>
      <c r="INJ149" s="202"/>
      <c r="INK149" s="203"/>
      <c r="INL149" s="204"/>
      <c r="INM149" s="204"/>
      <c r="INN149" s="204"/>
      <c r="INO149" s="205"/>
      <c r="INP149" s="206"/>
      <c r="INQ149" s="207"/>
      <c r="INR149" s="207"/>
      <c r="INS149" s="208"/>
      <c r="INT149" s="209"/>
      <c r="INU149" s="207"/>
      <c r="INV149" s="210"/>
      <c r="INW149" s="209"/>
      <c r="INX149" s="204"/>
      <c r="INY149" s="204"/>
      <c r="INZ149" s="204"/>
      <c r="IOA149" s="199"/>
      <c r="IOB149" s="167"/>
      <c r="IOC149" s="199"/>
      <c r="IOD149" s="200"/>
      <c r="IOE149" s="201"/>
      <c r="IOF149" s="202"/>
      <c r="IOG149" s="202"/>
      <c r="IOH149" s="202"/>
      <c r="IOI149" s="202"/>
      <c r="IOJ149" s="203"/>
      <c r="IOK149" s="204"/>
      <c r="IOL149" s="204"/>
      <c r="IOM149" s="204"/>
      <c r="ION149" s="205"/>
      <c r="IOO149" s="206"/>
      <c r="IOP149" s="207"/>
      <c r="IOQ149" s="207"/>
      <c r="IOR149" s="208"/>
      <c r="IOS149" s="209"/>
      <c r="IOT149" s="207"/>
      <c r="IOU149" s="210"/>
      <c r="IOV149" s="209"/>
      <c r="IOW149" s="204"/>
      <c r="IOX149" s="204"/>
      <c r="IOY149" s="204"/>
      <c r="IOZ149" s="199"/>
      <c r="IPA149" s="167"/>
      <c r="IPB149" s="199"/>
      <c r="IPC149" s="200"/>
      <c r="IPD149" s="201"/>
      <c r="IPE149" s="202"/>
      <c r="IPF149" s="202"/>
      <c r="IPG149" s="202"/>
      <c r="IPH149" s="202"/>
      <c r="IPI149" s="203"/>
      <c r="IPJ149" s="204"/>
      <c r="IPK149" s="204"/>
      <c r="IPL149" s="204"/>
      <c r="IPM149" s="205"/>
      <c r="IPN149" s="206"/>
      <c r="IPO149" s="207"/>
      <c r="IPP149" s="207"/>
      <c r="IPQ149" s="208"/>
      <c r="IPR149" s="209"/>
      <c r="IPS149" s="207"/>
      <c r="IPT149" s="210"/>
      <c r="IPU149" s="209"/>
      <c r="IPV149" s="204"/>
      <c r="IPW149" s="204"/>
      <c r="IPX149" s="204"/>
      <c r="IPY149" s="199"/>
      <c r="IPZ149" s="167"/>
      <c r="IQA149" s="199"/>
      <c r="IQB149" s="200"/>
      <c r="IQC149" s="201"/>
      <c r="IQD149" s="202"/>
      <c r="IQE149" s="202"/>
      <c r="IQF149" s="202"/>
      <c r="IQG149" s="202"/>
      <c r="IQH149" s="203"/>
      <c r="IQI149" s="204"/>
      <c r="IQJ149" s="204"/>
      <c r="IQK149" s="204"/>
      <c r="IQL149" s="205"/>
      <c r="IQM149" s="206"/>
      <c r="IQN149" s="207"/>
      <c r="IQO149" s="207"/>
      <c r="IQP149" s="208"/>
      <c r="IQQ149" s="209"/>
      <c r="IQR149" s="207"/>
      <c r="IQS149" s="210"/>
      <c r="IQT149" s="209"/>
      <c r="IQU149" s="204"/>
      <c r="IQV149" s="204"/>
      <c r="IQW149" s="204"/>
      <c r="IQX149" s="199"/>
      <c r="IQY149" s="167"/>
      <c r="IQZ149" s="199"/>
      <c r="IRA149" s="200"/>
      <c r="IRB149" s="201"/>
      <c r="IRC149" s="202"/>
      <c r="IRD149" s="202"/>
      <c r="IRE149" s="202"/>
      <c r="IRF149" s="202"/>
      <c r="IRG149" s="203"/>
      <c r="IRH149" s="204"/>
      <c r="IRI149" s="204"/>
      <c r="IRJ149" s="204"/>
      <c r="IRK149" s="205"/>
      <c r="IRL149" s="206"/>
      <c r="IRM149" s="207"/>
      <c r="IRN149" s="207"/>
      <c r="IRO149" s="208"/>
      <c r="IRP149" s="209"/>
      <c r="IRQ149" s="207"/>
      <c r="IRR149" s="210"/>
      <c r="IRS149" s="209"/>
      <c r="IRT149" s="204"/>
      <c r="IRU149" s="204"/>
      <c r="IRV149" s="204"/>
      <c r="IRW149" s="199"/>
      <c r="IRX149" s="167"/>
      <c r="IRY149" s="199"/>
      <c r="IRZ149" s="200"/>
      <c r="ISA149" s="201"/>
      <c r="ISB149" s="202"/>
      <c r="ISC149" s="202"/>
      <c r="ISD149" s="202"/>
      <c r="ISE149" s="202"/>
      <c r="ISF149" s="203"/>
      <c r="ISG149" s="204"/>
      <c r="ISH149" s="204"/>
      <c r="ISI149" s="204"/>
      <c r="ISJ149" s="205"/>
      <c r="ISK149" s="206"/>
      <c r="ISL149" s="207"/>
      <c r="ISM149" s="207"/>
      <c r="ISN149" s="208"/>
      <c r="ISO149" s="209"/>
      <c r="ISP149" s="207"/>
      <c r="ISQ149" s="210"/>
      <c r="ISR149" s="209"/>
      <c r="ISS149" s="204"/>
      <c r="IST149" s="204"/>
      <c r="ISU149" s="204"/>
      <c r="ISV149" s="199"/>
      <c r="ISW149" s="167"/>
      <c r="ISX149" s="199"/>
      <c r="ISY149" s="200"/>
      <c r="ISZ149" s="201"/>
      <c r="ITA149" s="202"/>
      <c r="ITB149" s="202"/>
      <c r="ITC149" s="202"/>
      <c r="ITD149" s="202"/>
      <c r="ITE149" s="203"/>
      <c r="ITF149" s="204"/>
      <c r="ITG149" s="204"/>
      <c r="ITH149" s="204"/>
      <c r="ITI149" s="205"/>
      <c r="ITJ149" s="206"/>
      <c r="ITK149" s="207"/>
      <c r="ITL149" s="207"/>
      <c r="ITM149" s="208"/>
      <c r="ITN149" s="209"/>
      <c r="ITO149" s="207"/>
      <c r="ITP149" s="210"/>
      <c r="ITQ149" s="209"/>
      <c r="ITR149" s="204"/>
      <c r="ITS149" s="204"/>
      <c r="ITT149" s="204"/>
      <c r="ITU149" s="199"/>
      <c r="ITV149" s="167"/>
      <c r="ITW149" s="199"/>
      <c r="ITX149" s="200"/>
      <c r="ITY149" s="201"/>
      <c r="ITZ149" s="202"/>
      <c r="IUA149" s="202"/>
      <c r="IUB149" s="202"/>
      <c r="IUC149" s="202"/>
      <c r="IUD149" s="203"/>
      <c r="IUE149" s="204"/>
      <c r="IUF149" s="204"/>
      <c r="IUG149" s="204"/>
      <c r="IUH149" s="205"/>
      <c r="IUI149" s="206"/>
      <c r="IUJ149" s="207"/>
      <c r="IUK149" s="207"/>
      <c r="IUL149" s="208"/>
      <c r="IUM149" s="209"/>
      <c r="IUN149" s="207"/>
      <c r="IUO149" s="210"/>
      <c r="IUP149" s="209"/>
      <c r="IUQ149" s="204"/>
      <c r="IUR149" s="204"/>
      <c r="IUS149" s="204"/>
      <c r="IUT149" s="199"/>
      <c r="IUU149" s="167"/>
      <c r="IUV149" s="199"/>
      <c r="IUW149" s="200"/>
      <c r="IUX149" s="201"/>
      <c r="IUY149" s="202"/>
      <c r="IUZ149" s="202"/>
      <c r="IVA149" s="202"/>
      <c r="IVB149" s="202"/>
      <c r="IVC149" s="203"/>
      <c r="IVD149" s="204"/>
      <c r="IVE149" s="204"/>
      <c r="IVF149" s="204"/>
      <c r="IVG149" s="205"/>
      <c r="IVH149" s="206"/>
      <c r="IVI149" s="207"/>
      <c r="IVJ149" s="207"/>
      <c r="IVK149" s="208"/>
      <c r="IVL149" s="209"/>
      <c r="IVM149" s="207"/>
      <c r="IVN149" s="210"/>
      <c r="IVO149" s="209"/>
      <c r="IVP149" s="204"/>
      <c r="IVQ149" s="204"/>
      <c r="IVR149" s="204"/>
      <c r="IVS149" s="199"/>
      <c r="IVT149" s="167"/>
      <c r="IVU149" s="199"/>
      <c r="IVV149" s="200"/>
      <c r="IVW149" s="201"/>
      <c r="IVX149" s="202"/>
      <c r="IVY149" s="202"/>
      <c r="IVZ149" s="202"/>
      <c r="IWA149" s="202"/>
      <c r="IWB149" s="203"/>
      <c r="IWC149" s="204"/>
      <c r="IWD149" s="204"/>
      <c r="IWE149" s="204"/>
      <c r="IWF149" s="205"/>
      <c r="IWG149" s="206"/>
      <c r="IWH149" s="207"/>
      <c r="IWI149" s="207"/>
      <c r="IWJ149" s="208"/>
      <c r="IWK149" s="209"/>
      <c r="IWL149" s="207"/>
      <c r="IWM149" s="210"/>
      <c r="IWN149" s="209"/>
      <c r="IWO149" s="204"/>
      <c r="IWP149" s="204"/>
      <c r="IWQ149" s="204"/>
      <c r="IWR149" s="199"/>
      <c r="IWS149" s="167"/>
      <c r="IWT149" s="199"/>
      <c r="IWU149" s="200"/>
      <c r="IWV149" s="201"/>
      <c r="IWW149" s="202"/>
      <c r="IWX149" s="202"/>
      <c r="IWY149" s="202"/>
      <c r="IWZ149" s="202"/>
      <c r="IXA149" s="203"/>
      <c r="IXB149" s="204"/>
      <c r="IXC149" s="204"/>
      <c r="IXD149" s="204"/>
      <c r="IXE149" s="205"/>
      <c r="IXF149" s="206"/>
      <c r="IXG149" s="207"/>
      <c r="IXH149" s="207"/>
      <c r="IXI149" s="208"/>
      <c r="IXJ149" s="209"/>
      <c r="IXK149" s="207"/>
      <c r="IXL149" s="210"/>
      <c r="IXM149" s="209"/>
      <c r="IXN149" s="204"/>
      <c r="IXO149" s="204"/>
      <c r="IXP149" s="204"/>
      <c r="IXQ149" s="199"/>
      <c r="IXR149" s="167"/>
      <c r="IXS149" s="199"/>
      <c r="IXT149" s="200"/>
      <c r="IXU149" s="201"/>
      <c r="IXV149" s="202"/>
      <c r="IXW149" s="202"/>
      <c r="IXX149" s="202"/>
      <c r="IXY149" s="202"/>
      <c r="IXZ149" s="203"/>
      <c r="IYA149" s="204"/>
      <c r="IYB149" s="204"/>
      <c r="IYC149" s="204"/>
      <c r="IYD149" s="205"/>
      <c r="IYE149" s="206"/>
      <c r="IYF149" s="207"/>
      <c r="IYG149" s="207"/>
      <c r="IYH149" s="208"/>
      <c r="IYI149" s="209"/>
      <c r="IYJ149" s="207"/>
      <c r="IYK149" s="210"/>
      <c r="IYL149" s="209"/>
      <c r="IYM149" s="204"/>
      <c r="IYN149" s="204"/>
      <c r="IYO149" s="204"/>
      <c r="IYP149" s="199"/>
      <c r="IYQ149" s="167"/>
      <c r="IYR149" s="199"/>
      <c r="IYS149" s="200"/>
      <c r="IYT149" s="201"/>
      <c r="IYU149" s="202"/>
      <c r="IYV149" s="202"/>
      <c r="IYW149" s="202"/>
      <c r="IYX149" s="202"/>
      <c r="IYY149" s="203"/>
      <c r="IYZ149" s="204"/>
      <c r="IZA149" s="204"/>
      <c r="IZB149" s="204"/>
      <c r="IZC149" s="205"/>
      <c r="IZD149" s="206"/>
      <c r="IZE149" s="207"/>
      <c r="IZF149" s="207"/>
      <c r="IZG149" s="208"/>
      <c r="IZH149" s="209"/>
      <c r="IZI149" s="207"/>
      <c r="IZJ149" s="210"/>
      <c r="IZK149" s="209"/>
      <c r="IZL149" s="204"/>
      <c r="IZM149" s="204"/>
      <c r="IZN149" s="204"/>
      <c r="IZO149" s="199"/>
      <c r="IZP149" s="167"/>
      <c r="IZQ149" s="199"/>
      <c r="IZR149" s="200"/>
      <c r="IZS149" s="201"/>
      <c r="IZT149" s="202"/>
      <c r="IZU149" s="202"/>
      <c r="IZV149" s="202"/>
      <c r="IZW149" s="202"/>
      <c r="IZX149" s="203"/>
      <c r="IZY149" s="204"/>
      <c r="IZZ149" s="204"/>
      <c r="JAA149" s="204"/>
      <c r="JAB149" s="205"/>
      <c r="JAC149" s="206"/>
      <c r="JAD149" s="207"/>
      <c r="JAE149" s="207"/>
      <c r="JAF149" s="208"/>
      <c r="JAG149" s="209"/>
      <c r="JAH149" s="207"/>
      <c r="JAI149" s="210"/>
      <c r="JAJ149" s="209"/>
      <c r="JAK149" s="204"/>
      <c r="JAL149" s="204"/>
      <c r="JAM149" s="204"/>
      <c r="JAN149" s="199"/>
      <c r="JAO149" s="167"/>
      <c r="JAP149" s="199"/>
      <c r="JAQ149" s="200"/>
      <c r="JAR149" s="201"/>
      <c r="JAS149" s="202"/>
      <c r="JAT149" s="202"/>
      <c r="JAU149" s="202"/>
      <c r="JAV149" s="202"/>
      <c r="JAW149" s="203"/>
      <c r="JAX149" s="204"/>
      <c r="JAY149" s="204"/>
      <c r="JAZ149" s="204"/>
      <c r="JBA149" s="205"/>
      <c r="JBB149" s="206"/>
      <c r="JBC149" s="207"/>
      <c r="JBD149" s="207"/>
      <c r="JBE149" s="208"/>
      <c r="JBF149" s="209"/>
      <c r="JBG149" s="207"/>
      <c r="JBH149" s="210"/>
      <c r="JBI149" s="209"/>
      <c r="JBJ149" s="204"/>
      <c r="JBK149" s="204"/>
      <c r="JBL149" s="204"/>
      <c r="JBM149" s="199"/>
      <c r="JBN149" s="167"/>
      <c r="JBO149" s="199"/>
      <c r="JBP149" s="200"/>
      <c r="JBQ149" s="201"/>
      <c r="JBR149" s="202"/>
      <c r="JBS149" s="202"/>
      <c r="JBT149" s="202"/>
      <c r="JBU149" s="202"/>
      <c r="JBV149" s="203"/>
      <c r="JBW149" s="204"/>
      <c r="JBX149" s="204"/>
      <c r="JBY149" s="204"/>
      <c r="JBZ149" s="205"/>
      <c r="JCA149" s="206"/>
      <c r="JCB149" s="207"/>
      <c r="JCC149" s="207"/>
      <c r="JCD149" s="208"/>
      <c r="JCE149" s="209"/>
      <c r="JCF149" s="207"/>
      <c r="JCG149" s="210"/>
      <c r="JCH149" s="209"/>
      <c r="JCI149" s="204"/>
      <c r="JCJ149" s="204"/>
      <c r="JCK149" s="204"/>
      <c r="JCL149" s="199"/>
      <c r="JCM149" s="167"/>
      <c r="JCN149" s="199"/>
      <c r="JCO149" s="200"/>
      <c r="JCP149" s="201"/>
      <c r="JCQ149" s="202"/>
      <c r="JCR149" s="202"/>
      <c r="JCS149" s="202"/>
      <c r="JCT149" s="202"/>
      <c r="JCU149" s="203"/>
      <c r="JCV149" s="204"/>
      <c r="JCW149" s="204"/>
      <c r="JCX149" s="204"/>
      <c r="JCY149" s="205"/>
      <c r="JCZ149" s="206"/>
      <c r="JDA149" s="207"/>
      <c r="JDB149" s="207"/>
      <c r="JDC149" s="208"/>
      <c r="JDD149" s="209"/>
      <c r="JDE149" s="207"/>
      <c r="JDF149" s="210"/>
      <c r="JDG149" s="209"/>
      <c r="JDH149" s="204"/>
      <c r="JDI149" s="204"/>
      <c r="JDJ149" s="204"/>
      <c r="JDK149" s="199"/>
      <c r="JDL149" s="167"/>
      <c r="JDM149" s="199"/>
      <c r="JDN149" s="200"/>
      <c r="JDO149" s="201"/>
      <c r="JDP149" s="202"/>
      <c r="JDQ149" s="202"/>
      <c r="JDR149" s="202"/>
      <c r="JDS149" s="202"/>
      <c r="JDT149" s="203"/>
      <c r="JDU149" s="204"/>
      <c r="JDV149" s="204"/>
      <c r="JDW149" s="204"/>
      <c r="JDX149" s="205"/>
      <c r="JDY149" s="206"/>
      <c r="JDZ149" s="207"/>
      <c r="JEA149" s="207"/>
      <c r="JEB149" s="208"/>
      <c r="JEC149" s="209"/>
      <c r="JED149" s="207"/>
      <c r="JEE149" s="210"/>
      <c r="JEF149" s="209"/>
      <c r="JEG149" s="204"/>
      <c r="JEH149" s="204"/>
      <c r="JEI149" s="204"/>
      <c r="JEJ149" s="199"/>
      <c r="JEK149" s="167"/>
      <c r="JEL149" s="199"/>
      <c r="JEM149" s="200"/>
      <c r="JEN149" s="201"/>
      <c r="JEO149" s="202"/>
      <c r="JEP149" s="202"/>
      <c r="JEQ149" s="202"/>
      <c r="JER149" s="202"/>
      <c r="JES149" s="203"/>
      <c r="JET149" s="204"/>
      <c r="JEU149" s="204"/>
      <c r="JEV149" s="204"/>
      <c r="JEW149" s="205"/>
      <c r="JEX149" s="206"/>
      <c r="JEY149" s="207"/>
      <c r="JEZ149" s="207"/>
      <c r="JFA149" s="208"/>
      <c r="JFB149" s="209"/>
      <c r="JFC149" s="207"/>
      <c r="JFD149" s="210"/>
      <c r="JFE149" s="209"/>
      <c r="JFF149" s="204"/>
      <c r="JFG149" s="204"/>
      <c r="JFH149" s="204"/>
      <c r="JFI149" s="199"/>
      <c r="JFJ149" s="167"/>
      <c r="JFK149" s="199"/>
      <c r="JFL149" s="200"/>
      <c r="JFM149" s="201"/>
      <c r="JFN149" s="202"/>
      <c r="JFO149" s="202"/>
      <c r="JFP149" s="202"/>
      <c r="JFQ149" s="202"/>
      <c r="JFR149" s="203"/>
      <c r="JFS149" s="204"/>
      <c r="JFT149" s="204"/>
      <c r="JFU149" s="204"/>
      <c r="JFV149" s="205"/>
      <c r="JFW149" s="206"/>
      <c r="JFX149" s="207"/>
      <c r="JFY149" s="207"/>
      <c r="JFZ149" s="208"/>
      <c r="JGA149" s="209"/>
      <c r="JGB149" s="207"/>
      <c r="JGC149" s="210"/>
      <c r="JGD149" s="209"/>
      <c r="JGE149" s="204"/>
      <c r="JGF149" s="204"/>
      <c r="JGG149" s="204"/>
      <c r="JGH149" s="199"/>
      <c r="JGI149" s="167"/>
      <c r="JGJ149" s="199"/>
      <c r="JGK149" s="200"/>
      <c r="JGL149" s="201"/>
      <c r="JGM149" s="202"/>
      <c r="JGN149" s="202"/>
      <c r="JGO149" s="202"/>
      <c r="JGP149" s="202"/>
      <c r="JGQ149" s="203"/>
      <c r="JGR149" s="204"/>
      <c r="JGS149" s="204"/>
      <c r="JGT149" s="204"/>
      <c r="JGU149" s="205"/>
      <c r="JGV149" s="206"/>
      <c r="JGW149" s="207"/>
      <c r="JGX149" s="207"/>
      <c r="JGY149" s="208"/>
      <c r="JGZ149" s="209"/>
      <c r="JHA149" s="207"/>
      <c r="JHB149" s="210"/>
      <c r="JHC149" s="209"/>
      <c r="JHD149" s="204"/>
      <c r="JHE149" s="204"/>
      <c r="JHF149" s="204"/>
      <c r="JHG149" s="199"/>
      <c r="JHH149" s="167"/>
      <c r="JHI149" s="199"/>
      <c r="JHJ149" s="200"/>
      <c r="JHK149" s="201"/>
      <c r="JHL149" s="202"/>
      <c r="JHM149" s="202"/>
      <c r="JHN149" s="202"/>
      <c r="JHO149" s="202"/>
      <c r="JHP149" s="203"/>
      <c r="JHQ149" s="204"/>
      <c r="JHR149" s="204"/>
      <c r="JHS149" s="204"/>
      <c r="JHT149" s="205"/>
      <c r="JHU149" s="206"/>
      <c r="JHV149" s="207"/>
      <c r="JHW149" s="207"/>
      <c r="JHX149" s="208"/>
      <c r="JHY149" s="209"/>
      <c r="JHZ149" s="207"/>
      <c r="JIA149" s="210"/>
      <c r="JIB149" s="209"/>
      <c r="JIC149" s="204"/>
      <c r="JID149" s="204"/>
      <c r="JIE149" s="204"/>
      <c r="JIF149" s="199"/>
      <c r="JIG149" s="167"/>
      <c r="JIH149" s="199"/>
      <c r="JII149" s="200"/>
      <c r="JIJ149" s="201"/>
      <c r="JIK149" s="202"/>
      <c r="JIL149" s="202"/>
      <c r="JIM149" s="202"/>
      <c r="JIN149" s="202"/>
      <c r="JIO149" s="203"/>
      <c r="JIP149" s="204"/>
      <c r="JIQ149" s="204"/>
      <c r="JIR149" s="204"/>
      <c r="JIS149" s="205"/>
      <c r="JIT149" s="206"/>
      <c r="JIU149" s="207"/>
      <c r="JIV149" s="207"/>
      <c r="JIW149" s="208"/>
      <c r="JIX149" s="209"/>
      <c r="JIY149" s="207"/>
      <c r="JIZ149" s="210"/>
      <c r="JJA149" s="209"/>
      <c r="JJB149" s="204"/>
      <c r="JJC149" s="204"/>
      <c r="JJD149" s="204"/>
      <c r="JJE149" s="199"/>
      <c r="JJF149" s="167"/>
      <c r="JJG149" s="199"/>
      <c r="JJH149" s="200"/>
      <c r="JJI149" s="201"/>
      <c r="JJJ149" s="202"/>
      <c r="JJK149" s="202"/>
      <c r="JJL149" s="202"/>
      <c r="JJM149" s="202"/>
      <c r="JJN149" s="203"/>
      <c r="JJO149" s="204"/>
      <c r="JJP149" s="204"/>
      <c r="JJQ149" s="204"/>
      <c r="JJR149" s="205"/>
      <c r="JJS149" s="206"/>
      <c r="JJT149" s="207"/>
      <c r="JJU149" s="207"/>
      <c r="JJV149" s="208"/>
      <c r="JJW149" s="209"/>
      <c r="JJX149" s="207"/>
      <c r="JJY149" s="210"/>
      <c r="JJZ149" s="209"/>
      <c r="JKA149" s="204"/>
      <c r="JKB149" s="204"/>
      <c r="JKC149" s="204"/>
      <c r="JKD149" s="199"/>
      <c r="JKE149" s="167"/>
      <c r="JKF149" s="199"/>
      <c r="JKG149" s="200"/>
      <c r="JKH149" s="201"/>
      <c r="JKI149" s="202"/>
      <c r="JKJ149" s="202"/>
      <c r="JKK149" s="202"/>
      <c r="JKL149" s="202"/>
      <c r="JKM149" s="203"/>
      <c r="JKN149" s="204"/>
      <c r="JKO149" s="204"/>
      <c r="JKP149" s="204"/>
      <c r="JKQ149" s="205"/>
      <c r="JKR149" s="206"/>
      <c r="JKS149" s="207"/>
      <c r="JKT149" s="207"/>
      <c r="JKU149" s="208"/>
      <c r="JKV149" s="209"/>
      <c r="JKW149" s="207"/>
      <c r="JKX149" s="210"/>
      <c r="JKY149" s="209"/>
      <c r="JKZ149" s="204"/>
      <c r="JLA149" s="204"/>
      <c r="JLB149" s="204"/>
      <c r="JLC149" s="199"/>
      <c r="JLD149" s="167"/>
      <c r="JLE149" s="199"/>
      <c r="JLF149" s="200"/>
      <c r="JLG149" s="201"/>
      <c r="JLH149" s="202"/>
      <c r="JLI149" s="202"/>
      <c r="JLJ149" s="202"/>
      <c r="JLK149" s="202"/>
      <c r="JLL149" s="203"/>
      <c r="JLM149" s="204"/>
      <c r="JLN149" s="204"/>
      <c r="JLO149" s="204"/>
      <c r="JLP149" s="205"/>
      <c r="JLQ149" s="206"/>
      <c r="JLR149" s="207"/>
      <c r="JLS149" s="207"/>
      <c r="JLT149" s="208"/>
      <c r="JLU149" s="209"/>
      <c r="JLV149" s="207"/>
      <c r="JLW149" s="210"/>
      <c r="JLX149" s="209"/>
      <c r="JLY149" s="204"/>
      <c r="JLZ149" s="204"/>
      <c r="JMA149" s="204"/>
      <c r="JMB149" s="199"/>
      <c r="JMC149" s="167"/>
      <c r="JMD149" s="199"/>
      <c r="JME149" s="200"/>
      <c r="JMF149" s="201"/>
      <c r="JMG149" s="202"/>
      <c r="JMH149" s="202"/>
      <c r="JMI149" s="202"/>
      <c r="JMJ149" s="202"/>
      <c r="JMK149" s="203"/>
      <c r="JML149" s="204"/>
      <c r="JMM149" s="204"/>
      <c r="JMN149" s="204"/>
      <c r="JMO149" s="205"/>
      <c r="JMP149" s="206"/>
      <c r="JMQ149" s="207"/>
      <c r="JMR149" s="207"/>
      <c r="JMS149" s="208"/>
      <c r="JMT149" s="209"/>
      <c r="JMU149" s="207"/>
      <c r="JMV149" s="210"/>
      <c r="JMW149" s="209"/>
      <c r="JMX149" s="204"/>
      <c r="JMY149" s="204"/>
      <c r="JMZ149" s="204"/>
      <c r="JNA149" s="199"/>
      <c r="JNB149" s="167"/>
      <c r="JNC149" s="199"/>
      <c r="JND149" s="200"/>
      <c r="JNE149" s="201"/>
      <c r="JNF149" s="202"/>
      <c r="JNG149" s="202"/>
      <c r="JNH149" s="202"/>
      <c r="JNI149" s="202"/>
      <c r="JNJ149" s="203"/>
      <c r="JNK149" s="204"/>
      <c r="JNL149" s="204"/>
      <c r="JNM149" s="204"/>
      <c r="JNN149" s="205"/>
      <c r="JNO149" s="206"/>
      <c r="JNP149" s="207"/>
      <c r="JNQ149" s="207"/>
      <c r="JNR149" s="208"/>
      <c r="JNS149" s="209"/>
      <c r="JNT149" s="207"/>
      <c r="JNU149" s="210"/>
      <c r="JNV149" s="209"/>
      <c r="JNW149" s="204"/>
      <c r="JNX149" s="204"/>
      <c r="JNY149" s="204"/>
      <c r="JNZ149" s="199"/>
      <c r="JOA149" s="167"/>
      <c r="JOB149" s="199"/>
      <c r="JOC149" s="200"/>
      <c r="JOD149" s="201"/>
      <c r="JOE149" s="202"/>
      <c r="JOF149" s="202"/>
      <c r="JOG149" s="202"/>
      <c r="JOH149" s="202"/>
      <c r="JOI149" s="203"/>
      <c r="JOJ149" s="204"/>
      <c r="JOK149" s="204"/>
      <c r="JOL149" s="204"/>
      <c r="JOM149" s="205"/>
      <c r="JON149" s="206"/>
      <c r="JOO149" s="207"/>
      <c r="JOP149" s="207"/>
      <c r="JOQ149" s="208"/>
      <c r="JOR149" s="209"/>
      <c r="JOS149" s="207"/>
      <c r="JOT149" s="210"/>
      <c r="JOU149" s="209"/>
      <c r="JOV149" s="204"/>
      <c r="JOW149" s="204"/>
      <c r="JOX149" s="204"/>
      <c r="JOY149" s="199"/>
      <c r="JOZ149" s="167"/>
      <c r="JPA149" s="199"/>
      <c r="JPB149" s="200"/>
      <c r="JPC149" s="201"/>
      <c r="JPD149" s="202"/>
      <c r="JPE149" s="202"/>
      <c r="JPF149" s="202"/>
      <c r="JPG149" s="202"/>
      <c r="JPH149" s="203"/>
      <c r="JPI149" s="204"/>
      <c r="JPJ149" s="204"/>
      <c r="JPK149" s="204"/>
      <c r="JPL149" s="205"/>
      <c r="JPM149" s="206"/>
      <c r="JPN149" s="207"/>
      <c r="JPO149" s="207"/>
      <c r="JPP149" s="208"/>
      <c r="JPQ149" s="209"/>
      <c r="JPR149" s="207"/>
      <c r="JPS149" s="210"/>
      <c r="JPT149" s="209"/>
      <c r="JPU149" s="204"/>
      <c r="JPV149" s="204"/>
      <c r="JPW149" s="204"/>
      <c r="JPX149" s="199"/>
      <c r="JPY149" s="167"/>
      <c r="JPZ149" s="199"/>
      <c r="JQA149" s="200"/>
      <c r="JQB149" s="201"/>
      <c r="JQC149" s="202"/>
      <c r="JQD149" s="202"/>
      <c r="JQE149" s="202"/>
      <c r="JQF149" s="202"/>
      <c r="JQG149" s="203"/>
      <c r="JQH149" s="204"/>
      <c r="JQI149" s="204"/>
      <c r="JQJ149" s="204"/>
      <c r="JQK149" s="205"/>
      <c r="JQL149" s="206"/>
      <c r="JQM149" s="207"/>
      <c r="JQN149" s="207"/>
      <c r="JQO149" s="208"/>
      <c r="JQP149" s="209"/>
      <c r="JQQ149" s="207"/>
      <c r="JQR149" s="210"/>
      <c r="JQS149" s="209"/>
      <c r="JQT149" s="204"/>
      <c r="JQU149" s="204"/>
      <c r="JQV149" s="204"/>
      <c r="JQW149" s="199"/>
      <c r="JQX149" s="167"/>
      <c r="JQY149" s="199"/>
      <c r="JQZ149" s="200"/>
      <c r="JRA149" s="201"/>
      <c r="JRB149" s="202"/>
      <c r="JRC149" s="202"/>
      <c r="JRD149" s="202"/>
      <c r="JRE149" s="202"/>
      <c r="JRF149" s="203"/>
      <c r="JRG149" s="204"/>
      <c r="JRH149" s="204"/>
      <c r="JRI149" s="204"/>
      <c r="JRJ149" s="205"/>
      <c r="JRK149" s="206"/>
      <c r="JRL149" s="207"/>
      <c r="JRM149" s="207"/>
      <c r="JRN149" s="208"/>
      <c r="JRO149" s="209"/>
      <c r="JRP149" s="207"/>
      <c r="JRQ149" s="210"/>
      <c r="JRR149" s="209"/>
      <c r="JRS149" s="204"/>
      <c r="JRT149" s="204"/>
      <c r="JRU149" s="204"/>
      <c r="JRV149" s="199"/>
      <c r="JRW149" s="167"/>
      <c r="JRX149" s="199"/>
      <c r="JRY149" s="200"/>
      <c r="JRZ149" s="201"/>
      <c r="JSA149" s="202"/>
      <c r="JSB149" s="202"/>
      <c r="JSC149" s="202"/>
      <c r="JSD149" s="202"/>
      <c r="JSE149" s="203"/>
      <c r="JSF149" s="204"/>
      <c r="JSG149" s="204"/>
      <c r="JSH149" s="204"/>
      <c r="JSI149" s="205"/>
      <c r="JSJ149" s="206"/>
      <c r="JSK149" s="207"/>
      <c r="JSL149" s="207"/>
      <c r="JSM149" s="208"/>
      <c r="JSN149" s="209"/>
      <c r="JSO149" s="207"/>
      <c r="JSP149" s="210"/>
      <c r="JSQ149" s="209"/>
      <c r="JSR149" s="204"/>
      <c r="JSS149" s="204"/>
      <c r="JST149" s="204"/>
      <c r="JSU149" s="199"/>
      <c r="JSV149" s="167"/>
      <c r="JSW149" s="199"/>
      <c r="JSX149" s="200"/>
      <c r="JSY149" s="201"/>
      <c r="JSZ149" s="202"/>
      <c r="JTA149" s="202"/>
      <c r="JTB149" s="202"/>
      <c r="JTC149" s="202"/>
      <c r="JTD149" s="203"/>
      <c r="JTE149" s="204"/>
      <c r="JTF149" s="204"/>
      <c r="JTG149" s="204"/>
      <c r="JTH149" s="205"/>
      <c r="JTI149" s="206"/>
      <c r="JTJ149" s="207"/>
      <c r="JTK149" s="207"/>
      <c r="JTL149" s="208"/>
      <c r="JTM149" s="209"/>
      <c r="JTN149" s="207"/>
      <c r="JTO149" s="210"/>
      <c r="JTP149" s="209"/>
      <c r="JTQ149" s="204"/>
      <c r="JTR149" s="204"/>
      <c r="JTS149" s="204"/>
      <c r="JTT149" s="199"/>
      <c r="JTU149" s="167"/>
      <c r="JTV149" s="199"/>
      <c r="JTW149" s="200"/>
      <c r="JTX149" s="201"/>
      <c r="JTY149" s="202"/>
      <c r="JTZ149" s="202"/>
      <c r="JUA149" s="202"/>
      <c r="JUB149" s="202"/>
      <c r="JUC149" s="203"/>
      <c r="JUD149" s="204"/>
      <c r="JUE149" s="204"/>
      <c r="JUF149" s="204"/>
      <c r="JUG149" s="205"/>
      <c r="JUH149" s="206"/>
      <c r="JUI149" s="207"/>
      <c r="JUJ149" s="207"/>
      <c r="JUK149" s="208"/>
      <c r="JUL149" s="209"/>
      <c r="JUM149" s="207"/>
      <c r="JUN149" s="210"/>
      <c r="JUO149" s="209"/>
      <c r="JUP149" s="204"/>
      <c r="JUQ149" s="204"/>
      <c r="JUR149" s="204"/>
      <c r="JUS149" s="199"/>
      <c r="JUT149" s="167"/>
      <c r="JUU149" s="199"/>
      <c r="JUV149" s="200"/>
      <c r="JUW149" s="201"/>
      <c r="JUX149" s="202"/>
      <c r="JUY149" s="202"/>
      <c r="JUZ149" s="202"/>
      <c r="JVA149" s="202"/>
      <c r="JVB149" s="203"/>
      <c r="JVC149" s="204"/>
      <c r="JVD149" s="204"/>
      <c r="JVE149" s="204"/>
      <c r="JVF149" s="205"/>
      <c r="JVG149" s="206"/>
      <c r="JVH149" s="207"/>
      <c r="JVI149" s="207"/>
      <c r="JVJ149" s="208"/>
      <c r="JVK149" s="209"/>
      <c r="JVL149" s="207"/>
      <c r="JVM149" s="210"/>
      <c r="JVN149" s="209"/>
      <c r="JVO149" s="204"/>
      <c r="JVP149" s="204"/>
      <c r="JVQ149" s="204"/>
      <c r="JVR149" s="199"/>
      <c r="JVS149" s="167"/>
      <c r="JVT149" s="199"/>
      <c r="JVU149" s="200"/>
      <c r="JVV149" s="201"/>
      <c r="JVW149" s="202"/>
      <c r="JVX149" s="202"/>
      <c r="JVY149" s="202"/>
      <c r="JVZ149" s="202"/>
      <c r="JWA149" s="203"/>
      <c r="JWB149" s="204"/>
      <c r="JWC149" s="204"/>
      <c r="JWD149" s="204"/>
      <c r="JWE149" s="205"/>
      <c r="JWF149" s="206"/>
      <c r="JWG149" s="207"/>
      <c r="JWH149" s="207"/>
      <c r="JWI149" s="208"/>
      <c r="JWJ149" s="209"/>
      <c r="JWK149" s="207"/>
      <c r="JWL149" s="210"/>
      <c r="JWM149" s="209"/>
      <c r="JWN149" s="204"/>
      <c r="JWO149" s="204"/>
      <c r="JWP149" s="204"/>
      <c r="JWQ149" s="199"/>
      <c r="JWR149" s="167"/>
      <c r="JWS149" s="199"/>
      <c r="JWT149" s="200"/>
      <c r="JWU149" s="201"/>
      <c r="JWV149" s="202"/>
      <c r="JWW149" s="202"/>
      <c r="JWX149" s="202"/>
      <c r="JWY149" s="202"/>
      <c r="JWZ149" s="203"/>
      <c r="JXA149" s="204"/>
      <c r="JXB149" s="204"/>
      <c r="JXC149" s="204"/>
      <c r="JXD149" s="205"/>
      <c r="JXE149" s="206"/>
      <c r="JXF149" s="207"/>
      <c r="JXG149" s="207"/>
      <c r="JXH149" s="208"/>
      <c r="JXI149" s="209"/>
      <c r="JXJ149" s="207"/>
      <c r="JXK149" s="210"/>
      <c r="JXL149" s="209"/>
      <c r="JXM149" s="204"/>
      <c r="JXN149" s="204"/>
      <c r="JXO149" s="204"/>
      <c r="JXP149" s="199"/>
      <c r="JXQ149" s="167"/>
      <c r="JXR149" s="199"/>
      <c r="JXS149" s="200"/>
      <c r="JXT149" s="201"/>
      <c r="JXU149" s="202"/>
      <c r="JXV149" s="202"/>
      <c r="JXW149" s="202"/>
      <c r="JXX149" s="202"/>
      <c r="JXY149" s="203"/>
      <c r="JXZ149" s="204"/>
      <c r="JYA149" s="204"/>
      <c r="JYB149" s="204"/>
      <c r="JYC149" s="205"/>
      <c r="JYD149" s="206"/>
      <c r="JYE149" s="207"/>
      <c r="JYF149" s="207"/>
      <c r="JYG149" s="208"/>
      <c r="JYH149" s="209"/>
      <c r="JYI149" s="207"/>
      <c r="JYJ149" s="210"/>
      <c r="JYK149" s="209"/>
      <c r="JYL149" s="204"/>
      <c r="JYM149" s="204"/>
      <c r="JYN149" s="204"/>
      <c r="JYO149" s="199"/>
      <c r="JYP149" s="167"/>
      <c r="JYQ149" s="199"/>
      <c r="JYR149" s="200"/>
      <c r="JYS149" s="201"/>
      <c r="JYT149" s="202"/>
      <c r="JYU149" s="202"/>
      <c r="JYV149" s="202"/>
      <c r="JYW149" s="202"/>
      <c r="JYX149" s="203"/>
      <c r="JYY149" s="204"/>
      <c r="JYZ149" s="204"/>
      <c r="JZA149" s="204"/>
      <c r="JZB149" s="205"/>
      <c r="JZC149" s="206"/>
      <c r="JZD149" s="207"/>
      <c r="JZE149" s="207"/>
      <c r="JZF149" s="208"/>
      <c r="JZG149" s="209"/>
      <c r="JZH149" s="207"/>
      <c r="JZI149" s="210"/>
      <c r="JZJ149" s="209"/>
      <c r="JZK149" s="204"/>
      <c r="JZL149" s="204"/>
      <c r="JZM149" s="204"/>
      <c r="JZN149" s="199"/>
      <c r="JZO149" s="167"/>
      <c r="JZP149" s="199"/>
      <c r="JZQ149" s="200"/>
      <c r="JZR149" s="201"/>
      <c r="JZS149" s="202"/>
      <c r="JZT149" s="202"/>
      <c r="JZU149" s="202"/>
      <c r="JZV149" s="202"/>
      <c r="JZW149" s="203"/>
      <c r="JZX149" s="204"/>
      <c r="JZY149" s="204"/>
      <c r="JZZ149" s="204"/>
      <c r="KAA149" s="205"/>
      <c r="KAB149" s="206"/>
      <c r="KAC149" s="207"/>
      <c r="KAD149" s="207"/>
      <c r="KAE149" s="208"/>
      <c r="KAF149" s="209"/>
      <c r="KAG149" s="207"/>
      <c r="KAH149" s="210"/>
      <c r="KAI149" s="209"/>
      <c r="KAJ149" s="204"/>
      <c r="KAK149" s="204"/>
      <c r="KAL149" s="204"/>
      <c r="KAM149" s="199"/>
      <c r="KAN149" s="167"/>
      <c r="KAO149" s="199"/>
      <c r="KAP149" s="200"/>
      <c r="KAQ149" s="201"/>
      <c r="KAR149" s="202"/>
      <c r="KAS149" s="202"/>
      <c r="KAT149" s="202"/>
      <c r="KAU149" s="202"/>
      <c r="KAV149" s="203"/>
      <c r="KAW149" s="204"/>
      <c r="KAX149" s="204"/>
      <c r="KAY149" s="204"/>
      <c r="KAZ149" s="205"/>
      <c r="KBA149" s="206"/>
      <c r="KBB149" s="207"/>
      <c r="KBC149" s="207"/>
      <c r="KBD149" s="208"/>
      <c r="KBE149" s="209"/>
      <c r="KBF149" s="207"/>
      <c r="KBG149" s="210"/>
      <c r="KBH149" s="209"/>
      <c r="KBI149" s="204"/>
      <c r="KBJ149" s="204"/>
      <c r="KBK149" s="204"/>
      <c r="KBL149" s="199"/>
      <c r="KBM149" s="167"/>
      <c r="KBN149" s="199"/>
      <c r="KBO149" s="200"/>
      <c r="KBP149" s="201"/>
      <c r="KBQ149" s="202"/>
      <c r="KBR149" s="202"/>
      <c r="KBS149" s="202"/>
      <c r="KBT149" s="202"/>
      <c r="KBU149" s="203"/>
      <c r="KBV149" s="204"/>
      <c r="KBW149" s="204"/>
      <c r="KBX149" s="204"/>
      <c r="KBY149" s="205"/>
      <c r="KBZ149" s="206"/>
      <c r="KCA149" s="207"/>
      <c r="KCB149" s="207"/>
      <c r="KCC149" s="208"/>
      <c r="KCD149" s="209"/>
      <c r="KCE149" s="207"/>
      <c r="KCF149" s="210"/>
      <c r="KCG149" s="209"/>
      <c r="KCH149" s="204"/>
      <c r="KCI149" s="204"/>
      <c r="KCJ149" s="204"/>
      <c r="KCK149" s="199"/>
      <c r="KCL149" s="167"/>
      <c r="KCM149" s="199"/>
      <c r="KCN149" s="200"/>
      <c r="KCO149" s="201"/>
      <c r="KCP149" s="202"/>
      <c r="KCQ149" s="202"/>
      <c r="KCR149" s="202"/>
      <c r="KCS149" s="202"/>
      <c r="KCT149" s="203"/>
      <c r="KCU149" s="204"/>
      <c r="KCV149" s="204"/>
      <c r="KCW149" s="204"/>
      <c r="KCX149" s="205"/>
      <c r="KCY149" s="206"/>
      <c r="KCZ149" s="207"/>
      <c r="KDA149" s="207"/>
      <c r="KDB149" s="208"/>
      <c r="KDC149" s="209"/>
      <c r="KDD149" s="207"/>
      <c r="KDE149" s="210"/>
      <c r="KDF149" s="209"/>
      <c r="KDG149" s="204"/>
      <c r="KDH149" s="204"/>
      <c r="KDI149" s="204"/>
      <c r="KDJ149" s="199"/>
      <c r="KDK149" s="167"/>
      <c r="KDL149" s="199"/>
      <c r="KDM149" s="200"/>
      <c r="KDN149" s="201"/>
      <c r="KDO149" s="202"/>
      <c r="KDP149" s="202"/>
      <c r="KDQ149" s="202"/>
      <c r="KDR149" s="202"/>
      <c r="KDS149" s="203"/>
      <c r="KDT149" s="204"/>
      <c r="KDU149" s="204"/>
      <c r="KDV149" s="204"/>
      <c r="KDW149" s="205"/>
      <c r="KDX149" s="206"/>
      <c r="KDY149" s="207"/>
      <c r="KDZ149" s="207"/>
      <c r="KEA149" s="208"/>
      <c r="KEB149" s="209"/>
      <c r="KEC149" s="207"/>
      <c r="KED149" s="210"/>
      <c r="KEE149" s="209"/>
      <c r="KEF149" s="204"/>
      <c r="KEG149" s="204"/>
      <c r="KEH149" s="204"/>
      <c r="KEI149" s="199"/>
      <c r="KEJ149" s="167"/>
      <c r="KEK149" s="199"/>
      <c r="KEL149" s="200"/>
      <c r="KEM149" s="201"/>
      <c r="KEN149" s="202"/>
      <c r="KEO149" s="202"/>
      <c r="KEP149" s="202"/>
      <c r="KEQ149" s="202"/>
      <c r="KER149" s="203"/>
      <c r="KES149" s="204"/>
      <c r="KET149" s="204"/>
      <c r="KEU149" s="204"/>
      <c r="KEV149" s="205"/>
      <c r="KEW149" s="206"/>
      <c r="KEX149" s="207"/>
      <c r="KEY149" s="207"/>
      <c r="KEZ149" s="208"/>
      <c r="KFA149" s="209"/>
      <c r="KFB149" s="207"/>
      <c r="KFC149" s="210"/>
      <c r="KFD149" s="209"/>
      <c r="KFE149" s="204"/>
      <c r="KFF149" s="204"/>
      <c r="KFG149" s="204"/>
      <c r="KFH149" s="199"/>
      <c r="KFI149" s="167"/>
      <c r="KFJ149" s="199"/>
      <c r="KFK149" s="200"/>
      <c r="KFL149" s="201"/>
      <c r="KFM149" s="202"/>
      <c r="KFN149" s="202"/>
      <c r="KFO149" s="202"/>
      <c r="KFP149" s="202"/>
      <c r="KFQ149" s="203"/>
      <c r="KFR149" s="204"/>
      <c r="KFS149" s="204"/>
      <c r="KFT149" s="204"/>
      <c r="KFU149" s="205"/>
      <c r="KFV149" s="206"/>
      <c r="KFW149" s="207"/>
      <c r="KFX149" s="207"/>
      <c r="KFY149" s="208"/>
      <c r="KFZ149" s="209"/>
      <c r="KGA149" s="207"/>
      <c r="KGB149" s="210"/>
      <c r="KGC149" s="209"/>
      <c r="KGD149" s="204"/>
      <c r="KGE149" s="204"/>
      <c r="KGF149" s="204"/>
      <c r="KGG149" s="199"/>
      <c r="KGH149" s="167"/>
      <c r="KGI149" s="199"/>
      <c r="KGJ149" s="200"/>
      <c r="KGK149" s="201"/>
      <c r="KGL149" s="202"/>
      <c r="KGM149" s="202"/>
      <c r="KGN149" s="202"/>
      <c r="KGO149" s="202"/>
      <c r="KGP149" s="203"/>
      <c r="KGQ149" s="204"/>
      <c r="KGR149" s="204"/>
      <c r="KGS149" s="204"/>
      <c r="KGT149" s="205"/>
      <c r="KGU149" s="206"/>
      <c r="KGV149" s="207"/>
      <c r="KGW149" s="207"/>
      <c r="KGX149" s="208"/>
      <c r="KGY149" s="209"/>
      <c r="KGZ149" s="207"/>
      <c r="KHA149" s="210"/>
      <c r="KHB149" s="209"/>
      <c r="KHC149" s="204"/>
      <c r="KHD149" s="204"/>
      <c r="KHE149" s="204"/>
      <c r="KHF149" s="199"/>
      <c r="KHG149" s="167"/>
      <c r="KHH149" s="199"/>
      <c r="KHI149" s="200"/>
      <c r="KHJ149" s="201"/>
      <c r="KHK149" s="202"/>
      <c r="KHL149" s="202"/>
      <c r="KHM149" s="202"/>
      <c r="KHN149" s="202"/>
      <c r="KHO149" s="203"/>
      <c r="KHP149" s="204"/>
      <c r="KHQ149" s="204"/>
      <c r="KHR149" s="204"/>
      <c r="KHS149" s="205"/>
      <c r="KHT149" s="206"/>
      <c r="KHU149" s="207"/>
      <c r="KHV149" s="207"/>
      <c r="KHW149" s="208"/>
      <c r="KHX149" s="209"/>
      <c r="KHY149" s="207"/>
      <c r="KHZ149" s="210"/>
      <c r="KIA149" s="209"/>
      <c r="KIB149" s="204"/>
      <c r="KIC149" s="204"/>
      <c r="KID149" s="204"/>
      <c r="KIE149" s="199"/>
      <c r="KIF149" s="167"/>
      <c r="KIG149" s="199"/>
      <c r="KIH149" s="200"/>
      <c r="KII149" s="201"/>
      <c r="KIJ149" s="202"/>
      <c r="KIK149" s="202"/>
      <c r="KIL149" s="202"/>
      <c r="KIM149" s="202"/>
      <c r="KIN149" s="203"/>
      <c r="KIO149" s="204"/>
      <c r="KIP149" s="204"/>
      <c r="KIQ149" s="204"/>
      <c r="KIR149" s="205"/>
      <c r="KIS149" s="206"/>
      <c r="KIT149" s="207"/>
      <c r="KIU149" s="207"/>
      <c r="KIV149" s="208"/>
      <c r="KIW149" s="209"/>
      <c r="KIX149" s="207"/>
      <c r="KIY149" s="210"/>
      <c r="KIZ149" s="209"/>
      <c r="KJA149" s="204"/>
      <c r="KJB149" s="204"/>
      <c r="KJC149" s="204"/>
      <c r="KJD149" s="199"/>
      <c r="KJE149" s="167"/>
      <c r="KJF149" s="199"/>
      <c r="KJG149" s="200"/>
      <c r="KJH149" s="201"/>
      <c r="KJI149" s="202"/>
      <c r="KJJ149" s="202"/>
      <c r="KJK149" s="202"/>
      <c r="KJL149" s="202"/>
      <c r="KJM149" s="203"/>
      <c r="KJN149" s="204"/>
      <c r="KJO149" s="204"/>
      <c r="KJP149" s="204"/>
      <c r="KJQ149" s="205"/>
      <c r="KJR149" s="206"/>
      <c r="KJS149" s="207"/>
      <c r="KJT149" s="207"/>
      <c r="KJU149" s="208"/>
      <c r="KJV149" s="209"/>
      <c r="KJW149" s="207"/>
      <c r="KJX149" s="210"/>
      <c r="KJY149" s="209"/>
      <c r="KJZ149" s="204"/>
      <c r="KKA149" s="204"/>
      <c r="KKB149" s="204"/>
      <c r="KKC149" s="199"/>
      <c r="KKD149" s="167"/>
      <c r="KKE149" s="199"/>
      <c r="KKF149" s="200"/>
      <c r="KKG149" s="201"/>
      <c r="KKH149" s="202"/>
      <c r="KKI149" s="202"/>
      <c r="KKJ149" s="202"/>
      <c r="KKK149" s="202"/>
      <c r="KKL149" s="203"/>
      <c r="KKM149" s="204"/>
      <c r="KKN149" s="204"/>
      <c r="KKO149" s="204"/>
      <c r="KKP149" s="205"/>
      <c r="KKQ149" s="206"/>
      <c r="KKR149" s="207"/>
      <c r="KKS149" s="207"/>
      <c r="KKT149" s="208"/>
      <c r="KKU149" s="209"/>
      <c r="KKV149" s="207"/>
      <c r="KKW149" s="210"/>
      <c r="KKX149" s="209"/>
      <c r="KKY149" s="204"/>
      <c r="KKZ149" s="204"/>
      <c r="KLA149" s="204"/>
      <c r="KLB149" s="199"/>
      <c r="KLC149" s="167"/>
      <c r="KLD149" s="199"/>
      <c r="KLE149" s="200"/>
      <c r="KLF149" s="201"/>
      <c r="KLG149" s="202"/>
      <c r="KLH149" s="202"/>
      <c r="KLI149" s="202"/>
      <c r="KLJ149" s="202"/>
      <c r="KLK149" s="203"/>
      <c r="KLL149" s="204"/>
      <c r="KLM149" s="204"/>
      <c r="KLN149" s="204"/>
      <c r="KLO149" s="205"/>
      <c r="KLP149" s="206"/>
      <c r="KLQ149" s="207"/>
      <c r="KLR149" s="207"/>
      <c r="KLS149" s="208"/>
      <c r="KLT149" s="209"/>
      <c r="KLU149" s="207"/>
      <c r="KLV149" s="210"/>
      <c r="KLW149" s="209"/>
      <c r="KLX149" s="204"/>
      <c r="KLY149" s="204"/>
      <c r="KLZ149" s="204"/>
      <c r="KMA149" s="199"/>
      <c r="KMB149" s="167"/>
      <c r="KMC149" s="199"/>
      <c r="KMD149" s="200"/>
      <c r="KME149" s="201"/>
      <c r="KMF149" s="202"/>
      <c r="KMG149" s="202"/>
      <c r="KMH149" s="202"/>
      <c r="KMI149" s="202"/>
      <c r="KMJ149" s="203"/>
      <c r="KMK149" s="204"/>
      <c r="KML149" s="204"/>
      <c r="KMM149" s="204"/>
      <c r="KMN149" s="205"/>
      <c r="KMO149" s="206"/>
      <c r="KMP149" s="207"/>
      <c r="KMQ149" s="207"/>
      <c r="KMR149" s="208"/>
      <c r="KMS149" s="209"/>
      <c r="KMT149" s="207"/>
      <c r="KMU149" s="210"/>
      <c r="KMV149" s="209"/>
      <c r="KMW149" s="204"/>
      <c r="KMX149" s="204"/>
      <c r="KMY149" s="204"/>
      <c r="KMZ149" s="199"/>
      <c r="KNA149" s="167"/>
      <c r="KNB149" s="199"/>
      <c r="KNC149" s="200"/>
      <c r="KND149" s="201"/>
      <c r="KNE149" s="202"/>
      <c r="KNF149" s="202"/>
      <c r="KNG149" s="202"/>
      <c r="KNH149" s="202"/>
      <c r="KNI149" s="203"/>
      <c r="KNJ149" s="204"/>
      <c r="KNK149" s="204"/>
      <c r="KNL149" s="204"/>
      <c r="KNM149" s="205"/>
      <c r="KNN149" s="206"/>
      <c r="KNO149" s="207"/>
      <c r="KNP149" s="207"/>
      <c r="KNQ149" s="208"/>
      <c r="KNR149" s="209"/>
      <c r="KNS149" s="207"/>
      <c r="KNT149" s="210"/>
      <c r="KNU149" s="209"/>
      <c r="KNV149" s="204"/>
      <c r="KNW149" s="204"/>
      <c r="KNX149" s="204"/>
      <c r="KNY149" s="199"/>
      <c r="KNZ149" s="167"/>
      <c r="KOA149" s="199"/>
      <c r="KOB149" s="200"/>
      <c r="KOC149" s="201"/>
      <c r="KOD149" s="202"/>
      <c r="KOE149" s="202"/>
      <c r="KOF149" s="202"/>
      <c r="KOG149" s="202"/>
      <c r="KOH149" s="203"/>
      <c r="KOI149" s="204"/>
      <c r="KOJ149" s="204"/>
      <c r="KOK149" s="204"/>
      <c r="KOL149" s="205"/>
      <c r="KOM149" s="206"/>
      <c r="KON149" s="207"/>
      <c r="KOO149" s="207"/>
      <c r="KOP149" s="208"/>
      <c r="KOQ149" s="209"/>
      <c r="KOR149" s="207"/>
      <c r="KOS149" s="210"/>
      <c r="KOT149" s="209"/>
      <c r="KOU149" s="204"/>
      <c r="KOV149" s="204"/>
      <c r="KOW149" s="204"/>
      <c r="KOX149" s="199"/>
      <c r="KOY149" s="167"/>
      <c r="KOZ149" s="199"/>
      <c r="KPA149" s="200"/>
      <c r="KPB149" s="201"/>
      <c r="KPC149" s="202"/>
      <c r="KPD149" s="202"/>
      <c r="KPE149" s="202"/>
      <c r="KPF149" s="202"/>
      <c r="KPG149" s="203"/>
      <c r="KPH149" s="204"/>
      <c r="KPI149" s="204"/>
      <c r="KPJ149" s="204"/>
      <c r="KPK149" s="205"/>
      <c r="KPL149" s="206"/>
      <c r="KPM149" s="207"/>
      <c r="KPN149" s="207"/>
      <c r="KPO149" s="208"/>
      <c r="KPP149" s="209"/>
      <c r="KPQ149" s="207"/>
      <c r="KPR149" s="210"/>
      <c r="KPS149" s="209"/>
      <c r="KPT149" s="204"/>
      <c r="KPU149" s="204"/>
      <c r="KPV149" s="204"/>
      <c r="KPW149" s="199"/>
      <c r="KPX149" s="167"/>
      <c r="KPY149" s="199"/>
      <c r="KPZ149" s="200"/>
      <c r="KQA149" s="201"/>
      <c r="KQB149" s="202"/>
      <c r="KQC149" s="202"/>
      <c r="KQD149" s="202"/>
      <c r="KQE149" s="202"/>
      <c r="KQF149" s="203"/>
      <c r="KQG149" s="204"/>
      <c r="KQH149" s="204"/>
      <c r="KQI149" s="204"/>
      <c r="KQJ149" s="205"/>
      <c r="KQK149" s="206"/>
      <c r="KQL149" s="207"/>
      <c r="KQM149" s="207"/>
      <c r="KQN149" s="208"/>
      <c r="KQO149" s="209"/>
      <c r="KQP149" s="207"/>
      <c r="KQQ149" s="210"/>
      <c r="KQR149" s="209"/>
      <c r="KQS149" s="204"/>
      <c r="KQT149" s="204"/>
      <c r="KQU149" s="204"/>
      <c r="KQV149" s="199"/>
      <c r="KQW149" s="167"/>
      <c r="KQX149" s="199"/>
      <c r="KQY149" s="200"/>
      <c r="KQZ149" s="201"/>
      <c r="KRA149" s="202"/>
      <c r="KRB149" s="202"/>
      <c r="KRC149" s="202"/>
      <c r="KRD149" s="202"/>
      <c r="KRE149" s="203"/>
      <c r="KRF149" s="204"/>
      <c r="KRG149" s="204"/>
      <c r="KRH149" s="204"/>
      <c r="KRI149" s="205"/>
      <c r="KRJ149" s="206"/>
      <c r="KRK149" s="207"/>
      <c r="KRL149" s="207"/>
      <c r="KRM149" s="208"/>
      <c r="KRN149" s="209"/>
      <c r="KRO149" s="207"/>
      <c r="KRP149" s="210"/>
      <c r="KRQ149" s="209"/>
      <c r="KRR149" s="204"/>
      <c r="KRS149" s="204"/>
      <c r="KRT149" s="204"/>
      <c r="KRU149" s="199"/>
      <c r="KRV149" s="167"/>
      <c r="KRW149" s="199"/>
      <c r="KRX149" s="200"/>
      <c r="KRY149" s="201"/>
      <c r="KRZ149" s="202"/>
      <c r="KSA149" s="202"/>
      <c r="KSB149" s="202"/>
      <c r="KSC149" s="202"/>
      <c r="KSD149" s="203"/>
      <c r="KSE149" s="204"/>
      <c r="KSF149" s="204"/>
      <c r="KSG149" s="204"/>
      <c r="KSH149" s="205"/>
      <c r="KSI149" s="206"/>
      <c r="KSJ149" s="207"/>
      <c r="KSK149" s="207"/>
      <c r="KSL149" s="208"/>
      <c r="KSM149" s="209"/>
      <c r="KSN149" s="207"/>
      <c r="KSO149" s="210"/>
      <c r="KSP149" s="209"/>
      <c r="KSQ149" s="204"/>
      <c r="KSR149" s="204"/>
      <c r="KSS149" s="204"/>
      <c r="KST149" s="199"/>
      <c r="KSU149" s="167"/>
      <c r="KSV149" s="199"/>
      <c r="KSW149" s="200"/>
      <c r="KSX149" s="201"/>
      <c r="KSY149" s="202"/>
      <c r="KSZ149" s="202"/>
      <c r="KTA149" s="202"/>
      <c r="KTB149" s="202"/>
      <c r="KTC149" s="203"/>
      <c r="KTD149" s="204"/>
      <c r="KTE149" s="204"/>
      <c r="KTF149" s="204"/>
      <c r="KTG149" s="205"/>
      <c r="KTH149" s="206"/>
      <c r="KTI149" s="207"/>
      <c r="KTJ149" s="207"/>
      <c r="KTK149" s="208"/>
      <c r="KTL149" s="209"/>
      <c r="KTM149" s="207"/>
      <c r="KTN149" s="210"/>
      <c r="KTO149" s="209"/>
      <c r="KTP149" s="204"/>
      <c r="KTQ149" s="204"/>
      <c r="KTR149" s="204"/>
      <c r="KTS149" s="199"/>
      <c r="KTT149" s="167"/>
      <c r="KTU149" s="199"/>
      <c r="KTV149" s="200"/>
      <c r="KTW149" s="201"/>
      <c r="KTX149" s="202"/>
      <c r="KTY149" s="202"/>
      <c r="KTZ149" s="202"/>
      <c r="KUA149" s="202"/>
      <c r="KUB149" s="203"/>
      <c r="KUC149" s="204"/>
      <c r="KUD149" s="204"/>
      <c r="KUE149" s="204"/>
      <c r="KUF149" s="205"/>
      <c r="KUG149" s="206"/>
      <c r="KUH149" s="207"/>
      <c r="KUI149" s="207"/>
      <c r="KUJ149" s="208"/>
      <c r="KUK149" s="209"/>
      <c r="KUL149" s="207"/>
      <c r="KUM149" s="210"/>
      <c r="KUN149" s="209"/>
      <c r="KUO149" s="204"/>
      <c r="KUP149" s="204"/>
      <c r="KUQ149" s="204"/>
      <c r="KUR149" s="199"/>
      <c r="KUS149" s="167"/>
      <c r="KUT149" s="199"/>
      <c r="KUU149" s="200"/>
      <c r="KUV149" s="201"/>
      <c r="KUW149" s="202"/>
      <c r="KUX149" s="202"/>
      <c r="KUY149" s="202"/>
      <c r="KUZ149" s="202"/>
      <c r="KVA149" s="203"/>
      <c r="KVB149" s="204"/>
      <c r="KVC149" s="204"/>
      <c r="KVD149" s="204"/>
      <c r="KVE149" s="205"/>
      <c r="KVF149" s="206"/>
      <c r="KVG149" s="207"/>
      <c r="KVH149" s="207"/>
      <c r="KVI149" s="208"/>
      <c r="KVJ149" s="209"/>
      <c r="KVK149" s="207"/>
      <c r="KVL149" s="210"/>
      <c r="KVM149" s="209"/>
      <c r="KVN149" s="204"/>
      <c r="KVO149" s="204"/>
      <c r="KVP149" s="204"/>
      <c r="KVQ149" s="199"/>
      <c r="KVR149" s="167"/>
      <c r="KVS149" s="199"/>
      <c r="KVT149" s="200"/>
      <c r="KVU149" s="201"/>
      <c r="KVV149" s="202"/>
      <c r="KVW149" s="202"/>
      <c r="KVX149" s="202"/>
      <c r="KVY149" s="202"/>
      <c r="KVZ149" s="203"/>
      <c r="KWA149" s="204"/>
      <c r="KWB149" s="204"/>
      <c r="KWC149" s="204"/>
      <c r="KWD149" s="205"/>
      <c r="KWE149" s="206"/>
      <c r="KWF149" s="207"/>
      <c r="KWG149" s="207"/>
      <c r="KWH149" s="208"/>
      <c r="KWI149" s="209"/>
      <c r="KWJ149" s="207"/>
      <c r="KWK149" s="210"/>
      <c r="KWL149" s="209"/>
      <c r="KWM149" s="204"/>
      <c r="KWN149" s="204"/>
      <c r="KWO149" s="204"/>
      <c r="KWP149" s="199"/>
      <c r="KWQ149" s="167"/>
      <c r="KWR149" s="199"/>
      <c r="KWS149" s="200"/>
      <c r="KWT149" s="201"/>
      <c r="KWU149" s="202"/>
      <c r="KWV149" s="202"/>
      <c r="KWW149" s="202"/>
      <c r="KWX149" s="202"/>
      <c r="KWY149" s="203"/>
      <c r="KWZ149" s="204"/>
      <c r="KXA149" s="204"/>
      <c r="KXB149" s="204"/>
      <c r="KXC149" s="205"/>
      <c r="KXD149" s="206"/>
      <c r="KXE149" s="207"/>
      <c r="KXF149" s="207"/>
      <c r="KXG149" s="208"/>
      <c r="KXH149" s="209"/>
      <c r="KXI149" s="207"/>
      <c r="KXJ149" s="210"/>
      <c r="KXK149" s="209"/>
      <c r="KXL149" s="204"/>
      <c r="KXM149" s="204"/>
      <c r="KXN149" s="204"/>
      <c r="KXO149" s="199"/>
      <c r="KXP149" s="167"/>
      <c r="KXQ149" s="199"/>
      <c r="KXR149" s="200"/>
      <c r="KXS149" s="201"/>
      <c r="KXT149" s="202"/>
      <c r="KXU149" s="202"/>
      <c r="KXV149" s="202"/>
      <c r="KXW149" s="202"/>
      <c r="KXX149" s="203"/>
      <c r="KXY149" s="204"/>
      <c r="KXZ149" s="204"/>
      <c r="KYA149" s="204"/>
      <c r="KYB149" s="205"/>
      <c r="KYC149" s="206"/>
      <c r="KYD149" s="207"/>
      <c r="KYE149" s="207"/>
      <c r="KYF149" s="208"/>
      <c r="KYG149" s="209"/>
      <c r="KYH149" s="207"/>
      <c r="KYI149" s="210"/>
      <c r="KYJ149" s="209"/>
      <c r="KYK149" s="204"/>
      <c r="KYL149" s="204"/>
      <c r="KYM149" s="204"/>
      <c r="KYN149" s="199"/>
      <c r="KYO149" s="167"/>
      <c r="KYP149" s="199"/>
      <c r="KYQ149" s="200"/>
      <c r="KYR149" s="201"/>
      <c r="KYS149" s="202"/>
      <c r="KYT149" s="202"/>
      <c r="KYU149" s="202"/>
      <c r="KYV149" s="202"/>
      <c r="KYW149" s="203"/>
      <c r="KYX149" s="204"/>
      <c r="KYY149" s="204"/>
      <c r="KYZ149" s="204"/>
      <c r="KZA149" s="205"/>
      <c r="KZB149" s="206"/>
      <c r="KZC149" s="207"/>
      <c r="KZD149" s="207"/>
      <c r="KZE149" s="208"/>
      <c r="KZF149" s="209"/>
      <c r="KZG149" s="207"/>
      <c r="KZH149" s="210"/>
      <c r="KZI149" s="209"/>
      <c r="KZJ149" s="204"/>
      <c r="KZK149" s="204"/>
      <c r="KZL149" s="204"/>
      <c r="KZM149" s="199"/>
      <c r="KZN149" s="167"/>
      <c r="KZO149" s="199"/>
      <c r="KZP149" s="200"/>
      <c r="KZQ149" s="201"/>
      <c r="KZR149" s="202"/>
      <c r="KZS149" s="202"/>
      <c r="KZT149" s="202"/>
      <c r="KZU149" s="202"/>
      <c r="KZV149" s="203"/>
      <c r="KZW149" s="204"/>
      <c r="KZX149" s="204"/>
      <c r="KZY149" s="204"/>
      <c r="KZZ149" s="205"/>
      <c r="LAA149" s="206"/>
      <c r="LAB149" s="207"/>
      <c r="LAC149" s="207"/>
      <c r="LAD149" s="208"/>
      <c r="LAE149" s="209"/>
      <c r="LAF149" s="207"/>
      <c r="LAG149" s="210"/>
      <c r="LAH149" s="209"/>
      <c r="LAI149" s="204"/>
      <c r="LAJ149" s="204"/>
      <c r="LAK149" s="204"/>
      <c r="LAL149" s="199"/>
      <c r="LAM149" s="167"/>
      <c r="LAN149" s="199"/>
      <c r="LAO149" s="200"/>
      <c r="LAP149" s="201"/>
      <c r="LAQ149" s="202"/>
      <c r="LAR149" s="202"/>
      <c r="LAS149" s="202"/>
      <c r="LAT149" s="202"/>
      <c r="LAU149" s="203"/>
      <c r="LAV149" s="204"/>
      <c r="LAW149" s="204"/>
      <c r="LAX149" s="204"/>
      <c r="LAY149" s="205"/>
      <c r="LAZ149" s="206"/>
      <c r="LBA149" s="207"/>
      <c r="LBB149" s="207"/>
      <c r="LBC149" s="208"/>
      <c r="LBD149" s="209"/>
      <c r="LBE149" s="207"/>
      <c r="LBF149" s="210"/>
      <c r="LBG149" s="209"/>
      <c r="LBH149" s="204"/>
      <c r="LBI149" s="204"/>
      <c r="LBJ149" s="204"/>
      <c r="LBK149" s="199"/>
      <c r="LBL149" s="167"/>
      <c r="LBM149" s="199"/>
      <c r="LBN149" s="200"/>
      <c r="LBO149" s="201"/>
      <c r="LBP149" s="202"/>
      <c r="LBQ149" s="202"/>
      <c r="LBR149" s="202"/>
      <c r="LBS149" s="202"/>
      <c r="LBT149" s="203"/>
      <c r="LBU149" s="204"/>
      <c r="LBV149" s="204"/>
      <c r="LBW149" s="204"/>
      <c r="LBX149" s="205"/>
      <c r="LBY149" s="206"/>
      <c r="LBZ149" s="207"/>
      <c r="LCA149" s="207"/>
      <c r="LCB149" s="208"/>
      <c r="LCC149" s="209"/>
      <c r="LCD149" s="207"/>
      <c r="LCE149" s="210"/>
      <c r="LCF149" s="209"/>
      <c r="LCG149" s="204"/>
      <c r="LCH149" s="204"/>
      <c r="LCI149" s="204"/>
      <c r="LCJ149" s="199"/>
      <c r="LCK149" s="167"/>
      <c r="LCL149" s="199"/>
      <c r="LCM149" s="200"/>
      <c r="LCN149" s="201"/>
      <c r="LCO149" s="202"/>
      <c r="LCP149" s="202"/>
      <c r="LCQ149" s="202"/>
      <c r="LCR149" s="202"/>
      <c r="LCS149" s="203"/>
      <c r="LCT149" s="204"/>
      <c r="LCU149" s="204"/>
      <c r="LCV149" s="204"/>
      <c r="LCW149" s="205"/>
      <c r="LCX149" s="206"/>
      <c r="LCY149" s="207"/>
      <c r="LCZ149" s="207"/>
      <c r="LDA149" s="208"/>
      <c r="LDB149" s="209"/>
      <c r="LDC149" s="207"/>
      <c r="LDD149" s="210"/>
      <c r="LDE149" s="209"/>
      <c r="LDF149" s="204"/>
      <c r="LDG149" s="204"/>
      <c r="LDH149" s="204"/>
      <c r="LDI149" s="199"/>
      <c r="LDJ149" s="167"/>
      <c r="LDK149" s="199"/>
      <c r="LDL149" s="200"/>
      <c r="LDM149" s="201"/>
      <c r="LDN149" s="202"/>
      <c r="LDO149" s="202"/>
      <c r="LDP149" s="202"/>
      <c r="LDQ149" s="202"/>
      <c r="LDR149" s="203"/>
      <c r="LDS149" s="204"/>
      <c r="LDT149" s="204"/>
      <c r="LDU149" s="204"/>
      <c r="LDV149" s="205"/>
      <c r="LDW149" s="206"/>
      <c r="LDX149" s="207"/>
      <c r="LDY149" s="207"/>
      <c r="LDZ149" s="208"/>
      <c r="LEA149" s="209"/>
      <c r="LEB149" s="207"/>
      <c r="LEC149" s="210"/>
      <c r="LED149" s="209"/>
      <c r="LEE149" s="204"/>
      <c r="LEF149" s="204"/>
      <c r="LEG149" s="204"/>
      <c r="LEH149" s="199"/>
      <c r="LEI149" s="167"/>
      <c r="LEJ149" s="199"/>
      <c r="LEK149" s="200"/>
      <c r="LEL149" s="201"/>
      <c r="LEM149" s="202"/>
      <c r="LEN149" s="202"/>
      <c r="LEO149" s="202"/>
      <c r="LEP149" s="202"/>
      <c r="LEQ149" s="203"/>
      <c r="LER149" s="204"/>
      <c r="LES149" s="204"/>
      <c r="LET149" s="204"/>
      <c r="LEU149" s="205"/>
      <c r="LEV149" s="206"/>
      <c r="LEW149" s="207"/>
      <c r="LEX149" s="207"/>
      <c r="LEY149" s="208"/>
      <c r="LEZ149" s="209"/>
      <c r="LFA149" s="207"/>
      <c r="LFB149" s="210"/>
      <c r="LFC149" s="209"/>
      <c r="LFD149" s="204"/>
      <c r="LFE149" s="204"/>
      <c r="LFF149" s="204"/>
      <c r="LFG149" s="199"/>
      <c r="LFH149" s="167"/>
      <c r="LFI149" s="199"/>
      <c r="LFJ149" s="200"/>
      <c r="LFK149" s="201"/>
      <c r="LFL149" s="202"/>
      <c r="LFM149" s="202"/>
      <c r="LFN149" s="202"/>
      <c r="LFO149" s="202"/>
      <c r="LFP149" s="203"/>
      <c r="LFQ149" s="204"/>
      <c r="LFR149" s="204"/>
      <c r="LFS149" s="204"/>
      <c r="LFT149" s="205"/>
      <c r="LFU149" s="206"/>
      <c r="LFV149" s="207"/>
      <c r="LFW149" s="207"/>
      <c r="LFX149" s="208"/>
      <c r="LFY149" s="209"/>
      <c r="LFZ149" s="207"/>
      <c r="LGA149" s="210"/>
      <c r="LGB149" s="209"/>
      <c r="LGC149" s="204"/>
      <c r="LGD149" s="204"/>
      <c r="LGE149" s="204"/>
      <c r="LGF149" s="199"/>
      <c r="LGG149" s="167"/>
      <c r="LGH149" s="199"/>
      <c r="LGI149" s="200"/>
      <c r="LGJ149" s="201"/>
      <c r="LGK149" s="202"/>
      <c r="LGL149" s="202"/>
      <c r="LGM149" s="202"/>
      <c r="LGN149" s="202"/>
      <c r="LGO149" s="203"/>
      <c r="LGP149" s="204"/>
      <c r="LGQ149" s="204"/>
      <c r="LGR149" s="204"/>
      <c r="LGS149" s="205"/>
      <c r="LGT149" s="206"/>
      <c r="LGU149" s="207"/>
      <c r="LGV149" s="207"/>
      <c r="LGW149" s="208"/>
      <c r="LGX149" s="209"/>
      <c r="LGY149" s="207"/>
      <c r="LGZ149" s="210"/>
      <c r="LHA149" s="209"/>
      <c r="LHB149" s="204"/>
      <c r="LHC149" s="204"/>
      <c r="LHD149" s="204"/>
      <c r="LHE149" s="199"/>
      <c r="LHF149" s="167"/>
      <c r="LHG149" s="199"/>
      <c r="LHH149" s="200"/>
      <c r="LHI149" s="201"/>
      <c r="LHJ149" s="202"/>
      <c r="LHK149" s="202"/>
      <c r="LHL149" s="202"/>
      <c r="LHM149" s="202"/>
      <c r="LHN149" s="203"/>
      <c r="LHO149" s="204"/>
      <c r="LHP149" s="204"/>
      <c r="LHQ149" s="204"/>
      <c r="LHR149" s="205"/>
      <c r="LHS149" s="206"/>
      <c r="LHT149" s="207"/>
      <c r="LHU149" s="207"/>
      <c r="LHV149" s="208"/>
      <c r="LHW149" s="209"/>
      <c r="LHX149" s="207"/>
      <c r="LHY149" s="210"/>
      <c r="LHZ149" s="209"/>
      <c r="LIA149" s="204"/>
      <c r="LIB149" s="204"/>
      <c r="LIC149" s="204"/>
      <c r="LID149" s="199"/>
      <c r="LIE149" s="167"/>
      <c r="LIF149" s="199"/>
      <c r="LIG149" s="200"/>
      <c r="LIH149" s="201"/>
      <c r="LII149" s="202"/>
      <c r="LIJ149" s="202"/>
      <c r="LIK149" s="202"/>
      <c r="LIL149" s="202"/>
      <c r="LIM149" s="203"/>
      <c r="LIN149" s="204"/>
      <c r="LIO149" s="204"/>
      <c r="LIP149" s="204"/>
      <c r="LIQ149" s="205"/>
      <c r="LIR149" s="206"/>
      <c r="LIS149" s="207"/>
      <c r="LIT149" s="207"/>
      <c r="LIU149" s="208"/>
      <c r="LIV149" s="209"/>
      <c r="LIW149" s="207"/>
      <c r="LIX149" s="210"/>
      <c r="LIY149" s="209"/>
      <c r="LIZ149" s="204"/>
      <c r="LJA149" s="204"/>
      <c r="LJB149" s="204"/>
      <c r="LJC149" s="199"/>
      <c r="LJD149" s="167"/>
      <c r="LJE149" s="199"/>
      <c r="LJF149" s="200"/>
      <c r="LJG149" s="201"/>
      <c r="LJH149" s="202"/>
      <c r="LJI149" s="202"/>
      <c r="LJJ149" s="202"/>
      <c r="LJK149" s="202"/>
      <c r="LJL149" s="203"/>
      <c r="LJM149" s="204"/>
      <c r="LJN149" s="204"/>
      <c r="LJO149" s="204"/>
      <c r="LJP149" s="205"/>
      <c r="LJQ149" s="206"/>
      <c r="LJR149" s="207"/>
      <c r="LJS149" s="207"/>
      <c r="LJT149" s="208"/>
      <c r="LJU149" s="209"/>
      <c r="LJV149" s="207"/>
      <c r="LJW149" s="210"/>
      <c r="LJX149" s="209"/>
      <c r="LJY149" s="204"/>
      <c r="LJZ149" s="204"/>
      <c r="LKA149" s="204"/>
      <c r="LKB149" s="199"/>
      <c r="LKC149" s="167"/>
      <c r="LKD149" s="199"/>
      <c r="LKE149" s="200"/>
      <c r="LKF149" s="201"/>
      <c r="LKG149" s="202"/>
      <c r="LKH149" s="202"/>
      <c r="LKI149" s="202"/>
      <c r="LKJ149" s="202"/>
      <c r="LKK149" s="203"/>
      <c r="LKL149" s="204"/>
      <c r="LKM149" s="204"/>
      <c r="LKN149" s="204"/>
      <c r="LKO149" s="205"/>
      <c r="LKP149" s="206"/>
      <c r="LKQ149" s="207"/>
      <c r="LKR149" s="207"/>
      <c r="LKS149" s="208"/>
      <c r="LKT149" s="209"/>
      <c r="LKU149" s="207"/>
      <c r="LKV149" s="210"/>
      <c r="LKW149" s="209"/>
      <c r="LKX149" s="204"/>
      <c r="LKY149" s="204"/>
      <c r="LKZ149" s="204"/>
      <c r="LLA149" s="199"/>
      <c r="LLB149" s="167"/>
      <c r="LLC149" s="199"/>
      <c r="LLD149" s="200"/>
      <c r="LLE149" s="201"/>
      <c r="LLF149" s="202"/>
      <c r="LLG149" s="202"/>
      <c r="LLH149" s="202"/>
      <c r="LLI149" s="202"/>
      <c r="LLJ149" s="203"/>
      <c r="LLK149" s="204"/>
      <c r="LLL149" s="204"/>
      <c r="LLM149" s="204"/>
      <c r="LLN149" s="205"/>
      <c r="LLO149" s="206"/>
      <c r="LLP149" s="207"/>
      <c r="LLQ149" s="207"/>
      <c r="LLR149" s="208"/>
      <c r="LLS149" s="209"/>
      <c r="LLT149" s="207"/>
      <c r="LLU149" s="210"/>
      <c r="LLV149" s="209"/>
      <c r="LLW149" s="204"/>
      <c r="LLX149" s="204"/>
      <c r="LLY149" s="204"/>
      <c r="LLZ149" s="199"/>
      <c r="LMA149" s="167"/>
      <c r="LMB149" s="199"/>
      <c r="LMC149" s="200"/>
      <c r="LMD149" s="201"/>
      <c r="LME149" s="202"/>
      <c r="LMF149" s="202"/>
      <c r="LMG149" s="202"/>
      <c r="LMH149" s="202"/>
      <c r="LMI149" s="203"/>
      <c r="LMJ149" s="204"/>
      <c r="LMK149" s="204"/>
      <c r="LML149" s="204"/>
      <c r="LMM149" s="205"/>
      <c r="LMN149" s="206"/>
      <c r="LMO149" s="207"/>
      <c r="LMP149" s="207"/>
      <c r="LMQ149" s="208"/>
      <c r="LMR149" s="209"/>
      <c r="LMS149" s="207"/>
      <c r="LMT149" s="210"/>
      <c r="LMU149" s="209"/>
      <c r="LMV149" s="204"/>
      <c r="LMW149" s="204"/>
      <c r="LMX149" s="204"/>
      <c r="LMY149" s="199"/>
      <c r="LMZ149" s="167"/>
      <c r="LNA149" s="199"/>
      <c r="LNB149" s="200"/>
      <c r="LNC149" s="201"/>
      <c r="LND149" s="202"/>
      <c r="LNE149" s="202"/>
      <c r="LNF149" s="202"/>
      <c r="LNG149" s="202"/>
      <c r="LNH149" s="203"/>
      <c r="LNI149" s="204"/>
      <c r="LNJ149" s="204"/>
      <c r="LNK149" s="204"/>
      <c r="LNL149" s="205"/>
      <c r="LNM149" s="206"/>
      <c r="LNN149" s="207"/>
      <c r="LNO149" s="207"/>
      <c r="LNP149" s="208"/>
      <c r="LNQ149" s="209"/>
      <c r="LNR149" s="207"/>
      <c r="LNS149" s="210"/>
      <c r="LNT149" s="209"/>
      <c r="LNU149" s="204"/>
      <c r="LNV149" s="204"/>
      <c r="LNW149" s="204"/>
      <c r="LNX149" s="199"/>
      <c r="LNY149" s="167"/>
      <c r="LNZ149" s="199"/>
      <c r="LOA149" s="200"/>
      <c r="LOB149" s="201"/>
      <c r="LOC149" s="202"/>
      <c r="LOD149" s="202"/>
      <c r="LOE149" s="202"/>
      <c r="LOF149" s="202"/>
      <c r="LOG149" s="203"/>
      <c r="LOH149" s="204"/>
      <c r="LOI149" s="204"/>
      <c r="LOJ149" s="204"/>
      <c r="LOK149" s="205"/>
      <c r="LOL149" s="206"/>
      <c r="LOM149" s="207"/>
      <c r="LON149" s="207"/>
      <c r="LOO149" s="208"/>
      <c r="LOP149" s="209"/>
      <c r="LOQ149" s="207"/>
      <c r="LOR149" s="210"/>
      <c r="LOS149" s="209"/>
      <c r="LOT149" s="204"/>
      <c r="LOU149" s="204"/>
      <c r="LOV149" s="204"/>
      <c r="LOW149" s="199"/>
      <c r="LOX149" s="167"/>
      <c r="LOY149" s="199"/>
      <c r="LOZ149" s="200"/>
      <c r="LPA149" s="201"/>
      <c r="LPB149" s="202"/>
      <c r="LPC149" s="202"/>
      <c r="LPD149" s="202"/>
      <c r="LPE149" s="202"/>
      <c r="LPF149" s="203"/>
      <c r="LPG149" s="204"/>
      <c r="LPH149" s="204"/>
      <c r="LPI149" s="204"/>
      <c r="LPJ149" s="205"/>
      <c r="LPK149" s="206"/>
      <c r="LPL149" s="207"/>
      <c r="LPM149" s="207"/>
      <c r="LPN149" s="208"/>
      <c r="LPO149" s="209"/>
      <c r="LPP149" s="207"/>
      <c r="LPQ149" s="210"/>
      <c r="LPR149" s="209"/>
      <c r="LPS149" s="204"/>
      <c r="LPT149" s="204"/>
      <c r="LPU149" s="204"/>
      <c r="LPV149" s="199"/>
      <c r="LPW149" s="167"/>
      <c r="LPX149" s="199"/>
      <c r="LPY149" s="200"/>
      <c r="LPZ149" s="201"/>
      <c r="LQA149" s="202"/>
      <c r="LQB149" s="202"/>
      <c r="LQC149" s="202"/>
      <c r="LQD149" s="202"/>
      <c r="LQE149" s="203"/>
      <c r="LQF149" s="204"/>
      <c r="LQG149" s="204"/>
      <c r="LQH149" s="204"/>
      <c r="LQI149" s="205"/>
      <c r="LQJ149" s="206"/>
      <c r="LQK149" s="207"/>
      <c r="LQL149" s="207"/>
      <c r="LQM149" s="208"/>
      <c r="LQN149" s="209"/>
      <c r="LQO149" s="207"/>
      <c r="LQP149" s="210"/>
      <c r="LQQ149" s="209"/>
      <c r="LQR149" s="204"/>
      <c r="LQS149" s="204"/>
      <c r="LQT149" s="204"/>
      <c r="LQU149" s="199"/>
      <c r="LQV149" s="167"/>
      <c r="LQW149" s="199"/>
      <c r="LQX149" s="200"/>
      <c r="LQY149" s="201"/>
      <c r="LQZ149" s="202"/>
      <c r="LRA149" s="202"/>
      <c r="LRB149" s="202"/>
      <c r="LRC149" s="202"/>
      <c r="LRD149" s="203"/>
      <c r="LRE149" s="204"/>
      <c r="LRF149" s="204"/>
      <c r="LRG149" s="204"/>
      <c r="LRH149" s="205"/>
      <c r="LRI149" s="206"/>
      <c r="LRJ149" s="207"/>
      <c r="LRK149" s="207"/>
      <c r="LRL149" s="208"/>
      <c r="LRM149" s="209"/>
      <c r="LRN149" s="207"/>
      <c r="LRO149" s="210"/>
      <c r="LRP149" s="209"/>
      <c r="LRQ149" s="204"/>
      <c r="LRR149" s="204"/>
      <c r="LRS149" s="204"/>
      <c r="LRT149" s="199"/>
      <c r="LRU149" s="167"/>
      <c r="LRV149" s="199"/>
      <c r="LRW149" s="200"/>
      <c r="LRX149" s="201"/>
      <c r="LRY149" s="202"/>
      <c r="LRZ149" s="202"/>
      <c r="LSA149" s="202"/>
      <c r="LSB149" s="202"/>
      <c r="LSC149" s="203"/>
      <c r="LSD149" s="204"/>
      <c r="LSE149" s="204"/>
      <c r="LSF149" s="204"/>
      <c r="LSG149" s="205"/>
      <c r="LSH149" s="206"/>
      <c r="LSI149" s="207"/>
      <c r="LSJ149" s="207"/>
      <c r="LSK149" s="208"/>
      <c r="LSL149" s="209"/>
      <c r="LSM149" s="207"/>
      <c r="LSN149" s="210"/>
      <c r="LSO149" s="209"/>
      <c r="LSP149" s="204"/>
      <c r="LSQ149" s="204"/>
      <c r="LSR149" s="204"/>
      <c r="LSS149" s="199"/>
      <c r="LST149" s="167"/>
      <c r="LSU149" s="199"/>
      <c r="LSV149" s="200"/>
      <c r="LSW149" s="201"/>
      <c r="LSX149" s="202"/>
      <c r="LSY149" s="202"/>
      <c r="LSZ149" s="202"/>
      <c r="LTA149" s="202"/>
      <c r="LTB149" s="203"/>
      <c r="LTC149" s="204"/>
      <c r="LTD149" s="204"/>
      <c r="LTE149" s="204"/>
      <c r="LTF149" s="205"/>
      <c r="LTG149" s="206"/>
      <c r="LTH149" s="207"/>
      <c r="LTI149" s="207"/>
      <c r="LTJ149" s="208"/>
      <c r="LTK149" s="209"/>
      <c r="LTL149" s="207"/>
      <c r="LTM149" s="210"/>
      <c r="LTN149" s="209"/>
      <c r="LTO149" s="204"/>
      <c r="LTP149" s="204"/>
      <c r="LTQ149" s="204"/>
      <c r="LTR149" s="199"/>
      <c r="LTS149" s="167"/>
      <c r="LTT149" s="199"/>
      <c r="LTU149" s="200"/>
      <c r="LTV149" s="201"/>
      <c r="LTW149" s="202"/>
      <c r="LTX149" s="202"/>
      <c r="LTY149" s="202"/>
      <c r="LTZ149" s="202"/>
      <c r="LUA149" s="203"/>
      <c r="LUB149" s="204"/>
      <c r="LUC149" s="204"/>
      <c r="LUD149" s="204"/>
      <c r="LUE149" s="205"/>
      <c r="LUF149" s="206"/>
      <c r="LUG149" s="207"/>
      <c r="LUH149" s="207"/>
      <c r="LUI149" s="208"/>
      <c r="LUJ149" s="209"/>
      <c r="LUK149" s="207"/>
      <c r="LUL149" s="210"/>
      <c r="LUM149" s="209"/>
      <c r="LUN149" s="204"/>
      <c r="LUO149" s="204"/>
      <c r="LUP149" s="204"/>
      <c r="LUQ149" s="199"/>
      <c r="LUR149" s="167"/>
      <c r="LUS149" s="199"/>
      <c r="LUT149" s="200"/>
      <c r="LUU149" s="201"/>
      <c r="LUV149" s="202"/>
      <c r="LUW149" s="202"/>
      <c r="LUX149" s="202"/>
      <c r="LUY149" s="202"/>
      <c r="LUZ149" s="203"/>
      <c r="LVA149" s="204"/>
      <c r="LVB149" s="204"/>
      <c r="LVC149" s="204"/>
      <c r="LVD149" s="205"/>
      <c r="LVE149" s="206"/>
      <c r="LVF149" s="207"/>
      <c r="LVG149" s="207"/>
      <c r="LVH149" s="208"/>
      <c r="LVI149" s="209"/>
      <c r="LVJ149" s="207"/>
      <c r="LVK149" s="210"/>
      <c r="LVL149" s="209"/>
      <c r="LVM149" s="204"/>
      <c r="LVN149" s="204"/>
      <c r="LVO149" s="204"/>
      <c r="LVP149" s="199"/>
      <c r="LVQ149" s="167"/>
      <c r="LVR149" s="199"/>
      <c r="LVS149" s="200"/>
      <c r="LVT149" s="201"/>
      <c r="LVU149" s="202"/>
      <c r="LVV149" s="202"/>
      <c r="LVW149" s="202"/>
      <c r="LVX149" s="202"/>
      <c r="LVY149" s="203"/>
      <c r="LVZ149" s="204"/>
      <c r="LWA149" s="204"/>
      <c r="LWB149" s="204"/>
      <c r="LWC149" s="205"/>
      <c r="LWD149" s="206"/>
      <c r="LWE149" s="207"/>
      <c r="LWF149" s="207"/>
      <c r="LWG149" s="208"/>
      <c r="LWH149" s="209"/>
      <c r="LWI149" s="207"/>
      <c r="LWJ149" s="210"/>
      <c r="LWK149" s="209"/>
      <c r="LWL149" s="204"/>
      <c r="LWM149" s="204"/>
      <c r="LWN149" s="204"/>
      <c r="LWO149" s="199"/>
      <c r="LWP149" s="167"/>
      <c r="LWQ149" s="199"/>
      <c r="LWR149" s="200"/>
      <c r="LWS149" s="201"/>
      <c r="LWT149" s="202"/>
      <c r="LWU149" s="202"/>
      <c r="LWV149" s="202"/>
      <c r="LWW149" s="202"/>
      <c r="LWX149" s="203"/>
      <c r="LWY149" s="204"/>
      <c r="LWZ149" s="204"/>
      <c r="LXA149" s="204"/>
      <c r="LXB149" s="205"/>
      <c r="LXC149" s="206"/>
      <c r="LXD149" s="207"/>
      <c r="LXE149" s="207"/>
      <c r="LXF149" s="208"/>
      <c r="LXG149" s="209"/>
      <c r="LXH149" s="207"/>
      <c r="LXI149" s="210"/>
      <c r="LXJ149" s="209"/>
      <c r="LXK149" s="204"/>
      <c r="LXL149" s="204"/>
      <c r="LXM149" s="204"/>
      <c r="LXN149" s="199"/>
      <c r="LXO149" s="167"/>
      <c r="LXP149" s="199"/>
      <c r="LXQ149" s="200"/>
      <c r="LXR149" s="201"/>
      <c r="LXS149" s="202"/>
      <c r="LXT149" s="202"/>
      <c r="LXU149" s="202"/>
      <c r="LXV149" s="202"/>
      <c r="LXW149" s="203"/>
      <c r="LXX149" s="204"/>
      <c r="LXY149" s="204"/>
      <c r="LXZ149" s="204"/>
      <c r="LYA149" s="205"/>
      <c r="LYB149" s="206"/>
      <c r="LYC149" s="207"/>
      <c r="LYD149" s="207"/>
      <c r="LYE149" s="208"/>
      <c r="LYF149" s="209"/>
      <c r="LYG149" s="207"/>
      <c r="LYH149" s="210"/>
      <c r="LYI149" s="209"/>
      <c r="LYJ149" s="204"/>
      <c r="LYK149" s="204"/>
      <c r="LYL149" s="204"/>
      <c r="LYM149" s="199"/>
      <c r="LYN149" s="167"/>
      <c r="LYO149" s="199"/>
      <c r="LYP149" s="200"/>
      <c r="LYQ149" s="201"/>
      <c r="LYR149" s="202"/>
      <c r="LYS149" s="202"/>
      <c r="LYT149" s="202"/>
      <c r="LYU149" s="202"/>
      <c r="LYV149" s="203"/>
      <c r="LYW149" s="204"/>
      <c r="LYX149" s="204"/>
      <c r="LYY149" s="204"/>
      <c r="LYZ149" s="205"/>
      <c r="LZA149" s="206"/>
      <c r="LZB149" s="207"/>
      <c r="LZC149" s="207"/>
      <c r="LZD149" s="208"/>
      <c r="LZE149" s="209"/>
      <c r="LZF149" s="207"/>
      <c r="LZG149" s="210"/>
      <c r="LZH149" s="209"/>
      <c r="LZI149" s="204"/>
      <c r="LZJ149" s="204"/>
      <c r="LZK149" s="204"/>
      <c r="LZL149" s="199"/>
      <c r="LZM149" s="167"/>
      <c r="LZN149" s="199"/>
      <c r="LZO149" s="200"/>
      <c r="LZP149" s="201"/>
      <c r="LZQ149" s="202"/>
      <c r="LZR149" s="202"/>
      <c r="LZS149" s="202"/>
      <c r="LZT149" s="202"/>
      <c r="LZU149" s="203"/>
      <c r="LZV149" s="204"/>
      <c r="LZW149" s="204"/>
      <c r="LZX149" s="204"/>
      <c r="LZY149" s="205"/>
      <c r="LZZ149" s="206"/>
      <c r="MAA149" s="207"/>
      <c r="MAB149" s="207"/>
      <c r="MAC149" s="208"/>
      <c r="MAD149" s="209"/>
      <c r="MAE149" s="207"/>
      <c r="MAF149" s="210"/>
      <c r="MAG149" s="209"/>
      <c r="MAH149" s="204"/>
      <c r="MAI149" s="204"/>
      <c r="MAJ149" s="204"/>
      <c r="MAK149" s="199"/>
      <c r="MAL149" s="167"/>
      <c r="MAM149" s="199"/>
      <c r="MAN149" s="200"/>
      <c r="MAO149" s="201"/>
      <c r="MAP149" s="202"/>
      <c r="MAQ149" s="202"/>
      <c r="MAR149" s="202"/>
      <c r="MAS149" s="202"/>
      <c r="MAT149" s="203"/>
      <c r="MAU149" s="204"/>
      <c r="MAV149" s="204"/>
      <c r="MAW149" s="204"/>
      <c r="MAX149" s="205"/>
      <c r="MAY149" s="206"/>
      <c r="MAZ149" s="207"/>
      <c r="MBA149" s="207"/>
      <c r="MBB149" s="208"/>
      <c r="MBC149" s="209"/>
      <c r="MBD149" s="207"/>
      <c r="MBE149" s="210"/>
      <c r="MBF149" s="209"/>
      <c r="MBG149" s="204"/>
      <c r="MBH149" s="204"/>
      <c r="MBI149" s="204"/>
      <c r="MBJ149" s="199"/>
      <c r="MBK149" s="167"/>
      <c r="MBL149" s="199"/>
      <c r="MBM149" s="200"/>
      <c r="MBN149" s="201"/>
      <c r="MBO149" s="202"/>
      <c r="MBP149" s="202"/>
      <c r="MBQ149" s="202"/>
      <c r="MBR149" s="202"/>
      <c r="MBS149" s="203"/>
      <c r="MBT149" s="204"/>
      <c r="MBU149" s="204"/>
      <c r="MBV149" s="204"/>
      <c r="MBW149" s="205"/>
      <c r="MBX149" s="206"/>
      <c r="MBY149" s="207"/>
      <c r="MBZ149" s="207"/>
      <c r="MCA149" s="208"/>
      <c r="MCB149" s="209"/>
      <c r="MCC149" s="207"/>
      <c r="MCD149" s="210"/>
      <c r="MCE149" s="209"/>
      <c r="MCF149" s="204"/>
      <c r="MCG149" s="204"/>
      <c r="MCH149" s="204"/>
      <c r="MCI149" s="199"/>
      <c r="MCJ149" s="167"/>
      <c r="MCK149" s="199"/>
      <c r="MCL149" s="200"/>
      <c r="MCM149" s="201"/>
      <c r="MCN149" s="202"/>
      <c r="MCO149" s="202"/>
      <c r="MCP149" s="202"/>
      <c r="MCQ149" s="202"/>
      <c r="MCR149" s="203"/>
      <c r="MCS149" s="204"/>
      <c r="MCT149" s="204"/>
      <c r="MCU149" s="204"/>
      <c r="MCV149" s="205"/>
      <c r="MCW149" s="206"/>
      <c r="MCX149" s="207"/>
      <c r="MCY149" s="207"/>
      <c r="MCZ149" s="208"/>
      <c r="MDA149" s="209"/>
      <c r="MDB149" s="207"/>
      <c r="MDC149" s="210"/>
      <c r="MDD149" s="209"/>
      <c r="MDE149" s="204"/>
      <c r="MDF149" s="204"/>
      <c r="MDG149" s="204"/>
      <c r="MDH149" s="199"/>
      <c r="MDI149" s="167"/>
      <c r="MDJ149" s="199"/>
      <c r="MDK149" s="200"/>
      <c r="MDL149" s="201"/>
      <c r="MDM149" s="202"/>
      <c r="MDN149" s="202"/>
      <c r="MDO149" s="202"/>
      <c r="MDP149" s="202"/>
      <c r="MDQ149" s="203"/>
      <c r="MDR149" s="204"/>
      <c r="MDS149" s="204"/>
      <c r="MDT149" s="204"/>
      <c r="MDU149" s="205"/>
      <c r="MDV149" s="206"/>
      <c r="MDW149" s="207"/>
      <c r="MDX149" s="207"/>
      <c r="MDY149" s="208"/>
      <c r="MDZ149" s="209"/>
      <c r="MEA149" s="207"/>
      <c r="MEB149" s="210"/>
      <c r="MEC149" s="209"/>
      <c r="MED149" s="204"/>
      <c r="MEE149" s="204"/>
      <c r="MEF149" s="204"/>
      <c r="MEG149" s="199"/>
      <c r="MEH149" s="167"/>
      <c r="MEI149" s="199"/>
      <c r="MEJ149" s="200"/>
      <c r="MEK149" s="201"/>
      <c r="MEL149" s="202"/>
      <c r="MEM149" s="202"/>
      <c r="MEN149" s="202"/>
      <c r="MEO149" s="202"/>
      <c r="MEP149" s="203"/>
      <c r="MEQ149" s="204"/>
      <c r="MER149" s="204"/>
      <c r="MES149" s="204"/>
      <c r="MET149" s="205"/>
      <c r="MEU149" s="206"/>
      <c r="MEV149" s="207"/>
      <c r="MEW149" s="207"/>
      <c r="MEX149" s="208"/>
      <c r="MEY149" s="209"/>
      <c r="MEZ149" s="207"/>
      <c r="MFA149" s="210"/>
      <c r="MFB149" s="209"/>
      <c r="MFC149" s="204"/>
      <c r="MFD149" s="204"/>
      <c r="MFE149" s="204"/>
      <c r="MFF149" s="199"/>
      <c r="MFG149" s="167"/>
      <c r="MFH149" s="199"/>
      <c r="MFI149" s="200"/>
      <c r="MFJ149" s="201"/>
      <c r="MFK149" s="202"/>
      <c r="MFL149" s="202"/>
      <c r="MFM149" s="202"/>
      <c r="MFN149" s="202"/>
      <c r="MFO149" s="203"/>
      <c r="MFP149" s="204"/>
      <c r="MFQ149" s="204"/>
      <c r="MFR149" s="204"/>
      <c r="MFS149" s="205"/>
      <c r="MFT149" s="206"/>
      <c r="MFU149" s="207"/>
      <c r="MFV149" s="207"/>
      <c r="MFW149" s="208"/>
      <c r="MFX149" s="209"/>
      <c r="MFY149" s="207"/>
      <c r="MFZ149" s="210"/>
      <c r="MGA149" s="209"/>
      <c r="MGB149" s="204"/>
      <c r="MGC149" s="204"/>
      <c r="MGD149" s="204"/>
      <c r="MGE149" s="199"/>
      <c r="MGF149" s="167"/>
      <c r="MGG149" s="199"/>
      <c r="MGH149" s="200"/>
      <c r="MGI149" s="201"/>
      <c r="MGJ149" s="202"/>
      <c r="MGK149" s="202"/>
      <c r="MGL149" s="202"/>
      <c r="MGM149" s="202"/>
      <c r="MGN149" s="203"/>
      <c r="MGO149" s="204"/>
      <c r="MGP149" s="204"/>
      <c r="MGQ149" s="204"/>
      <c r="MGR149" s="205"/>
      <c r="MGS149" s="206"/>
      <c r="MGT149" s="207"/>
      <c r="MGU149" s="207"/>
      <c r="MGV149" s="208"/>
      <c r="MGW149" s="209"/>
      <c r="MGX149" s="207"/>
      <c r="MGY149" s="210"/>
      <c r="MGZ149" s="209"/>
      <c r="MHA149" s="204"/>
      <c r="MHB149" s="204"/>
      <c r="MHC149" s="204"/>
      <c r="MHD149" s="199"/>
      <c r="MHE149" s="167"/>
      <c r="MHF149" s="199"/>
      <c r="MHG149" s="200"/>
      <c r="MHH149" s="201"/>
      <c r="MHI149" s="202"/>
      <c r="MHJ149" s="202"/>
      <c r="MHK149" s="202"/>
      <c r="MHL149" s="202"/>
      <c r="MHM149" s="203"/>
      <c r="MHN149" s="204"/>
      <c r="MHO149" s="204"/>
      <c r="MHP149" s="204"/>
      <c r="MHQ149" s="205"/>
      <c r="MHR149" s="206"/>
      <c r="MHS149" s="207"/>
      <c r="MHT149" s="207"/>
      <c r="MHU149" s="208"/>
      <c r="MHV149" s="209"/>
      <c r="MHW149" s="207"/>
      <c r="MHX149" s="210"/>
      <c r="MHY149" s="209"/>
      <c r="MHZ149" s="204"/>
      <c r="MIA149" s="204"/>
      <c r="MIB149" s="204"/>
      <c r="MIC149" s="199"/>
      <c r="MID149" s="167"/>
      <c r="MIE149" s="199"/>
      <c r="MIF149" s="200"/>
      <c r="MIG149" s="201"/>
      <c r="MIH149" s="202"/>
      <c r="MII149" s="202"/>
      <c r="MIJ149" s="202"/>
      <c r="MIK149" s="202"/>
      <c r="MIL149" s="203"/>
      <c r="MIM149" s="204"/>
      <c r="MIN149" s="204"/>
      <c r="MIO149" s="204"/>
      <c r="MIP149" s="205"/>
      <c r="MIQ149" s="206"/>
      <c r="MIR149" s="207"/>
      <c r="MIS149" s="207"/>
      <c r="MIT149" s="208"/>
      <c r="MIU149" s="209"/>
      <c r="MIV149" s="207"/>
      <c r="MIW149" s="210"/>
      <c r="MIX149" s="209"/>
      <c r="MIY149" s="204"/>
      <c r="MIZ149" s="204"/>
      <c r="MJA149" s="204"/>
      <c r="MJB149" s="199"/>
      <c r="MJC149" s="167"/>
      <c r="MJD149" s="199"/>
      <c r="MJE149" s="200"/>
      <c r="MJF149" s="201"/>
      <c r="MJG149" s="202"/>
      <c r="MJH149" s="202"/>
      <c r="MJI149" s="202"/>
      <c r="MJJ149" s="202"/>
      <c r="MJK149" s="203"/>
      <c r="MJL149" s="204"/>
      <c r="MJM149" s="204"/>
      <c r="MJN149" s="204"/>
      <c r="MJO149" s="205"/>
      <c r="MJP149" s="206"/>
      <c r="MJQ149" s="207"/>
      <c r="MJR149" s="207"/>
      <c r="MJS149" s="208"/>
      <c r="MJT149" s="209"/>
      <c r="MJU149" s="207"/>
      <c r="MJV149" s="210"/>
      <c r="MJW149" s="209"/>
      <c r="MJX149" s="204"/>
      <c r="MJY149" s="204"/>
      <c r="MJZ149" s="204"/>
      <c r="MKA149" s="199"/>
      <c r="MKB149" s="167"/>
      <c r="MKC149" s="199"/>
      <c r="MKD149" s="200"/>
      <c r="MKE149" s="201"/>
      <c r="MKF149" s="202"/>
      <c r="MKG149" s="202"/>
      <c r="MKH149" s="202"/>
      <c r="MKI149" s="202"/>
      <c r="MKJ149" s="203"/>
      <c r="MKK149" s="204"/>
      <c r="MKL149" s="204"/>
      <c r="MKM149" s="204"/>
      <c r="MKN149" s="205"/>
      <c r="MKO149" s="206"/>
      <c r="MKP149" s="207"/>
      <c r="MKQ149" s="207"/>
      <c r="MKR149" s="208"/>
      <c r="MKS149" s="209"/>
      <c r="MKT149" s="207"/>
      <c r="MKU149" s="210"/>
      <c r="MKV149" s="209"/>
      <c r="MKW149" s="204"/>
      <c r="MKX149" s="204"/>
      <c r="MKY149" s="204"/>
      <c r="MKZ149" s="199"/>
      <c r="MLA149" s="167"/>
      <c r="MLB149" s="199"/>
      <c r="MLC149" s="200"/>
      <c r="MLD149" s="201"/>
      <c r="MLE149" s="202"/>
      <c r="MLF149" s="202"/>
      <c r="MLG149" s="202"/>
      <c r="MLH149" s="202"/>
      <c r="MLI149" s="203"/>
      <c r="MLJ149" s="204"/>
      <c r="MLK149" s="204"/>
      <c r="MLL149" s="204"/>
      <c r="MLM149" s="205"/>
      <c r="MLN149" s="206"/>
      <c r="MLO149" s="207"/>
      <c r="MLP149" s="207"/>
      <c r="MLQ149" s="208"/>
      <c r="MLR149" s="209"/>
      <c r="MLS149" s="207"/>
      <c r="MLT149" s="210"/>
      <c r="MLU149" s="209"/>
      <c r="MLV149" s="204"/>
      <c r="MLW149" s="204"/>
      <c r="MLX149" s="204"/>
      <c r="MLY149" s="199"/>
      <c r="MLZ149" s="167"/>
      <c r="MMA149" s="199"/>
      <c r="MMB149" s="200"/>
      <c r="MMC149" s="201"/>
      <c r="MMD149" s="202"/>
      <c r="MME149" s="202"/>
      <c r="MMF149" s="202"/>
      <c r="MMG149" s="202"/>
      <c r="MMH149" s="203"/>
      <c r="MMI149" s="204"/>
      <c r="MMJ149" s="204"/>
      <c r="MMK149" s="204"/>
      <c r="MML149" s="205"/>
      <c r="MMM149" s="206"/>
      <c r="MMN149" s="207"/>
      <c r="MMO149" s="207"/>
      <c r="MMP149" s="208"/>
      <c r="MMQ149" s="209"/>
      <c r="MMR149" s="207"/>
      <c r="MMS149" s="210"/>
      <c r="MMT149" s="209"/>
      <c r="MMU149" s="204"/>
      <c r="MMV149" s="204"/>
      <c r="MMW149" s="204"/>
      <c r="MMX149" s="199"/>
      <c r="MMY149" s="167"/>
      <c r="MMZ149" s="199"/>
      <c r="MNA149" s="200"/>
      <c r="MNB149" s="201"/>
      <c r="MNC149" s="202"/>
      <c r="MND149" s="202"/>
      <c r="MNE149" s="202"/>
      <c r="MNF149" s="202"/>
      <c r="MNG149" s="203"/>
      <c r="MNH149" s="204"/>
      <c r="MNI149" s="204"/>
      <c r="MNJ149" s="204"/>
      <c r="MNK149" s="205"/>
      <c r="MNL149" s="206"/>
      <c r="MNM149" s="207"/>
      <c r="MNN149" s="207"/>
      <c r="MNO149" s="208"/>
      <c r="MNP149" s="209"/>
      <c r="MNQ149" s="207"/>
      <c r="MNR149" s="210"/>
      <c r="MNS149" s="209"/>
      <c r="MNT149" s="204"/>
      <c r="MNU149" s="204"/>
      <c r="MNV149" s="204"/>
      <c r="MNW149" s="199"/>
      <c r="MNX149" s="167"/>
      <c r="MNY149" s="199"/>
      <c r="MNZ149" s="200"/>
      <c r="MOA149" s="201"/>
      <c r="MOB149" s="202"/>
      <c r="MOC149" s="202"/>
      <c r="MOD149" s="202"/>
      <c r="MOE149" s="202"/>
      <c r="MOF149" s="203"/>
      <c r="MOG149" s="204"/>
      <c r="MOH149" s="204"/>
      <c r="MOI149" s="204"/>
      <c r="MOJ149" s="205"/>
      <c r="MOK149" s="206"/>
      <c r="MOL149" s="207"/>
      <c r="MOM149" s="207"/>
      <c r="MON149" s="208"/>
      <c r="MOO149" s="209"/>
      <c r="MOP149" s="207"/>
      <c r="MOQ149" s="210"/>
      <c r="MOR149" s="209"/>
      <c r="MOS149" s="204"/>
      <c r="MOT149" s="204"/>
      <c r="MOU149" s="204"/>
      <c r="MOV149" s="199"/>
      <c r="MOW149" s="167"/>
      <c r="MOX149" s="199"/>
      <c r="MOY149" s="200"/>
      <c r="MOZ149" s="201"/>
      <c r="MPA149" s="202"/>
      <c r="MPB149" s="202"/>
      <c r="MPC149" s="202"/>
      <c r="MPD149" s="202"/>
      <c r="MPE149" s="203"/>
      <c r="MPF149" s="204"/>
      <c r="MPG149" s="204"/>
      <c r="MPH149" s="204"/>
      <c r="MPI149" s="205"/>
      <c r="MPJ149" s="206"/>
      <c r="MPK149" s="207"/>
      <c r="MPL149" s="207"/>
      <c r="MPM149" s="208"/>
      <c r="MPN149" s="209"/>
      <c r="MPO149" s="207"/>
      <c r="MPP149" s="210"/>
      <c r="MPQ149" s="209"/>
      <c r="MPR149" s="204"/>
      <c r="MPS149" s="204"/>
      <c r="MPT149" s="204"/>
      <c r="MPU149" s="199"/>
      <c r="MPV149" s="167"/>
      <c r="MPW149" s="199"/>
      <c r="MPX149" s="200"/>
      <c r="MPY149" s="201"/>
      <c r="MPZ149" s="202"/>
      <c r="MQA149" s="202"/>
      <c r="MQB149" s="202"/>
      <c r="MQC149" s="202"/>
      <c r="MQD149" s="203"/>
      <c r="MQE149" s="204"/>
      <c r="MQF149" s="204"/>
      <c r="MQG149" s="204"/>
      <c r="MQH149" s="205"/>
      <c r="MQI149" s="206"/>
      <c r="MQJ149" s="207"/>
      <c r="MQK149" s="207"/>
      <c r="MQL149" s="208"/>
      <c r="MQM149" s="209"/>
      <c r="MQN149" s="207"/>
      <c r="MQO149" s="210"/>
      <c r="MQP149" s="209"/>
      <c r="MQQ149" s="204"/>
      <c r="MQR149" s="204"/>
      <c r="MQS149" s="204"/>
      <c r="MQT149" s="199"/>
      <c r="MQU149" s="167"/>
      <c r="MQV149" s="199"/>
      <c r="MQW149" s="200"/>
      <c r="MQX149" s="201"/>
      <c r="MQY149" s="202"/>
      <c r="MQZ149" s="202"/>
      <c r="MRA149" s="202"/>
      <c r="MRB149" s="202"/>
      <c r="MRC149" s="203"/>
      <c r="MRD149" s="204"/>
      <c r="MRE149" s="204"/>
      <c r="MRF149" s="204"/>
      <c r="MRG149" s="205"/>
      <c r="MRH149" s="206"/>
      <c r="MRI149" s="207"/>
      <c r="MRJ149" s="207"/>
      <c r="MRK149" s="208"/>
      <c r="MRL149" s="209"/>
      <c r="MRM149" s="207"/>
      <c r="MRN149" s="210"/>
      <c r="MRO149" s="209"/>
      <c r="MRP149" s="204"/>
      <c r="MRQ149" s="204"/>
      <c r="MRR149" s="204"/>
      <c r="MRS149" s="199"/>
      <c r="MRT149" s="167"/>
      <c r="MRU149" s="199"/>
      <c r="MRV149" s="200"/>
      <c r="MRW149" s="201"/>
      <c r="MRX149" s="202"/>
      <c r="MRY149" s="202"/>
      <c r="MRZ149" s="202"/>
      <c r="MSA149" s="202"/>
      <c r="MSB149" s="203"/>
      <c r="MSC149" s="204"/>
      <c r="MSD149" s="204"/>
      <c r="MSE149" s="204"/>
      <c r="MSF149" s="205"/>
      <c r="MSG149" s="206"/>
      <c r="MSH149" s="207"/>
      <c r="MSI149" s="207"/>
      <c r="MSJ149" s="208"/>
      <c r="MSK149" s="209"/>
      <c r="MSL149" s="207"/>
      <c r="MSM149" s="210"/>
      <c r="MSN149" s="209"/>
      <c r="MSO149" s="204"/>
      <c r="MSP149" s="204"/>
      <c r="MSQ149" s="204"/>
      <c r="MSR149" s="199"/>
      <c r="MSS149" s="167"/>
      <c r="MST149" s="199"/>
      <c r="MSU149" s="200"/>
      <c r="MSV149" s="201"/>
      <c r="MSW149" s="202"/>
      <c r="MSX149" s="202"/>
      <c r="MSY149" s="202"/>
      <c r="MSZ149" s="202"/>
      <c r="MTA149" s="203"/>
      <c r="MTB149" s="204"/>
      <c r="MTC149" s="204"/>
      <c r="MTD149" s="204"/>
      <c r="MTE149" s="205"/>
      <c r="MTF149" s="206"/>
      <c r="MTG149" s="207"/>
      <c r="MTH149" s="207"/>
      <c r="MTI149" s="208"/>
      <c r="MTJ149" s="209"/>
      <c r="MTK149" s="207"/>
      <c r="MTL149" s="210"/>
      <c r="MTM149" s="209"/>
      <c r="MTN149" s="204"/>
      <c r="MTO149" s="204"/>
      <c r="MTP149" s="204"/>
      <c r="MTQ149" s="199"/>
      <c r="MTR149" s="167"/>
      <c r="MTS149" s="199"/>
      <c r="MTT149" s="200"/>
      <c r="MTU149" s="201"/>
      <c r="MTV149" s="202"/>
      <c r="MTW149" s="202"/>
      <c r="MTX149" s="202"/>
      <c r="MTY149" s="202"/>
      <c r="MTZ149" s="203"/>
      <c r="MUA149" s="204"/>
      <c r="MUB149" s="204"/>
      <c r="MUC149" s="204"/>
      <c r="MUD149" s="205"/>
      <c r="MUE149" s="206"/>
      <c r="MUF149" s="207"/>
      <c r="MUG149" s="207"/>
      <c r="MUH149" s="208"/>
      <c r="MUI149" s="209"/>
      <c r="MUJ149" s="207"/>
      <c r="MUK149" s="210"/>
      <c r="MUL149" s="209"/>
      <c r="MUM149" s="204"/>
      <c r="MUN149" s="204"/>
      <c r="MUO149" s="204"/>
      <c r="MUP149" s="199"/>
      <c r="MUQ149" s="167"/>
      <c r="MUR149" s="199"/>
      <c r="MUS149" s="200"/>
      <c r="MUT149" s="201"/>
      <c r="MUU149" s="202"/>
      <c r="MUV149" s="202"/>
      <c r="MUW149" s="202"/>
      <c r="MUX149" s="202"/>
      <c r="MUY149" s="203"/>
      <c r="MUZ149" s="204"/>
      <c r="MVA149" s="204"/>
      <c r="MVB149" s="204"/>
      <c r="MVC149" s="205"/>
      <c r="MVD149" s="206"/>
      <c r="MVE149" s="207"/>
      <c r="MVF149" s="207"/>
      <c r="MVG149" s="208"/>
      <c r="MVH149" s="209"/>
      <c r="MVI149" s="207"/>
      <c r="MVJ149" s="210"/>
      <c r="MVK149" s="209"/>
      <c r="MVL149" s="204"/>
      <c r="MVM149" s="204"/>
      <c r="MVN149" s="204"/>
      <c r="MVO149" s="199"/>
      <c r="MVP149" s="167"/>
      <c r="MVQ149" s="199"/>
      <c r="MVR149" s="200"/>
      <c r="MVS149" s="201"/>
      <c r="MVT149" s="202"/>
      <c r="MVU149" s="202"/>
      <c r="MVV149" s="202"/>
      <c r="MVW149" s="202"/>
      <c r="MVX149" s="203"/>
      <c r="MVY149" s="204"/>
      <c r="MVZ149" s="204"/>
      <c r="MWA149" s="204"/>
      <c r="MWB149" s="205"/>
      <c r="MWC149" s="206"/>
      <c r="MWD149" s="207"/>
      <c r="MWE149" s="207"/>
      <c r="MWF149" s="208"/>
      <c r="MWG149" s="209"/>
      <c r="MWH149" s="207"/>
      <c r="MWI149" s="210"/>
      <c r="MWJ149" s="209"/>
      <c r="MWK149" s="204"/>
      <c r="MWL149" s="204"/>
      <c r="MWM149" s="204"/>
      <c r="MWN149" s="199"/>
      <c r="MWO149" s="167"/>
      <c r="MWP149" s="199"/>
      <c r="MWQ149" s="200"/>
      <c r="MWR149" s="201"/>
      <c r="MWS149" s="202"/>
      <c r="MWT149" s="202"/>
      <c r="MWU149" s="202"/>
      <c r="MWV149" s="202"/>
      <c r="MWW149" s="203"/>
      <c r="MWX149" s="204"/>
      <c r="MWY149" s="204"/>
      <c r="MWZ149" s="204"/>
      <c r="MXA149" s="205"/>
      <c r="MXB149" s="206"/>
      <c r="MXC149" s="207"/>
      <c r="MXD149" s="207"/>
      <c r="MXE149" s="208"/>
      <c r="MXF149" s="209"/>
      <c r="MXG149" s="207"/>
      <c r="MXH149" s="210"/>
      <c r="MXI149" s="209"/>
      <c r="MXJ149" s="204"/>
      <c r="MXK149" s="204"/>
      <c r="MXL149" s="204"/>
      <c r="MXM149" s="199"/>
      <c r="MXN149" s="167"/>
      <c r="MXO149" s="199"/>
      <c r="MXP149" s="200"/>
      <c r="MXQ149" s="201"/>
      <c r="MXR149" s="202"/>
      <c r="MXS149" s="202"/>
      <c r="MXT149" s="202"/>
      <c r="MXU149" s="202"/>
      <c r="MXV149" s="203"/>
      <c r="MXW149" s="204"/>
      <c r="MXX149" s="204"/>
      <c r="MXY149" s="204"/>
      <c r="MXZ149" s="205"/>
      <c r="MYA149" s="206"/>
      <c r="MYB149" s="207"/>
      <c r="MYC149" s="207"/>
      <c r="MYD149" s="208"/>
      <c r="MYE149" s="209"/>
      <c r="MYF149" s="207"/>
      <c r="MYG149" s="210"/>
      <c r="MYH149" s="209"/>
      <c r="MYI149" s="204"/>
      <c r="MYJ149" s="204"/>
      <c r="MYK149" s="204"/>
      <c r="MYL149" s="199"/>
      <c r="MYM149" s="167"/>
      <c r="MYN149" s="199"/>
      <c r="MYO149" s="200"/>
      <c r="MYP149" s="201"/>
      <c r="MYQ149" s="202"/>
      <c r="MYR149" s="202"/>
      <c r="MYS149" s="202"/>
      <c r="MYT149" s="202"/>
      <c r="MYU149" s="203"/>
      <c r="MYV149" s="204"/>
      <c r="MYW149" s="204"/>
      <c r="MYX149" s="204"/>
      <c r="MYY149" s="205"/>
      <c r="MYZ149" s="206"/>
      <c r="MZA149" s="207"/>
      <c r="MZB149" s="207"/>
      <c r="MZC149" s="208"/>
      <c r="MZD149" s="209"/>
      <c r="MZE149" s="207"/>
      <c r="MZF149" s="210"/>
      <c r="MZG149" s="209"/>
      <c r="MZH149" s="204"/>
      <c r="MZI149" s="204"/>
      <c r="MZJ149" s="204"/>
      <c r="MZK149" s="199"/>
      <c r="MZL149" s="167"/>
      <c r="MZM149" s="199"/>
      <c r="MZN149" s="200"/>
      <c r="MZO149" s="201"/>
      <c r="MZP149" s="202"/>
      <c r="MZQ149" s="202"/>
      <c r="MZR149" s="202"/>
      <c r="MZS149" s="202"/>
      <c r="MZT149" s="203"/>
      <c r="MZU149" s="204"/>
      <c r="MZV149" s="204"/>
      <c r="MZW149" s="204"/>
      <c r="MZX149" s="205"/>
      <c r="MZY149" s="206"/>
      <c r="MZZ149" s="207"/>
      <c r="NAA149" s="207"/>
      <c r="NAB149" s="208"/>
      <c r="NAC149" s="209"/>
      <c r="NAD149" s="207"/>
      <c r="NAE149" s="210"/>
      <c r="NAF149" s="209"/>
      <c r="NAG149" s="204"/>
      <c r="NAH149" s="204"/>
      <c r="NAI149" s="204"/>
      <c r="NAJ149" s="199"/>
      <c r="NAK149" s="167"/>
      <c r="NAL149" s="199"/>
      <c r="NAM149" s="200"/>
      <c r="NAN149" s="201"/>
      <c r="NAO149" s="202"/>
      <c r="NAP149" s="202"/>
      <c r="NAQ149" s="202"/>
      <c r="NAR149" s="202"/>
      <c r="NAS149" s="203"/>
      <c r="NAT149" s="204"/>
      <c r="NAU149" s="204"/>
      <c r="NAV149" s="204"/>
      <c r="NAW149" s="205"/>
      <c r="NAX149" s="206"/>
      <c r="NAY149" s="207"/>
      <c r="NAZ149" s="207"/>
      <c r="NBA149" s="208"/>
      <c r="NBB149" s="209"/>
      <c r="NBC149" s="207"/>
      <c r="NBD149" s="210"/>
      <c r="NBE149" s="209"/>
      <c r="NBF149" s="204"/>
      <c r="NBG149" s="204"/>
      <c r="NBH149" s="204"/>
      <c r="NBI149" s="199"/>
      <c r="NBJ149" s="167"/>
      <c r="NBK149" s="199"/>
      <c r="NBL149" s="200"/>
      <c r="NBM149" s="201"/>
      <c r="NBN149" s="202"/>
      <c r="NBO149" s="202"/>
      <c r="NBP149" s="202"/>
      <c r="NBQ149" s="202"/>
      <c r="NBR149" s="203"/>
      <c r="NBS149" s="204"/>
      <c r="NBT149" s="204"/>
      <c r="NBU149" s="204"/>
      <c r="NBV149" s="205"/>
      <c r="NBW149" s="206"/>
      <c r="NBX149" s="207"/>
      <c r="NBY149" s="207"/>
      <c r="NBZ149" s="208"/>
      <c r="NCA149" s="209"/>
      <c r="NCB149" s="207"/>
      <c r="NCC149" s="210"/>
      <c r="NCD149" s="209"/>
      <c r="NCE149" s="204"/>
      <c r="NCF149" s="204"/>
      <c r="NCG149" s="204"/>
      <c r="NCH149" s="199"/>
      <c r="NCI149" s="167"/>
      <c r="NCJ149" s="199"/>
      <c r="NCK149" s="200"/>
      <c r="NCL149" s="201"/>
      <c r="NCM149" s="202"/>
      <c r="NCN149" s="202"/>
      <c r="NCO149" s="202"/>
      <c r="NCP149" s="202"/>
      <c r="NCQ149" s="203"/>
      <c r="NCR149" s="204"/>
      <c r="NCS149" s="204"/>
      <c r="NCT149" s="204"/>
      <c r="NCU149" s="205"/>
      <c r="NCV149" s="206"/>
      <c r="NCW149" s="207"/>
      <c r="NCX149" s="207"/>
      <c r="NCY149" s="208"/>
      <c r="NCZ149" s="209"/>
      <c r="NDA149" s="207"/>
      <c r="NDB149" s="210"/>
      <c r="NDC149" s="209"/>
      <c r="NDD149" s="204"/>
      <c r="NDE149" s="204"/>
      <c r="NDF149" s="204"/>
      <c r="NDG149" s="199"/>
      <c r="NDH149" s="167"/>
      <c r="NDI149" s="199"/>
      <c r="NDJ149" s="200"/>
      <c r="NDK149" s="201"/>
      <c r="NDL149" s="202"/>
      <c r="NDM149" s="202"/>
      <c r="NDN149" s="202"/>
      <c r="NDO149" s="202"/>
      <c r="NDP149" s="203"/>
      <c r="NDQ149" s="204"/>
      <c r="NDR149" s="204"/>
      <c r="NDS149" s="204"/>
      <c r="NDT149" s="205"/>
      <c r="NDU149" s="206"/>
      <c r="NDV149" s="207"/>
      <c r="NDW149" s="207"/>
      <c r="NDX149" s="208"/>
      <c r="NDY149" s="209"/>
      <c r="NDZ149" s="207"/>
      <c r="NEA149" s="210"/>
      <c r="NEB149" s="209"/>
      <c r="NEC149" s="204"/>
      <c r="NED149" s="204"/>
      <c r="NEE149" s="204"/>
      <c r="NEF149" s="199"/>
      <c r="NEG149" s="167"/>
      <c r="NEH149" s="199"/>
      <c r="NEI149" s="200"/>
      <c r="NEJ149" s="201"/>
      <c r="NEK149" s="202"/>
      <c r="NEL149" s="202"/>
      <c r="NEM149" s="202"/>
      <c r="NEN149" s="202"/>
      <c r="NEO149" s="203"/>
      <c r="NEP149" s="204"/>
      <c r="NEQ149" s="204"/>
      <c r="NER149" s="204"/>
      <c r="NES149" s="205"/>
      <c r="NET149" s="206"/>
      <c r="NEU149" s="207"/>
      <c r="NEV149" s="207"/>
      <c r="NEW149" s="208"/>
      <c r="NEX149" s="209"/>
      <c r="NEY149" s="207"/>
      <c r="NEZ149" s="210"/>
      <c r="NFA149" s="209"/>
      <c r="NFB149" s="204"/>
      <c r="NFC149" s="204"/>
      <c r="NFD149" s="204"/>
      <c r="NFE149" s="199"/>
      <c r="NFF149" s="167"/>
      <c r="NFG149" s="199"/>
      <c r="NFH149" s="200"/>
      <c r="NFI149" s="201"/>
      <c r="NFJ149" s="202"/>
      <c r="NFK149" s="202"/>
      <c r="NFL149" s="202"/>
      <c r="NFM149" s="202"/>
      <c r="NFN149" s="203"/>
      <c r="NFO149" s="204"/>
      <c r="NFP149" s="204"/>
      <c r="NFQ149" s="204"/>
      <c r="NFR149" s="205"/>
      <c r="NFS149" s="206"/>
      <c r="NFT149" s="207"/>
      <c r="NFU149" s="207"/>
      <c r="NFV149" s="208"/>
      <c r="NFW149" s="209"/>
      <c r="NFX149" s="207"/>
      <c r="NFY149" s="210"/>
      <c r="NFZ149" s="209"/>
      <c r="NGA149" s="204"/>
      <c r="NGB149" s="204"/>
      <c r="NGC149" s="204"/>
      <c r="NGD149" s="199"/>
      <c r="NGE149" s="167"/>
      <c r="NGF149" s="199"/>
      <c r="NGG149" s="200"/>
      <c r="NGH149" s="201"/>
      <c r="NGI149" s="202"/>
      <c r="NGJ149" s="202"/>
      <c r="NGK149" s="202"/>
      <c r="NGL149" s="202"/>
      <c r="NGM149" s="203"/>
      <c r="NGN149" s="204"/>
      <c r="NGO149" s="204"/>
      <c r="NGP149" s="204"/>
      <c r="NGQ149" s="205"/>
      <c r="NGR149" s="206"/>
      <c r="NGS149" s="207"/>
      <c r="NGT149" s="207"/>
      <c r="NGU149" s="208"/>
      <c r="NGV149" s="209"/>
      <c r="NGW149" s="207"/>
      <c r="NGX149" s="210"/>
      <c r="NGY149" s="209"/>
      <c r="NGZ149" s="204"/>
      <c r="NHA149" s="204"/>
      <c r="NHB149" s="204"/>
      <c r="NHC149" s="199"/>
      <c r="NHD149" s="167"/>
      <c r="NHE149" s="199"/>
      <c r="NHF149" s="200"/>
      <c r="NHG149" s="201"/>
      <c r="NHH149" s="202"/>
      <c r="NHI149" s="202"/>
      <c r="NHJ149" s="202"/>
      <c r="NHK149" s="202"/>
      <c r="NHL149" s="203"/>
      <c r="NHM149" s="204"/>
      <c r="NHN149" s="204"/>
      <c r="NHO149" s="204"/>
      <c r="NHP149" s="205"/>
      <c r="NHQ149" s="206"/>
      <c r="NHR149" s="207"/>
      <c r="NHS149" s="207"/>
      <c r="NHT149" s="208"/>
      <c r="NHU149" s="209"/>
      <c r="NHV149" s="207"/>
      <c r="NHW149" s="210"/>
      <c r="NHX149" s="209"/>
      <c r="NHY149" s="204"/>
      <c r="NHZ149" s="204"/>
      <c r="NIA149" s="204"/>
      <c r="NIB149" s="199"/>
      <c r="NIC149" s="167"/>
      <c r="NID149" s="199"/>
      <c r="NIE149" s="200"/>
      <c r="NIF149" s="201"/>
      <c r="NIG149" s="202"/>
      <c r="NIH149" s="202"/>
      <c r="NII149" s="202"/>
      <c r="NIJ149" s="202"/>
      <c r="NIK149" s="203"/>
      <c r="NIL149" s="204"/>
      <c r="NIM149" s="204"/>
      <c r="NIN149" s="204"/>
      <c r="NIO149" s="205"/>
      <c r="NIP149" s="206"/>
      <c r="NIQ149" s="207"/>
      <c r="NIR149" s="207"/>
      <c r="NIS149" s="208"/>
      <c r="NIT149" s="209"/>
      <c r="NIU149" s="207"/>
      <c r="NIV149" s="210"/>
      <c r="NIW149" s="209"/>
      <c r="NIX149" s="204"/>
      <c r="NIY149" s="204"/>
      <c r="NIZ149" s="204"/>
      <c r="NJA149" s="199"/>
      <c r="NJB149" s="167"/>
      <c r="NJC149" s="199"/>
      <c r="NJD149" s="200"/>
      <c r="NJE149" s="201"/>
      <c r="NJF149" s="202"/>
      <c r="NJG149" s="202"/>
      <c r="NJH149" s="202"/>
      <c r="NJI149" s="202"/>
      <c r="NJJ149" s="203"/>
      <c r="NJK149" s="204"/>
      <c r="NJL149" s="204"/>
      <c r="NJM149" s="204"/>
      <c r="NJN149" s="205"/>
      <c r="NJO149" s="206"/>
      <c r="NJP149" s="207"/>
      <c r="NJQ149" s="207"/>
      <c r="NJR149" s="208"/>
      <c r="NJS149" s="209"/>
      <c r="NJT149" s="207"/>
      <c r="NJU149" s="210"/>
      <c r="NJV149" s="209"/>
      <c r="NJW149" s="204"/>
      <c r="NJX149" s="204"/>
      <c r="NJY149" s="204"/>
      <c r="NJZ149" s="199"/>
      <c r="NKA149" s="167"/>
      <c r="NKB149" s="199"/>
      <c r="NKC149" s="200"/>
      <c r="NKD149" s="201"/>
      <c r="NKE149" s="202"/>
      <c r="NKF149" s="202"/>
      <c r="NKG149" s="202"/>
      <c r="NKH149" s="202"/>
      <c r="NKI149" s="203"/>
      <c r="NKJ149" s="204"/>
      <c r="NKK149" s="204"/>
      <c r="NKL149" s="204"/>
      <c r="NKM149" s="205"/>
      <c r="NKN149" s="206"/>
      <c r="NKO149" s="207"/>
      <c r="NKP149" s="207"/>
      <c r="NKQ149" s="208"/>
      <c r="NKR149" s="209"/>
      <c r="NKS149" s="207"/>
      <c r="NKT149" s="210"/>
      <c r="NKU149" s="209"/>
      <c r="NKV149" s="204"/>
      <c r="NKW149" s="204"/>
      <c r="NKX149" s="204"/>
      <c r="NKY149" s="199"/>
      <c r="NKZ149" s="167"/>
      <c r="NLA149" s="199"/>
      <c r="NLB149" s="200"/>
      <c r="NLC149" s="201"/>
      <c r="NLD149" s="202"/>
      <c r="NLE149" s="202"/>
      <c r="NLF149" s="202"/>
      <c r="NLG149" s="202"/>
      <c r="NLH149" s="203"/>
      <c r="NLI149" s="204"/>
      <c r="NLJ149" s="204"/>
      <c r="NLK149" s="204"/>
      <c r="NLL149" s="205"/>
      <c r="NLM149" s="206"/>
      <c r="NLN149" s="207"/>
      <c r="NLO149" s="207"/>
      <c r="NLP149" s="208"/>
      <c r="NLQ149" s="209"/>
      <c r="NLR149" s="207"/>
      <c r="NLS149" s="210"/>
      <c r="NLT149" s="209"/>
      <c r="NLU149" s="204"/>
      <c r="NLV149" s="204"/>
      <c r="NLW149" s="204"/>
      <c r="NLX149" s="199"/>
      <c r="NLY149" s="167"/>
      <c r="NLZ149" s="199"/>
      <c r="NMA149" s="200"/>
      <c r="NMB149" s="201"/>
      <c r="NMC149" s="202"/>
      <c r="NMD149" s="202"/>
      <c r="NME149" s="202"/>
      <c r="NMF149" s="202"/>
      <c r="NMG149" s="203"/>
      <c r="NMH149" s="204"/>
      <c r="NMI149" s="204"/>
      <c r="NMJ149" s="204"/>
      <c r="NMK149" s="205"/>
      <c r="NML149" s="206"/>
      <c r="NMM149" s="207"/>
      <c r="NMN149" s="207"/>
      <c r="NMO149" s="208"/>
      <c r="NMP149" s="209"/>
      <c r="NMQ149" s="207"/>
      <c r="NMR149" s="210"/>
      <c r="NMS149" s="209"/>
      <c r="NMT149" s="204"/>
      <c r="NMU149" s="204"/>
      <c r="NMV149" s="204"/>
      <c r="NMW149" s="199"/>
      <c r="NMX149" s="167"/>
      <c r="NMY149" s="199"/>
      <c r="NMZ149" s="200"/>
      <c r="NNA149" s="201"/>
      <c r="NNB149" s="202"/>
      <c r="NNC149" s="202"/>
      <c r="NND149" s="202"/>
      <c r="NNE149" s="202"/>
      <c r="NNF149" s="203"/>
      <c r="NNG149" s="204"/>
      <c r="NNH149" s="204"/>
      <c r="NNI149" s="204"/>
      <c r="NNJ149" s="205"/>
      <c r="NNK149" s="206"/>
      <c r="NNL149" s="207"/>
      <c r="NNM149" s="207"/>
      <c r="NNN149" s="208"/>
      <c r="NNO149" s="209"/>
      <c r="NNP149" s="207"/>
      <c r="NNQ149" s="210"/>
      <c r="NNR149" s="209"/>
      <c r="NNS149" s="204"/>
      <c r="NNT149" s="204"/>
      <c r="NNU149" s="204"/>
      <c r="NNV149" s="199"/>
      <c r="NNW149" s="167"/>
      <c r="NNX149" s="199"/>
      <c r="NNY149" s="200"/>
      <c r="NNZ149" s="201"/>
      <c r="NOA149" s="202"/>
      <c r="NOB149" s="202"/>
      <c r="NOC149" s="202"/>
      <c r="NOD149" s="202"/>
      <c r="NOE149" s="203"/>
      <c r="NOF149" s="204"/>
      <c r="NOG149" s="204"/>
      <c r="NOH149" s="204"/>
      <c r="NOI149" s="205"/>
      <c r="NOJ149" s="206"/>
      <c r="NOK149" s="207"/>
      <c r="NOL149" s="207"/>
      <c r="NOM149" s="208"/>
      <c r="NON149" s="209"/>
      <c r="NOO149" s="207"/>
      <c r="NOP149" s="210"/>
      <c r="NOQ149" s="209"/>
      <c r="NOR149" s="204"/>
      <c r="NOS149" s="204"/>
      <c r="NOT149" s="204"/>
      <c r="NOU149" s="199"/>
      <c r="NOV149" s="167"/>
      <c r="NOW149" s="199"/>
      <c r="NOX149" s="200"/>
      <c r="NOY149" s="201"/>
      <c r="NOZ149" s="202"/>
      <c r="NPA149" s="202"/>
      <c r="NPB149" s="202"/>
      <c r="NPC149" s="202"/>
      <c r="NPD149" s="203"/>
      <c r="NPE149" s="204"/>
      <c r="NPF149" s="204"/>
      <c r="NPG149" s="204"/>
      <c r="NPH149" s="205"/>
      <c r="NPI149" s="206"/>
      <c r="NPJ149" s="207"/>
      <c r="NPK149" s="207"/>
      <c r="NPL149" s="208"/>
      <c r="NPM149" s="209"/>
      <c r="NPN149" s="207"/>
      <c r="NPO149" s="210"/>
      <c r="NPP149" s="209"/>
      <c r="NPQ149" s="204"/>
      <c r="NPR149" s="204"/>
      <c r="NPS149" s="204"/>
      <c r="NPT149" s="199"/>
      <c r="NPU149" s="167"/>
      <c r="NPV149" s="199"/>
      <c r="NPW149" s="200"/>
      <c r="NPX149" s="201"/>
      <c r="NPY149" s="202"/>
      <c r="NPZ149" s="202"/>
      <c r="NQA149" s="202"/>
      <c r="NQB149" s="202"/>
      <c r="NQC149" s="203"/>
      <c r="NQD149" s="204"/>
      <c r="NQE149" s="204"/>
      <c r="NQF149" s="204"/>
      <c r="NQG149" s="205"/>
      <c r="NQH149" s="206"/>
      <c r="NQI149" s="207"/>
      <c r="NQJ149" s="207"/>
      <c r="NQK149" s="208"/>
      <c r="NQL149" s="209"/>
      <c r="NQM149" s="207"/>
      <c r="NQN149" s="210"/>
      <c r="NQO149" s="209"/>
      <c r="NQP149" s="204"/>
      <c r="NQQ149" s="204"/>
      <c r="NQR149" s="204"/>
      <c r="NQS149" s="199"/>
      <c r="NQT149" s="167"/>
      <c r="NQU149" s="199"/>
      <c r="NQV149" s="200"/>
      <c r="NQW149" s="201"/>
      <c r="NQX149" s="202"/>
      <c r="NQY149" s="202"/>
      <c r="NQZ149" s="202"/>
      <c r="NRA149" s="202"/>
      <c r="NRB149" s="203"/>
      <c r="NRC149" s="204"/>
      <c r="NRD149" s="204"/>
      <c r="NRE149" s="204"/>
      <c r="NRF149" s="205"/>
      <c r="NRG149" s="206"/>
      <c r="NRH149" s="207"/>
      <c r="NRI149" s="207"/>
      <c r="NRJ149" s="208"/>
      <c r="NRK149" s="209"/>
      <c r="NRL149" s="207"/>
      <c r="NRM149" s="210"/>
      <c r="NRN149" s="209"/>
      <c r="NRO149" s="204"/>
      <c r="NRP149" s="204"/>
      <c r="NRQ149" s="204"/>
      <c r="NRR149" s="199"/>
      <c r="NRS149" s="167"/>
      <c r="NRT149" s="199"/>
      <c r="NRU149" s="200"/>
      <c r="NRV149" s="201"/>
      <c r="NRW149" s="202"/>
      <c r="NRX149" s="202"/>
      <c r="NRY149" s="202"/>
      <c r="NRZ149" s="202"/>
      <c r="NSA149" s="203"/>
      <c r="NSB149" s="204"/>
      <c r="NSC149" s="204"/>
      <c r="NSD149" s="204"/>
      <c r="NSE149" s="205"/>
      <c r="NSF149" s="206"/>
      <c r="NSG149" s="207"/>
      <c r="NSH149" s="207"/>
      <c r="NSI149" s="208"/>
      <c r="NSJ149" s="209"/>
      <c r="NSK149" s="207"/>
      <c r="NSL149" s="210"/>
      <c r="NSM149" s="209"/>
      <c r="NSN149" s="204"/>
      <c r="NSO149" s="204"/>
      <c r="NSP149" s="204"/>
      <c r="NSQ149" s="199"/>
      <c r="NSR149" s="167"/>
      <c r="NSS149" s="199"/>
      <c r="NST149" s="200"/>
      <c r="NSU149" s="201"/>
      <c r="NSV149" s="202"/>
      <c r="NSW149" s="202"/>
      <c r="NSX149" s="202"/>
      <c r="NSY149" s="202"/>
      <c r="NSZ149" s="203"/>
      <c r="NTA149" s="204"/>
      <c r="NTB149" s="204"/>
      <c r="NTC149" s="204"/>
      <c r="NTD149" s="205"/>
      <c r="NTE149" s="206"/>
      <c r="NTF149" s="207"/>
      <c r="NTG149" s="207"/>
      <c r="NTH149" s="208"/>
      <c r="NTI149" s="209"/>
      <c r="NTJ149" s="207"/>
      <c r="NTK149" s="210"/>
      <c r="NTL149" s="209"/>
      <c r="NTM149" s="204"/>
      <c r="NTN149" s="204"/>
      <c r="NTO149" s="204"/>
      <c r="NTP149" s="199"/>
      <c r="NTQ149" s="167"/>
      <c r="NTR149" s="199"/>
      <c r="NTS149" s="200"/>
      <c r="NTT149" s="201"/>
      <c r="NTU149" s="202"/>
      <c r="NTV149" s="202"/>
      <c r="NTW149" s="202"/>
      <c r="NTX149" s="202"/>
      <c r="NTY149" s="203"/>
      <c r="NTZ149" s="204"/>
      <c r="NUA149" s="204"/>
      <c r="NUB149" s="204"/>
      <c r="NUC149" s="205"/>
      <c r="NUD149" s="206"/>
      <c r="NUE149" s="207"/>
      <c r="NUF149" s="207"/>
      <c r="NUG149" s="208"/>
      <c r="NUH149" s="209"/>
      <c r="NUI149" s="207"/>
      <c r="NUJ149" s="210"/>
      <c r="NUK149" s="209"/>
      <c r="NUL149" s="204"/>
      <c r="NUM149" s="204"/>
      <c r="NUN149" s="204"/>
      <c r="NUO149" s="199"/>
      <c r="NUP149" s="167"/>
      <c r="NUQ149" s="199"/>
      <c r="NUR149" s="200"/>
      <c r="NUS149" s="201"/>
      <c r="NUT149" s="202"/>
      <c r="NUU149" s="202"/>
      <c r="NUV149" s="202"/>
      <c r="NUW149" s="202"/>
      <c r="NUX149" s="203"/>
      <c r="NUY149" s="204"/>
      <c r="NUZ149" s="204"/>
      <c r="NVA149" s="204"/>
      <c r="NVB149" s="205"/>
      <c r="NVC149" s="206"/>
      <c r="NVD149" s="207"/>
      <c r="NVE149" s="207"/>
      <c r="NVF149" s="208"/>
      <c r="NVG149" s="209"/>
      <c r="NVH149" s="207"/>
      <c r="NVI149" s="210"/>
      <c r="NVJ149" s="209"/>
      <c r="NVK149" s="204"/>
      <c r="NVL149" s="204"/>
      <c r="NVM149" s="204"/>
      <c r="NVN149" s="199"/>
      <c r="NVO149" s="167"/>
      <c r="NVP149" s="199"/>
      <c r="NVQ149" s="200"/>
      <c r="NVR149" s="201"/>
      <c r="NVS149" s="202"/>
      <c r="NVT149" s="202"/>
      <c r="NVU149" s="202"/>
      <c r="NVV149" s="202"/>
      <c r="NVW149" s="203"/>
      <c r="NVX149" s="204"/>
      <c r="NVY149" s="204"/>
      <c r="NVZ149" s="204"/>
      <c r="NWA149" s="205"/>
      <c r="NWB149" s="206"/>
      <c r="NWC149" s="207"/>
      <c r="NWD149" s="207"/>
      <c r="NWE149" s="208"/>
      <c r="NWF149" s="209"/>
      <c r="NWG149" s="207"/>
      <c r="NWH149" s="210"/>
      <c r="NWI149" s="209"/>
      <c r="NWJ149" s="204"/>
      <c r="NWK149" s="204"/>
      <c r="NWL149" s="204"/>
      <c r="NWM149" s="199"/>
      <c r="NWN149" s="167"/>
      <c r="NWO149" s="199"/>
      <c r="NWP149" s="200"/>
      <c r="NWQ149" s="201"/>
      <c r="NWR149" s="202"/>
      <c r="NWS149" s="202"/>
      <c r="NWT149" s="202"/>
      <c r="NWU149" s="202"/>
      <c r="NWV149" s="203"/>
      <c r="NWW149" s="204"/>
      <c r="NWX149" s="204"/>
      <c r="NWY149" s="204"/>
      <c r="NWZ149" s="205"/>
      <c r="NXA149" s="206"/>
      <c r="NXB149" s="207"/>
      <c r="NXC149" s="207"/>
      <c r="NXD149" s="208"/>
      <c r="NXE149" s="209"/>
      <c r="NXF149" s="207"/>
      <c r="NXG149" s="210"/>
      <c r="NXH149" s="209"/>
      <c r="NXI149" s="204"/>
      <c r="NXJ149" s="204"/>
      <c r="NXK149" s="204"/>
      <c r="NXL149" s="199"/>
      <c r="NXM149" s="167"/>
      <c r="NXN149" s="199"/>
      <c r="NXO149" s="200"/>
      <c r="NXP149" s="201"/>
      <c r="NXQ149" s="202"/>
      <c r="NXR149" s="202"/>
      <c r="NXS149" s="202"/>
      <c r="NXT149" s="202"/>
      <c r="NXU149" s="203"/>
      <c r="NXV149" s="204"/>
      <c r="NXW149" s="204"/>
      <c r="NXX149" s="204"/>
      <c r="NXY149" s="205"/>
      <c r="NXZ149" s="206"/>
      <c r="NYA149" s="207"/>
      <c r="NYB149" s="207"/>
      <c r="NYC149" s="208"/>
      <c r="NYD149" s="209"/>
      <c r="NYE149" s="207"/>
      <c r="NYF149" s="210"/>
      <c r="NYG149" s="209"/>
      <c r="NYH149" s="204"/>
      <c r="NYI149" s="204"/>
      <c r="NYJ149" s="204"/>
      <c r="NYK149" s="199"/>
      <c r="NYL149" s="167"/>
      <c r="NYM149" s="199"/>
      <c r="NYN149" s="200"/>
      <c r="NYO149" s="201"/>
      <c r="NYP149" s="202"/>
      <c r="NYQ149" s="202"/>
      <c r="NYR149" s="202"/>
      <c r="NYS149" s="202"/>
      <c r="NYT149" s="203"/>
      <c r="NYU149" s="204"/>
      <c r="NYV149" s="204"/>
      <c r="NYW149" s="204"/>
      <c r="NYX149" s="205"/>
      <c r="NYY149" s="206"/>
      <c r="NYZ149" s="207"/>
      <c r="NZA149" s="207"/>
      <c r="NZB149" s="208"/>
      <c r="NZC149" s="209"/>
      <c r="NZD149" s="207"/>
      <c r="NZE149" s="210"/>
      <c r="NZF149" s="209"/>
      <c r="NZG149" s="204"/>
      <c r="NZH149" s="204"/>
      <c r="NZI149" s="204"/>
      <c r="NZJ149" s="199"/>
      <c r="NZK149" s="167"/>
      <c r="NZL149" s="199"/>
      <c r="NZM149" s="200"/>
      <c r="NZN149" s="201"/>
      <c r="NZO149" s="202"/>
      <c r="NZP149" s="202"/>
      <c r="NZQ149" s="202"/>
      <c r="NZR149" s="202"/>
      <c r="NZS149" s="203"/>
      <c r="NZT149" s="204"/>
      <c r="NZU149" s="204"/>
      <c r="NZV149" s="204"/>
      <c r="NZW149" s="205"/>
      <c r="NZX149" s="206"/>
      <c r="NZY149" s="207"/>
      <c r="NZZ149" s="207"/>
      <c r="OAA149" s="208"/>
      <c r="OAB149" s="209"/>
      <c r="OAC149" s="207"/>
      <c r="OAD149" s="210"/>
      <c r="OAE149" s="209"/>
      <c r="OAF149" s="204"/>
      <c r="OAG149" s="204"/>
      <c r="OAH149" s="204"/>
      <c r="OAI149" s="199"/>
      <c r="OAJ149" s="167"/>
      <c r="OAK149" s="199"/>
      <c r="OAL149" s="200"/>
      <c r="OAM149" s="201"/>
      <c r="OAN149" s="202"/>
      <c r="OAO149" s="202"/>
      <c r="OAP149" s="202"/>
      <c r="OAQ149" s="202"/>
      <c r="OAR149" s="203"/>
      <c r="OAS149" s="204"/>
      <c r="OAT149" s="204"/>
      <c r="OAU149" s="204"/>
      <c r="OAV149" s="205"/>
      <c r="OAW149" s="206"/>
      <c r="OAX149" s="207"/>
      <c r="OAY149" s="207"/>
      <c r="OAZ149" s="208"/>
      <c r="OBA149" s="209"/>
      <c r="OBB149" s="207"/>
      <c r="OBC149" s="210"/>
      <c r="OBD149" s="209"/>
      <c r="OBE149" s="204"/>
      <c r="OBF149" s="204"/>
      <c r="OBG149" s="204"/>
      <c r="OBH149" s="199"/>
      <c r="OBI149" s="167"/>
      <c r="OBJ149" s="199"/>
      <c r="OBK149" s="200"/>
      <c r="OBL149" s="201"/>
      <c r="OBM149" s="202"/>
      <c r="OBN149" s="202"/>
      <c r="OBO149" s="202"/>
      <c r="OBP149" s="202"/>
      <c r="OBQ149" s="203"/>
      <c r="OBR149" s="204"/>
      <c r="OBS149" s="204"/>
      <c r="OBT149" s="204"/>
      <c r="OBU149" s="205"/>
      <c r="OBV149" s="206"/>
      <c r="OBW149" s="207"/>
      <c r="OBX149" s="207"/>
      <c r="OBY149" s="208"/>
      <c r="OBZ149" s="209"/>
      <c r="OCA149" s="207"/>
      <c r="OCB149" s="210"/>
      <c r="OCC149" s="209"/>
      <c r="OCD149" s="204"/>
      <c r="OCE149" s="204"/>
      <c r="OCF149" s="204"/>
      <c r="OCG149" s="199"/>
      <c r="OCH149" s="167"/>
      <c r="OCI149" s="199"/>
      <c r="OCJ149" s="200"/>
      <c r="OCK149" s="201"/>
      <c r="OCL149" s="202"/>
      <c r="OCM149" s="202"/>
      <c r="OCN149" s="202"/>
      <c r="OCO149" s="202"/>
      <c r="OCP149" s="203"/>
      <c r="OCQ149" s="204"/>
      <c r="OCR149" s="204"/>
      <c r="OCS149" s="204"/>
      <c r="OCT149" s="205"/>
      <c r="OCU149" s="206"/>
      <c r="OCV149" s="207"/>
      <c r="OCW149" s="207"/>
      <c r="OCX149" s="208"/>
      <c r="OCY149" s="209"/>
      <c r="OCZ149" s="207"/>
      <c r="ODA149" s="210"/>
      <c r="ODB149" s="209"/>
      <c r="ODC149" s="204"/>
      <c r="ODD149" s="204"/>
      <c r="ODE149" s="204"/>
      <c r="ODF149" s="199"/>
      <c r="ODG149" s="167"/>
      <c r="ODH149" s="199"/>
      <c r="ODI149" s="200"/>
      <c r="ODJ149" s="201"/>
      <c r="ODK149" s="202"/>
      <c r="ODL149" s="202"/>
      <c r="ODM149" s="202"/>
      <c r="ODN149" s="202"/>
      <c r="ODO149" s="203"/>
      <c r="ODP149" s="204"/>
      <c r="ODQ149" s="204"/>
      <c r="ODR149" s="204"/>
      <c r="ODS149" s="205"/>
      <c r="ODT149" s="206"/>
      <c r="ODU149" s="207"/>
      <c r="ODV149" s="207"/>
      <c r="ODW149" s="208"/>
      <c r="ODX149" s="209"/>
      <c r="ODY149" s="207"/>
      <c r="ODZ149" s="210"/>
      <c r="OEA149" s="209"/>
      <c r="OEB149" s="204"/>
      <c r="OEC149" s="204"/>
      <c r="OED149" s="204"/>
      <c r="OEE149" s="199"/>
      <c r="OEF149" s="167"/>
      <c r="OEG149" s="199"/>
      <c r="OEH149" s="200"/>
      <c r="OEI149" s="201"/>
      <c r="OEJ149" s="202"/>
      <c r="OEK149" s="202"/>
      <c r="OEL149" s="202"/>
      <c r="OEM149" s="202"/>
      <c r="OEN149" s="203"/>
      <c r="OEO149" s="204"/>
      <c r="OEP149" s="204"/>
      <c r="OEQ149" s="204"/>
      <c r="OER149" s="205"/>
      <c r="OES149" s="206"/>
      <c r="OET149" s="207"/>
      <c r="OEU149" s="207"/>
      <c r="OEV149" s="208"/>
      <c r="OEW149" s="209"/>
      <c r="OEX149" s="207"/>
      <c r="OEY149" s="210"/>
      <c r="OEZ149" s="209"/>
      <c r="OFA149" s="204"/>
      <c r="OFB149" s="204"/>
      <c r="OFC149" s="204"/>
      <c r="OFD149" s="199"/>
      <c r="OFE149" s="167"/>
      <c r="OFF149" s="199"/>
      <c r="OFG149" s="200"/>
      <c r="OFH149" s="201"/>
      <c r="OFI149" s="202"/>
      <c r="OFJ149" s="202"/>
      <c r="OFK149" s="202"/>
      <c r="OFL149" s="202"/>
      <c r="OFM149" s="203"/>
      <c r="OFN149" s="204"/>
      <c r="OFO149" s="204"/>
      <c r="OFP149" s="204"/>
      <c r="OFQ149" s="205"/>
      <c r="OFR149" s="206"/>
      <c r="OFS149" s="207"/>
      <c r="OFT149" s="207"/>
      <c r="OFU149" s="208"/>
      <c r="OFV149" s="209"/>
      <c r="OFW149" s="207"/>
      <c r="OFX149" s="210"/>
      <c r="OFY149" s="209"/>
      <c r="OFZ149" s="204"/>
      <c r="OGA149" s="204"/>
      <c r="OGB149" s="204"/>
      <c r="OGC149" s="199"/>
      <c r="OGD149" s="167"/>
      <c r="OGE149" s="199"/>
      <c r="OGF149" s="200"/>
      <c r="OGG149" s="201"/>
      <c r="OGH149" s="202"/>
      <c r="OGI149" s="202"/>
      <c r="OGJ149" s="202"/>
      <c r="OGK149" s="202"/>
      <c r="OGL149" s="203"/>
      <c r="OGM149" s="204"/>
      <c r="OGN149" s="204"/>
      <c r="OGO149" s="204"/>
      <c r="OGP149" s="205"/>
      <c r="OGQ149" s="206"/>
      <c r="OGR149" s="207"/>
      <c r="OGS149" s="207"/>
      <c r="OGT149" s="208"/>
      <c r="OGU149" s="209"/>
      <c r="OGV149" s="207"/>
      <c r="OGW149" s="210"/>
      <c r="OGX149" s="209"/>
      <c r="OGY149" s="204"/>
      <c r="OGZ149" s="204"/>
      <c r="OHA149" s="204"/>
      <c r="OHB149" s="199"/>
      <c r="OHC149" s="167"/>
      <c r="OHD149" s="199"/>
      <c r="OHE149" s="200"/>
      <c r="OHF149" s="201"/>
      <c r="OHG149" s="202"/>
      <c r="OHH149" s="202"/>
      <c r="OHI149" s="202"/>
      <c r="OHJ149" s="202"/>
      <c r="OHK149" s="203"/>
      <c r="OHL149" s="204"/>
      <c r="OHM149" s="204"/>
      <c r="OHN149" s="204"/>
      <c r="OHO149" s="205"/>
      <c r="OHP149" s="206"/>
      <c r="OHQ149" s="207"/>
      <c r="OHR149" s="207"/>
      <c r="OHS149" s="208"/>
      <c r="OHT149" s="209"/>
      <c r="OHU149" s="207"/>
      <c r="OHV149" s="210"/>
      <c r="OHW149" s="209"/>
      <c r="OHX149" s="204"/>
      <c r="OHY149" s="204"/>
      <c r="OHZ149" s="204"/>
      <c r="OIA149" s="199"/>
      <c r="OIB149" s="167"/>
      <c r="OIC149" s="199"/>
      <c r="OID149" s="200"/>
      <c r="OIE149" s="201"/>
      <c r="OIF149" s="202"/>
      <c r="OIG149" s="202"/>
      <c r="OIH149" s="202"/>
      <c r="OII149" s="202"/>
      <c r="OIJ149" s="203"/>
      <c r="OIK149" s="204"/>
      <c r="OIL149" s="204"/>
      <c r="OIM149" s="204"/>
      <c r="OIN149" s="205"/>
      <c r="OIO149" s="206"/>
      <c r="OIP149" s="207"/>
      <c r="OIQ149" s="207"/>
      <c r="OIR149" s="208"/>
      <c r="OIS149" s="209"/>
      <c r="OIT149" s="207"/>
      <c r="OIU149" s="210"/>
      <c r="OIV149" s="209"/>
      <c r="OIW149" s="204"/>
      <c r="OIX149" s="204"/>
      <c r="OIY149" s="204"/>
      <c r="OIZ149" s="199"/>
      <c r="OJA149" s="167"/>
      <c r="OJB149" s="199"/>
      <c r="OJC149" s="200"/>
      <c r="OJD149" s="201"/>
      <c r="OJE149" s="202"/>
      <c r="OJF149" s="202"/>
      <c r="OJG149" s="202"/>
      <c r="OJH149" s="202"/>
      <c r="OJI149" s="203"/>
      <c r="OJJ149" s="204"/>
      <c r="OJK149" s="204"/>
      <c r="OJL149" s="204"/>
      <c r="OJM149" s="205"/>
      <c r="OJN149" s="206"/>
      <c r="OJO149" s="207"/>
      <c r="OJP149" s="207"/>
      <c r="OJQ149" s="208"/>
      <c r="OJR149" s="209"/>
      <c r="OJS149" s="207"/>
      <c r="OJT149" s="210"/>
      <c r="OJU149" s="209"/>
      <c r="OJV149" s="204"/>
      <c r="OJW149" s="204"/>
      <c r="OJX149" s="204"/>
      <c r="OJY149" s="199"/>
      <c r="OJZ149" s="167"/>
      <c r="OKA149" s="199"/>
      <c r="OKB149" s="200"/>
      <c r="OKC149" s="201"/>
      <c r="OKD149" s="202"/>
      <c r="OKE149" s="202"/>
      <c r="OKF149" s="202"/>
      <c r="OKG149" s="202"/>
      <c r="OKH149" s="203"/>
      <c r="OKI149" s="204"/>
      <c r="OKJ149" s="204"/>
      <c r="OKK149" s="204"/>
      <c r="OKL149" s="205"/>
      <c r="OKM149" s="206"/>
      <c r="OKN149" s="207"/>
      <c r="OKO149" s="207"/>
      <c r="OKP149" s="208"/>
      <c r="OKQ149" s="209"/>
      <c r="OKR149" s="207"/>
      <c r="OKS149" s="210"/>
      <c r="OKT149" s="209"/>
      <c r="OKU149" s="204"/>
      <c r="OKV149" s="204"/>
      <c r="OKW149" s="204"/>
      <c r="OKX149" s="199"/>
      <c r="OKY149" s="167"/>
      <c r="OKZ149" s="199"/>
      <c r="OLA149" s="200"/>
      <c r="OLB149" s="201"/>
      <c r="OLC149" s="202"/>
      <c r="OLD149" s="202"/>
      <c r="OLE149" s="202"/>
      <c r="OLF149" s="202"/>
      <c r="OLG149" s="203"/>
      <c r="OLH149" s="204"/>
      <c r="OLI149" s="204"/>
      <c r="OLJ149" s="204"/>
      <c r="OLK149" s="205"/>
      <c r="OLL149" s="206"/>
      <c r="OLM149" s="207"/>
      <c r="OLN149" s="207"/>
      <c r="OLO149" s="208"/>
      <c r="OLP149" s="209"/>
      <c r="OLQ149" s="207"/>
      <c r="OLR149" s="210"/>
      <c r="OLS149" s="209"/>
      <c r="OLT149" s="204"/>
      <c r="OLU149" s="204"/>
      <c r="OLV149" s="204"/>
      <c r="OLW149" s="199"/>
      <c r="OLX149" s="167"/>
      <c r="OLY149" s="199"/>
      <c r="OLZ149" s="200"/>
      <c r="OMA149" s="201"/>
      <c r="OMB149" s="202"/>
      <c r="OMC149" s="202"/>
      <c r="OMD149" s="202"/>
      <c r="OME149" s="202"/>
      <c r="OMF149" s="203"/>
      <c r="OMG149" s="204"/>
      <c r="OMH149" s="204"/>
      <c r="OMI149" s="204"/>
      <c r="OMJ149" s="205"/>
      <c r="OMK149" s="206"/>
      <c r="OML149" s="207"/>
      <c r="OMM149" s="207"/>
      <c r="OMN149" s="208"/>
      <c r="OMO149" s="209"/>
      <c r="OMP149" s="207"/>
      <c r="OMQ149" s="210"/>
      <c r="OMR149" s="209"/>
      <c r="OMS149" s="204"/>
      <c r="OMT149" s="204"/>
      <c r="OMU149" s="204"/>
      <c r="OMV149" s="199"/>
      <c r="OMW149" s="167"/>
      <c r="OMX149" s="199"/>
      <c r="OMY149" s="200"/>
      <c r="OMZ149" s="201"/>
      <c r="ONA149" s="202"/>
      <c r="ONB149" s="202"/>
      <c r="ONC149" s="202"/>
      <c r="OND149" s="202"/>
      <c r="ONE149" s="203"/>
      <c r="ONF149" s="204"/>
      <c r="ONG149" s="204"/>
      <c r="ONH149" s="204"/>
      <c r="ONI149" s="205"/>
      <c r="ONJ149" s="206"/>
      <c r="ONK149" s="207"/>
      <c r="ONL149" s="207"/>
      <c r="ONM149" s="208"/>
      <c r="ONN149" s="209"/>
      <c r="ONO149" s="207"/>
      <c r="ONP149" s="210"/>
      <c r="ONQ149" s="209"/>
      <c r="ONR149" s="204"/>
      <c r="ONS149" s="204"/>
      <c r="ONT149" s="204"/>
      <c r="ONU149" s="199"/>
      <c r="ONV149" s="167"/>
      <c r="ONW149" s="199"/>
      <c r="ONX149" s="200"/>
      <c r="ONY149" s="201"/>
      <c r="ONZ149" s="202"/>
      <c r="OOA149" s="202"/>
      <c r="OOB149" s="202"/>
      <c r="OOC149" s="202"/>
      <c r="OOD149" s="203"/>
      <c r="OOE149" s="204"/>
      <c r="OOF149" s="204"/>
      <c r="OOG149" s="204"/>
      <c r="OOH149" s="205"/>
      <c r="OOI149" s="206"/>
      <c r="OOJ149" s="207"/>
      <c r="OOK149" s="207"/>
      <c r="OOL149" s="208"/>
      <c r="OOM149" s="209"/>
      <c r="OON149" s="207"/>
      <c r="OOO149" s="210"/>
      <c r="OOP149" s="209"/>
      <c r="OOQ149" s="204"/>
      <c r="OOR149" s="204"/>
      <c r="OOS149" s="204"/>
      <c r="OOT149" s="199"/>
      <c r="OOU149" s="167"/>
      <c r="OOV149" s="199"/>
      <c r="OOW149" s="200"/>
      <c r="OOX149" s="201"/>
      <c r="OOY149" s="202"/>
      <c r="OOZ149" s="202"/>
      <c r="OPA149" s="202"/>
      <c r="OPB149" s="202"/>
      <c r="OPC149" s="203"/>
      <c r="OPD149" s="204"/>
      <c r="OPE149" s="204"/>
      <c r="OPF149" s="204"/>
      <c r="OPG149" s="205"/>
      <c r="OPH149" s="206"/>
      <c r="OPI149" s="207"/>
      <c r="OPJ149" s="207"/>
      <c r="OPK149" s="208"/>
      <c r="OPL149" s="209"/>
      <c r="OPM149" s="207"/>
      <c r="OPN149" s="210"/>
      <c r="OPO149" s="209"/>
      <c r="OPP149" s="204"/>
      <c r="OPQ149" s="204"/>
      <c r="OPR149" s="204"/>
      <c r="OPS149" s="199"/>
      <c r="OPT149" s="167"/>
      <c r="OPU149" s="199"/>
      <c r="OPV149" s="200"/>
      <c r="OPW149" s="201"/>
      <c r="OPX149" s="202"/>
      <c r="OPY149" s="202"/>
      <c r="OPZ149" s="202"/>
      <c r="OQA149" s="202"/>
      <c r="OQB149" s="203"/>
      <c r="OQC149" s="204"/>
      <c r="OQD149" s="204"/>
      <c r="OQE149" s="204"/>
      <c r="OQF149" s="205"/>
      <c r="OQG149" s="206"/>
      <c r="OQH149" s="207"/>
      <c r="OQI149" s="207"/>
      <c r="OQJ149" s="208"/>
      <c r="OQK149" s="209"/>
      <c r="OQL149" s="207"/>
      <c r="OQM149" s="210"/>
      <c r="OQN149" s="209"/>
      <c r="OQO149" s="204"/>
      <c r="OQP149" s="204"/>
      <c r="OQQ149" s="204"/>
      <c r="OQR149" s="199"/>
      <c r="OQS149" s="167"/>
      <c r="OQT149" s="199"/>
      <c r="OQU149" s="200"/>
      <c r="OQV149" s="201"/>
      <c r="OQW149" s="202"/>
      <c r="OQX149" s="202"/>
      <c r="OQY149" s="202"/>
      <c r="OQZ149" s="202"/>
      <c r="ORA149" s="203"/>
      <c r="ORB149" s="204"/>
      <c r="ORC149" s="204"/>
      <c r="ORD149" s="204"/>
      <c r="ORE149" s="205"/>
      <c r="ORF149" s="206"/>
      <c r="ORG149" s="207"/>
      <c r="ORH149" s="207"/>
      <c r="ORI149" s="208"/>
      <c r="ORJ149" s="209"/>
      <c r="ORK149" s="207"/>
      <c r="ORL149" s="210"/>
      <c r="ORM149" s="209"/>
      <c r="ORN149" s="204"/>
      <c r="ORO149" s="204"/>
      <c r="ORP149" s="204"/>
      <c r="ORQ149" s="199"/>
      <c r="ORR149" s="167"/>
      <c r="ORS149" s="199"/>
      <c r="ORT149" s="200"/>
      <c r="ORU149" s="201"/>
      <c r="ORV149" s="202"/>
      <c r="ORW149" s="202"/>
      <c r="ORX149" s="202"/>
      <c r="ORY149" s="202"/>
      <c r="ORZ149" s="203"/>
      <c r="OSA149" s="204"/>
      <c r="OSB149" s="204"/>
      <c r="OSC149" s="204"/>
      <c r="OSD149" s="205"/>
      <c r="OSE149" s="206"/>
      <c r="OSF149" s="207"/>
      <c r="OSG149" s="207"/>
      <c r="OSH149" s="208"/>
      <c r="OSI149" s="209"/>
      <c r="OSJ149" s="207"/>
      <c r="OSK149" s="210"/>
      <c r="OSL149" s="209"/>
      <c r="OSM149" s="204"/>
      <c r="OSN149" s="204"/>
      <c r="OSO149" s="204"/>
      <c r="OSP149" s="199"/>
      <c r="OSQ149" s="167"/>
      <c r="OSR149" s="199"/>
      <c r="OSS149" s="200"/>
      <c r="OST149" s="201"/>
      <c r="OSU149" s="202"/>
      <c r="OSV149" s="202"/>
      <c r="OSW149" s="202"/>
      <c r="OSX149" s="202"/>
      <c r="OSY149" s="203"/>
      <c r="OSZ149" s="204"/>
      <c r="OTA149" s="204"/>
      <c r="OTB149" s="204"/>
      <c r="OTC149" s="205"/>
      <c r="OTD149" s="206"/>
      <c r="OTE149" s="207"/>
      <c r="OTF149" s="207"/>
      <c r="OTG149" s="208"/>
      <c r="OTH149" s="209"/>
      <c r="OTI149" s="207"/>
      <c r="OTJ149" s="210"/>
      <c r="OTK149" s="209"/>
      <c r="OTL149" s="204"/>
      <c r="OTM149" s="204"/>
      <c r="OTN149" s="204"/>
      <c r="OTO149" s="199"/>
      <c r="OTP149" s="167"/>
      <c r="OTQ149" s="199"/>
      <c r="OTR149" s="200"/>
      <c r="OTS149" s="201"/>
      <c r="OTT149" s="202"/>
      <c r="OTU149" s="202"/>
      <c r="OTV149" s="202"/>
      <c r="OTW149" s="202"/>
      <c r="OTX149" s="203"/>
      <c r="OTY149" s="204"/>
      <c r="OTZ149" s="204"/>
      <c r="OUA149" s="204"/>
      <c r="OUB149" s="205"/>
      <c r="OUC149" s="206"/>
      <c r="OUD149" s="207"/>
      <c r="OUE149" s="207"/>
      <c r="OUF149" s="208"/>
      <c r="OUG149" s="209"/>
      <c r="OUH149" s="207"/>
      <c r="OUI149" s="210"/>
      <c r="OUJ149" s="209"/>
      <c r="OUK149" s="204"/>
      <c r="OUL149" s="204"/>
      <c r="OUM149" s="204"/>
      <c r="OUN149" s="199"/>
      <c r="OUO149" s="167"/>
      <c r="OUP149" s="199"/>
      <c r="OUQ149" s="200"/>
      <c r="OUR149" s="201"/>
      <c r="OUS149" s="202"/>
      <c r="OUT149" s="202"/>
      <c r="OUU149" s="202"/>
      <c r="OUV149" s="202"/>
      <c r="OUW149" s="203"/>
      <c r="OUX149" s="204"/>
      <c r="OUY149" s="204"/>
      <c r="OUZ149" s="204"/>
      <c r="OVA149" s="205"/>
      <c r="OVB149" s="206"/>
      <c r="OVC149" s="207"/>
      <c r="OVD149" s="207"/>
      <c r="OVE149" s="208"/>
      <c r="OVF149" s="209"/>
      <c r="OVG149" s="207"/>
      <c r="OVH149" s="210"/>
      <c r="OVI149" s="209"/>
      <c r="OVJ149" s="204"/>
      <c r="OVK149" s="204"/>
      <c r="OVL149" s="204"/>
      <c r="OVM149" s="199"/>
      <c r="OVN149" s="167"/>
      <c r="OVO149" s="199"/>
      <c r="OVP149" s="200"/>
      <c r="OVQ149" s="201"/>
      <c r="OVR149" s="202"/>
      <c r="OVS149" s="202"/>
      <c r="OVT149" s="202"/>
      <c r="OVU149" s="202"/>
      <c r="OVV149" s="203"/>
      <c r="OVW149" s="204"/>
      <c r="OVX149" s="204"/>
      <c r="OVY149" s="204"/>
      <c r="OVZ149" s="205"/>
      <c r="OWA149" s="206"/>
      <c r="OWB149" s="207"/>
      <c r="OWC149" s="207"/>
      <c r="OWD149" s="208"/>
      <c r="OWE149" s="209"/>
      <c r="OWF149" s="207"/>
      <c r="OWG149" s="210"/>
      <c r="OWH149" s="209"/>
      <c r="OWI149" s="204"/>
      <c r="OWJ149" s="204"/>
      <c r="OWK149" s="204"/>
      <c r="OWL149" s="199"/>
      <c r="OWM149" s="167"/>
      <c r="OWN149" s="199"/>
      <c r="OWO149" s="200"/>
      <c r="OWP149" s="201"/>
      <c r="OWQ149" s="202"/>
      <c r="OWR149" s="202"/>
      <c r="OWS149" s="202"/>
      <c r="OWT149" s="202"/>
      <c r="OWU149" s="203"/>
      <c r="OWV149" s="204"/>
      <c r="OWW149" s="204"/>
      <c r="OWX149" s="204"/>
      <c r="OWY149" s="205"/>
      <c r="OWZ149" s="206"/>
      <c r="OXA149" s="207"/>
      <c r="OXB149" s="207"/>
      <c r="OXC149" s="208"/>
      <c r="OXD149" s="209"/>
      <c r="OXE149" s="207"/>
      <c r="OXF149" s="210"/>
      <c r="OXG149" s="209"/>
      <c r="OXH149" s="204"/>
      <c r="OXI149" s="204"/>
      <c r="OXJ149" s="204"/>
      <c r="OXK149" s="199"/>
      <c r="OXL149" s="167"/>
      <c r="OXM149" s="199"/>
      <c r="OXN149" s="200"/>
      <c r="OXO149" s="201"/>
      <c r="OXP149" s="202"/>
      <c r="OXQ149" s="202"/>
      <c r="OXR149" s="202"/>
      <c r="OXS149" s="202"/>
      <c r="OXT149" s="203"/>
      <c r="OXU149" s="204"/>
      <c r="OXV149" s="204"/>
      <c r="OXW149" s="204"/>
      <c r="OXX149" s="205"/>
      <c r="OXY149" s="206"/>
      <c r="OXZ149" s="207"/>
      <c r="OYA149" s="207"/>
      <c r="OYB149" s="208"/>
      <c r="OYC149" s="209"/>
      <c r="OYD149" s="207"/>
      <c r="OYE149" s="210"/>
      <c r="OYF149" s="209"/>
      <c r="OYG149" s="204"/>
      <c r="OYH149" s="204"/>
      <c r="OYI149" s="204"/>
      <c r="OYJ149" s="199"/>
      <c r="OYK149" s="167"/>
      <c r="OYL149" s="199"/>
      <c r="OYM149" s="200"/>
      <c r="OYN149" s="201"/>
      <c r="OYO149" s="202"/>
      <c r="OYP149" s="202"/>
      <c r="OYQ149" s="202"/>
      <c r="OYR149" s="202"/>
      <c r="OYS149" s="203"/>
      <c r="OYT149" s="204"/>
      <c r="OYU149" s="204"/>
      <c r="OYV149" s="204"/>
      <c r="OYW149" s="205"/>
      <c r="OYX149" s="206"/>
      <c r="OYY149" s="207"/>
      <c r="OYZ149" s="207"/>
      <c r="OZA149" s="208"/>
      <c r="OZB149" s="209"/>
      <c r="OZC149" s="207"/>
      <c r="OZD149" s="210"/>
      <c r="OZE149" s="209"/>
      <c r="OZF149" s="204"/>
      <c r="OZG149" s="204"/>
      <c r="OZH149" s="204"/>
      <c r="OZI149" s="199"/>
      <c r="OZJ149" s="167"/>
      <c r="OZK149" s="199"/>
      <c r="OZL149" s="200"/>
      <c r="OZM149" s="201"/>
      <c r="OZN149" s="202"/>
      <c r="OZO149" s="202"/>
      <c r="OZP149" s="202"/>
      <c r="OZQ149" s="202"/>
      <c r="OZR149" s="203"/>
      <c r="OZS149" s="204"/>
      <c r="OZT149" s="204"/>
      <c r="OZU149" s="204"/>
      <c r="OZV149" s="205"/>
      <c r="OZW149" s="206"/>
      <c r="OZX149" s="207"/>
      <c r="OZY149" s="207"/>
      <c r="OZZ149" s="208"/>
      <c r="PAA149" s="209"/>
      <c r="PAB149" s="207"/>
      <c r="PAC149" s="210"/>
      <c r="PAD149" s="209"/>
      <c r="PAE149" s="204"/>
      <c r="PAF149" s="204"/>
      <c r="PAG149" s="204"/>
      <c r="PAH149" s="199"/>
      <c r="PAI149" s="167"/>
      <c r="PAJ149" s="199"/>
      <c r="PAK149" s="200"/>
      <c r="PAL149" s="201"/>
      <c r="PAM149" s="202"/>
      <c r="PAN149" s="202"/>
      <c r="PAO149" s="202"/>
      <c r="PAP149" s="202"/>
      <c r="PAQ149" s="203"/>
      <c r="PAR149" s="204"/>
      <c r="PAS149" s="204"/>
      <c r="PAT149" s="204"/>
      <c r="PAU149" s="205"/>
      <c r="PAV149" s="206"/>
      <c r="PAW149" s="207"/>
      <c r="PAX149" s="207"/>
      <c r="PAY149" s="208"/>
      <c r="PAZ149" s="209"/>
      <c r="PBA149" s="207"/>
      <c r="PBB149" s="210"/>
      <c r="PBC149" s="209"/>
      <c r="PBD149" s="204"/>
      <c r="PBE149" s="204"/>
      <c r="PBF149" s="204"/>
      <c r="PBG149" s="199"/>
      <c r="PBH149" s="167"/>
      <c r="PBI149" s="199"/>
      <c r="PBJ149" s="200"/>
      <c r="PBK149" s="201"/>
      <c r="PBL149" s="202"/>
      <c r="PBM149" s="202"/>
      <c r="PBN149" s="202"/>
      <c r="PBO149" s="202"/>
      <c r="PBP149" s="203"/>
      <c r="PBQ149" s="204"/>
      <c r="PBR149" s="204"/>
      <c r="PBS149" s="204"/>
      <c r="PBT149" s="205"/>
      <c r="PBU149" s="206"/>
      <c r="PBV149" s="207"/>
      <c r="PBW149" s="207"/>
      <c r="PBX149" s="208"/>
      <c r="PBY149" s="209"/>
      <c r="PBZ149" s="207"/>
      <c r="PCA149" s="210"/>
      <c r="PCB149" s="209"/>
      <c r="PCC149" s="204"/>
      <c r="PCD149" s="204"/>
      <c r="PCE149" s="204"/>
      <c r="PCF149" s="199"/>
      <c r="PCG149" s="167"/>
      <c r="PCH149" s="199"/>
      <c r="PCI149" s="200"/>
      <c r="PCJ149" s="201"/>
      <c r="PCK149" s="202"/>
      <c r="PCL149" s="202"/>
      <c r="PCM149" s="202"/>
      <c r="PCN149" s="202"/>
      <c r="PCO149" s="203"/>
      <c r="PCP149" s="204"/>
      <c r="PCQ149" s="204"/>
      <c r="PCR149" s="204"/>
      <c r="PCS149" s="205"/>
      <c r="PCT149" s="206"/>
      <c r="PCU149" s="207"/>
      <c r="PCV149" s="207"/>
      <c r="PCW149" s="208"/>
      <c r="PCX149" s="209"/>
      <c r="PCY149" s="207"/>
      <c r="PCZ149" s="210"/>
      <c r="PDA149" s="209"/>
      <c r="PDB149" s="204"/>
      <c r="PDC149" s="204"/>
      <c r="PDD149" s="204"/>
      <c r="PDE149" s="199"/>
      <c r="PDF149" s="167"/>
      <c r="PDG149" s="199"/>
      <c r="PDH149" s="200"/>
      <c r="PDI149" s="201"/>
      <c r="PDJ149" s="202"/>
      <c r="PDK149" s="202"/>
      <c r="PDL149" s="202"/>
      <c r="PDM149" s="202"/>
      <c r="PDN149" s="203"/>
      <c r="PDO149" s="204"/>
      <c r="PDP149" s="204"/>
      <c r="PDQ149" s="204"/>
      <c r="PDR149" s="205"/>
      <c r="PDS149" s="206"/>
      <c r="PDT149" s="207"/>
      <c r="PDU149" s="207"/>
      <c r="PDV149" s="208"/>
      <c r="PDW149" s="209"/>
      <c r="PDX149" s="207"/>
      <c r="PDY149" s="210"/>
      <c r="PDZ149" s="209"/>
      <c r="PEA149" s="204"/>
      <c r="PEB149" s="204"/>
      <c r="PEC149" s="204"/>
      <c r="PED149" s="199"/>
      <c r="PEE149" s="167"/>
      <c r="PEF149" s="199"/>
      <c r="PEG149" s="200"/>
      <c r="PEH149" s="201"/>
      <c r="PEI149" s="202"/>
      <c r="PEJ149" s="202"/>
      <c r="PEK149" s="202"/>
      <c r="PEL149" s="202"/>
      <c r="PEM149" s="203"/>
      <c r="PEN149" s="204"/>
      <c r="PEO149" s="204"/>
      <c r="PEP149" s="204"/>
      <c r="PEQ149" s="205"/>
      <c r="PER149" s="206"/>
      <c r="PES149" s="207"/>
      <c r="PET149" s="207"/>
      <c r="PEU149" s="208"/>
      <c r="PEV149" s="209"/>
      <c r="PEW149" s="207"/>
      <c r="PEX149" s="210"/>
      <c r="PEY149" s="209"/>
      <c r="PEZ149" s="204"/>
      <c r="PFA149" s="204"/>
      <c r="PFB149" s="204"/>
      <c r="PFC149" s="199"/>
      <c r="PFD149" s="167"/>
      <c r="PFE149" s="199"/>
      <c r="PFF149" s="200"/>
      <c r="PFG149" s="201"/>
      <c r="PFH149" s="202"/>
      <c r="PFI149" s="202"/>
      <c r="PFJ149" s="202"/>
      <c r="PFK149" s="202"/>
      <c r="PFL149" s="203"/>
      <c r="PFM149" s="204"/>
      <c r="PFN149" s="204"/>
      <c r="PFO149" s="204"/>
      <c r="PFP149" s="205"/>
      <c r="PFQ149" s="206"/>
      <c r="PFR149" s="207"/>
      <c r="PFS149" s="207"/>
      <c r="PFT149" s="208"/>
      <c r="PFU149" s="209"/>
      <c r="PFV149" s="207"/>
      <c r="PFW149" s="210"/>
      <c r="PFX149" s="209"/>
      <c r="PFY149" s="204"/>
      <c r="PFZ149" s="204"/>
      <c r="PGA149" s="204"/>
      <c r="PGB149" s="199"/>
      <c r="PGC149" s="167"/>
      <c r="PGD149" s="199"/>
      <c r="PGE149" s="200"/>
      <c r="PGF149" s="201"/>
      <c r="PGG149" s="202"/>
      <c r="PGH149" s="202"/>
      <c r="PGI149" s="202"/>
      <c r="PGJ149" s="202"/>
      <c r="PGK149" s="203"/>
      <c r="PGL149" s="204"/>
      <c r="PGM149" s="204"/>
      <c r="PGN149" s="204"/>
      <c r="PGO149" s="205"/>
      <c r="PGP149" s="206"/>
      <c r="PGQ149" s="207"/>
      <c r="PGR149" s="207"/>
      <c r="PGS149" s="208"/>
      <c r="PGT149" s="209"/>
      <c r="PGU149" s="207"/>
      <c r="PGV149" s="210"/>
      <c r="PGW149" s="209"/>
      <c r="PGX149" s="204"/>
      <c r="PGY149" s="204"/>
      <c r="PGZ149" s="204"/>
      <c r="PHA149" s="199"/>
      <c r="PHB149" s="167"/>
      <c r="PHC149" s="199"/>
      <c r="PHD149" s="200"/>
      <c r="PHE149" s="201"/>
      <c r="PHF149" s="202"/>
      <c r="PHG149" s="202"/>
      <c r="PHH149" s="202"/>
      <c r="PHI149" s="202"/>
      <c r="PHJ149" s="203"/>
      <c r="PHK149" s="204"/>
      <c r="PHL149" s="204"/>
      <c r="PHM149" s="204"/>
      <c r="PHN149" s="205"/>
      <c r="PHO149" s="206"/>
      <c r="PHP149" s="207"/>
      <c r="PHQ149" s="207"/>
      <c r="PHR149" s="208"/>
      <c r="PHS149" s="209"/>
      <c r="PHT149" s="207"/>
      <c r="PHU149" s="210"/>
      <c r="PHV149" s="209"/>
      <c r="PHW149" s="204"/>
      <c r="PHX149" s="204"/>
      <c r="PHY149" s="204"/>
      <c r="PHZ149" s="199"/>
      <c r="PIA149" s="167"/>
      <c r="PIB149" s="199"/>
      <c r="PIC149" s="200"/>
      <c r="PID149" s="201"/>
      <c r="PIE149" s="202"/>
      <c r="PIF149" s="202"/>
      <c r="PIG149" s="202"/>
      <c r="PIH149" s="202"/>
      <c r="PII149" s="203"/>
      <c r="PIJ149" s="204"/>
      <c r="PIK149" s="204"/>
      <c r="PIL149" s="204"/>
      <c r="PIM149" s="205"/>
      <c r="PIN149" s="206"/>
      <c r="PIO149" s="207"/>
      <c r="PIP149" s="207"/>
      <c r="PIQ149" s="208"/>
      <c r="PIR149" s="209"/>
      <c r="PIS149" s="207"/>
      <c r="PIT149" s="210"/>
      <c r="PIU149" s="209"/>
      <c r="PIV149" s="204"/>
      <c r="PIW149" s="204"/>
      <c r="PIX149" s="204"/>
      <c r="PIY149" s="199"/>
      <c r="PIZ149" s="167"/>
      <c r="PJA149" s="199"/>
      <c r="PJB149" s="200"/>
      <c r="PJC149" s="201"/>
      <c r="PJD149" s="202"/>
      <c r="PJE149" s="202"/>
      <c r="PJF149" s="202"/>
      <c r="PJG149" s="202"/>
      <c r="PJH149" s="203"/>
      <c r="PJI149" s="204"/>
      <c r="PJJ149" s="204"/>
      <c r="PJK149" s="204"/>
      <c r="PJL149" s="205"/>
      <c r="PJM149" s="206"/>
      <c r="PJN149" s="207"/>
      <c r="PJO149" s="207"/>
      <c r="PJP149" s="208"/>
      <c r="PJQ149" s="209"/>
      <c r="PJR149" s="207"/>
      <c r="PJS149" s="210"/>
      <c r="PJT149" s="209"/>
      <c r="PJU149" s="204"/>
      <c r="PJV149" s="204"/>
      <c r="PJW149" s="204"/>
      <c r="PJX149" s="199"/>
      <c r="PJY149" s="167"/>
      <c r="PJZ149" s="199"/>
      <c r="PKA149" s="200"/>
      <c r="PKB149" s="201"/>
      <c r="PKC149" s="202"/>
      <c r="PKD149" s="202"/>
      <c r="PKE149" s="202"/>
      <c r="PKF149" s="202"/>
      <c r="PKG149" s="203"/>
      <c r="PKH149" s="204"/>
      <c r="PKI149" s="204"/>
      <c r="PKJ149" s="204"/>
      <c r="PKK149" s="205"/>
      <c r="PKL149" s="206"/>
      <c r="PKM149" s="207"/>
      <c r="PKN149" s="207"/>
      <c r="PKO149" s="208"/>
      <c r="PKP149" s="209"/>
      <c r="PKQ149" s="207"/>
      <c r="PKR149" s="210"/>
      <c r="PKS149" s="209"/>
      <c r="PKT149" s="204"/>
      <c r="PKU149" s="204"/>
      <c r="PKV149" s="204"/>
      <c r="PKW149" s="199"/>
      <c r="PKX149" s="167"/>
      <c r="PKY149" s="199"/>
      <c r="PKZ149" s="200"/>
      <c r="PLA149" s="201"/>
      <c r="PLB149" s="202"/>
      <c r="PLC149" s="202"/>
      <c r="PLD149" s="202"/>
      <c r="PLE149" s="202"/>
      <c r="PLF149" s="203"/>
      <c r="PLG149" s="204"/>
      <c r="PLH149" s="204"/>
      <c r="PLI149" s="204"/>
      <c r="PLJ149" s="205"/>
      <c r="PLK149" s="206"/>
      <c r="PLL149" s="207"/>
      <c r="PLM149" s="207"/>
      <c r="PLN149" s="208"/>
      <c r="PLO149" s="209"/>
      <c r="PLP149" s="207"/>
      <c r="PLQ149" s="210"/>
      <c r="PLR149" s="209"/>
      <c r="PLS149" s="204"/>
      <c r="PLT149" s="204"/>
      <c r="PLU149" s="204"/>
      <c r="PLV149" s="199"/>
      <c r="PLW149" s="167"/>
      <c r="PLX149" s="199"/>
      <c r="PLY149" s="200"/>
      <c r="PLZ149" s="201"/>
      <c r="PMA149" s="202"/>
      <c r="PMB149" s="202"/>
      <c r="PMC149" s="202"/>
      <c r="PMD149" s="202"/>
      <c r="PME149" s="203"/>
      <c r="PMF149" s="204"/>
      <c r="PMG149" s="204"/>
      <c r="PMH149" s="204"/>
      <c r="PMI149" s="205"/>
      <c r="PMJ149" s="206"/>
      <c r="PMK149" s="207"/>
      <c r="PML149" s="207"/>
      <c r="PMM149" s="208"/>
      <c r="PMN149" s="209"/>
      <c r="PMO149" s="207"/>
      <c r="PMP149" s="210"/>
      <c r="PMQ149" s="209"/>
      <c r="PMR149" s="204"/>
      <c r="PMS149" s="204"/>
      <c r="PMT149" s="204"/>
      <c r="PMU149" s="199"/>
      <c r="PMV149" s="167"/>
      <c r="PMW149" s="199"/>
      <c r="PMX149" s="200"/>
      <c r="PMY149" s="201"/>
      <c r="PMZ149" s="202"/>
      <c r="PNA149" s="202"/>
      <c r="PNB149" s="202"/>
      <c r="PNC149" s="202"/>
      <c r="PND149" s="203"/>
      <c r="PNE149" s="204"/>
      <c r="PNF149" s="204"/>
      <c r="PNG149" s="204"/>
      <c r="PNH149" s="205"/>
      <c r="PNI149" s="206"/>
      <c r="PNJ149" s="207"/>
      <c r="PNK149" s="207"/>
      <c r="PNL149" s="208"/>
      <c r="PNM149" s="209"/>
      <c r="PNN149" s="207"/>
      <c r="PNO149" s="210"/>
      <c r="PNP149" s="209"/>
      <c r="PNQ149" s="204"/>
      <c r="PNR149" s="204"/>
      <c r="PNS149" s="204"/>
      <c r="PNT149" s="199"/>
      <c r="PNU149" s="167"/>
      <c r="PNV149" s="199"/>
      <c r="PNW149" s="200"/>
      <c r="PNX149" s="201"/>
      <c r="PNY149" s="202"/>
      <c r="PNZ149" s="202"/>
      <c r="POA149" s="202"/>
      <c r="POB149" s="202"/>
      <c r="POC149" s="203"/>
      <c r="POD149" s="204"/>
      <c r="POE149" s="204"/>
      <c r="POF149" s="204"/>
      <c r="POG149" s="205"/>
      <c r="POH149" s="206"/>
      <c r="POI149" s="207"/>
      <c r="POJ149" s="207"/>
      <c r="POK149" s="208"/>
      <c r="POL149" s="209"/>
      <c r="POM149" s="207"/>
      <c r="PON149" s="210"/>
      <c r="POO149" s="209"/>
      <c r="POP149" s="204"/>
      <c r="POQ149" s="204"/>
      <c r="POR149" s="204"/>
      <c r="POS149" s="199"/>
      <c r="POT149" s="167"/>
      <c r="POU149" s="199"/>
      <c r="POV149" s="200"/>
      <c r="POW149" s="201"/>
      <c r="POX149" s="202"/>
      <c r="POY149" s="202"/>
      <c r="POZ149" s="202"/>
      <c r="PPA149" s="202"/>
      <c r="PPB149" s="203"/>
      <c r="PPC149" s="204"/>
      <c r="PPD149" s="204"/>
      <c r="PPE149" s="204"/>
      <c r="PPF149" s="205"/>
      <c r="PPG149" s="206"/>
      <c r="PPH149" s="207"/>
      <c r="PPI149" s="207"/>
      <c r="PPJ149" s="208"/>
      <c r="PPK149" s="209"/>
      <c r="PPL149" s="207"/>
      <c r="PPM149" s="210"/>
      <c r="PPN149" s="209"/>
      <c r="PPO149" s="204"/>
      <c r="PPP149" s="204"/>
      <c r="PPQ149" s="204"/>
      <c r="PPR149" s="199"/>
      <c r="PPS149" s="167"/>
      <c r="PPT149" s="199"/>
      <c r="PPU149" s="200"/>
      <c r="PPV149" s="201"/>
      <c r="PPW149" s="202"/>
      <c r="PPX149" s="202"/>
      <c r="PPY149" s="202"/>
      <c r="PPZ149" s="202"/>
      <c r="PQA149" s="203"/>
      <c r="PQB149" s="204"/>
      <c r="PQC149" s="204"/>
      <c r="PQD149" s="204"/>
      <c r="PQE149" s="205"/>
      <c r="PQF149" s="206"/>
      <c r="PQG149" s="207"/>
      <c r="PQH149" s="207"/>
      <c r="PQI149" s="208"/>
      <c r="PQJ149" s="209"/>
      <c r="PQK149" s="207"/>
      <c r="PQL149" s="210"/>
      <c r="PQM149" s="209"/>
      <c r="PQN149" s="204"/>
      <c r="PQO149" s="204"/>
      <c r="PQP149" s="204"/>
      <c r="PQQ149" s="199"/>
      <c r="PQR149" s="167"/>
      <c r="PQS149" s="199"/>
      <c r="PQT149" s="200"/>
      <c r="PQU149" s="201"/>
      <c r="PQV149" s="202"/>
      <c r="PQW149" s="202"/>
      <c r="PQX149" s="202"/>
      <c r="PQY149" s="202"/>
      <c r="PQZ149" s="203"/>
      <c r="PRA149" s="204"/>
      <c r="PRB149" s="204"/>
      <c r="PRC149" s="204"/>
      <c r="PRD149" s="205"/>
      <c r="PRE149" s="206"/>
      <c r="PRF149" s="207"/>
      <c r="PRG149" s="207"/>
      <c r="PRH149" s="208"/>
      <c r="PRI149" s="209"/>
      <c r="PRJ149" s="207"/>
      <c r="PRK149" s="210"/>
      <c r="PRL149" s="209"/>
      <c r="PRM149" s="204"/>
      <c r="PRN149" s="204"/>
      <c r="PRO149" s="204"/>
      <c r="PRP149" s="199"/>
      <c r="PRQ149" s="167"/>
      <c r="PRR149" s="199"/>
      <c r="PRS149" s="200"/>
      <c r="PRT149" s="201"/>
      <c r="PRU149" s="202"/>
      <c r="PRV149" s="202"/>
      <c r="PRW149" s="202"/>
      <c r="PRX149" s="202"/>
      <c r="PRY149" s="203"/>
      <c r="PRZ149" s="204"/>
      <c r="PSA149" s="204"/>
      <c r="PSB149" s="204"/>
      <c r="PSC149" s="205"/>
      <c r="PSD149" s="206"/>
      <c r="PSE149" s="207"/>
      <c r="PSF149" s="207"/>
      <c r="PSG149" s="208"/>
      <c r="PSH149" s="209"/>
      <c r="PSI149" s="207"/>
      <c r="PSJ149" s="210"/>
      <c r="PSK149" s="209"/>
      <c r="PSL149" s="204"/>
      <c r="PSM149" s="204"/>
      <c r="PSN149" s="204"/>
      <c r="PSO149" s="199"/>
      <c r="PSP149" s="167"/>
      <c r="PSQ149" s="199"/>
      <c r="PSR149" s="200"/>
      <c r="PSS149" s="201"/>
      <c r="PST149" s="202"/>
      <c r="PSU149" s="202"/>
      <c r="PSV149" s="202"/>
      <c r="PSW149" s="202"/>
      <c r="PSX149" s="203"/>
      <c r="PSY149" s="204"/>
      <c r="PSZ149" s="204"/>
      <c r="PTA149" s="204"/>
      <c r="PTB149" s="205"/>
      <c r="PTC149" s="206"/>
      <c r="PTD149" s="207"/>
      <c r="PTE149" s="207"/>
      <c r="PTF149" s="208"/>
      <c r="PTG149" s="209"/>
      <c r="PTH149" s="207"/>
      <c r="PTI149" s="210"/>
      <c r="PTJ149" s="209"/>
      <c r="PTK149" s="204"/>
      <c r="PTL149" s="204"/>
      <c r="PTM149" s="204"/>
      <c r="PTN149" s="199"/>
      <c r="PTO149" s="167"/>
      <c r="PTP149" s="199"/>
      <c r="PTQ149" s="200"/>
      <c r="PTR149" s="201"/>
      <c r="PTS149" s="202"/>
      <c r="PTT149" s="202"/>
      <c r="PTU149" s="202"/>
      <c r="PTV149" s="202"/>
      <c r="PTW149" s="203"/>
      <c r="PTX149" s="204"/>
      <c r="PTY149" s="204"/>
      <c r="PTZ149" s="204"/>
      <c r="PUA149" s="205"/>
      <c r="PUB149" s="206"/>
      <c r="PUC149" s="207"/>
      <c r="PUD149" s="207"/>
      <c r="PUE149" s="208"/>
      <c r="PUF149" s="209"/>
      <c r="PUG149" s="207"/>
      <c r="PUH149" s="210"/>
      <c r="PUI149" s="209"/>
      <c r="PUJ149" s="204"/>
      <c r="PUK149" s="204"/>
      <c r="PUL149" s="204"/>
      <c r="PUM149" s="199"/>
      <c r="PUN149" s="167"/>
      <c r="PUO149" s="199"/>
      <c r="PUP149" s="200"/>
      <c r="PUQ149" s="201"/>
      <c r="PUR149" s="202"/>
      <c r="PUS149" s="202"/>
      <c r="PUT149" s="202"/>
      <c r="PUU149" s="202"/>
      <c r="PUV149" s="203"/>
      <c r="PUW149" s="204"/>
      <c r="PUX149" s="204"/>
      <c r="PUY149" s="204"/>
      <c r="PUZ149" s="205"/>
      <c r="PVA149" s="206"/>
      <c r="PVB149" s="207"/>
      <c r="PVC149" s="207"/>
      <c r="PVD149" s="208"/>
      <c r="PVE149" s="209"/>
      <c r="PVF149" s="207"/>
      <c r="PVG149" s="210"/>
      <c r="PVH149" s="209"/>
      <c r="PVI149" s="204"/>
      <c r="PVJ149" s="204"/>
      <c r="PVK149" s="204"/>
      <c r="PVL149" s="199"/>
      <c r="PVM149" s="167"/>
      <c r="PVN149" s="199"/>
      <c r="PVO149" s="200"/>
      <c r="PVP149" s="201"/>
      <c r="PVQ149" s="202"/>
      <c r="PVR149" s="202"/>
      <c r="PVS149" s="202"/>
      <c r="PVT149" s="202"/>
      <c r="PVU149" s="203"/>
      <c r="PVV149" s="204"/>
      <c r="PVW149" s="204"/>
      <c r="PVX149" s="204"/>
      <c r="PVY149" s="205"/>
      <c r="PVZ149" s="206"/>
      <c r="PWA149" s="207"/>
      <c r="PWB149" s="207"/>
      <c r="PWC149" s="208"/>
      <c r="PWD149" s="209"/>
      <c r="PWE149" s="207"/>
      <c r="PWF149" s="210"/>
      <c r="PWG149" s="209"/>
      <c r="PWH149" s="204"/>
      <c r="PWI149" s="204"/>
      <c r="PWJ149" s="204"/>
      <c r="PWK149" s="199"/>
      <c r="PWL149" s="167"/>
      <c r="PWM149" s="199"/>
      <c r="PWN149" s="200"/>
      <c r="PWO149" s="201"/>
      <c r="PWP149" s="202"/>
      <c r="PWQ149" s="202"/>
      <c r="PWR149" s="202"/>
      <c r="PWS149" s="202"/>
      <c r="PWT149" s="203"/>
      <c r="PWU149" s="204"/>
      <c r="PWV149" s="204"/>
      <c r="PWW149" s="204"/>
      <c r="PWX149" s="205"/>
      <c r="PWY149" s="206"/>
      <c r="PWZ149" s="207"/>
      <c r="PXA149" s="207"/>
      <c r="PXB149" s="208"/>
      <c r="PXC149" s="209"/>
      <c r="PXD149" s="207"/>
      <c r="PXE149" s="210"/>
      <c r="PXF149" s="209"/>
      <c r="PXG149" s="204"/>
      <c r="PXH149" s="204"/>
      <c r="PXI149" s="204"/>
      <c r="PXJ149" s="199"/>
      <c r="PXK149" s="167"/>
      <c r="PXL149" s="199"/>
      <c r="PXM149" s="200"/>
      <c r="PXN149" s="201"/>
      <c r="PXO149" s="202"/>
      <c r="PXP149" s="202"/>
      <c r="PXQ149" s="202"/>
      <c r="PXR149" s="202"/>
      <c r="PXS149" s="203"/>
      <c r="PXT149" s="204"/>
      <c r="PXU149" s="204"/>
      <c r="PXV149" s="204"/>
      <c r="PXW149" s="205"/>
      <c r="PXX149" s="206"/>
      <c r="PXY149" s="207"/>
      <c r="PXZ149" s="207"/>
      <c r="PYA149" s="208"/>
      <c r="PYB149" s="209"/>
      <c r="PYC149" s="207"/>
      <c r="PYD149" s="210"/>
      <c r="PYE149" s="209"/>
      <c r="PYF149" s="204"/>
      <c r="PYG149" s="204"/>
      <c r="PYH149" s="204"/>
      <c r="PYI149" s="199"/>
      <c r="PYJ149" s="167"/>
      <c r="PYK149" s="199"/>
      <c r="PYL149" s="200"/>
      <c r="PYM149" s="201"/>
      <c r="PYN149" s="202"/>
      <c r="PYO149" s="202"/>
      <c r="PYP149" s="202"/>
      <c r="PYQ149" s="202"/>
      <c r="PYR149" s="203"/>
      <c r="PYS149" s="204"/>
      <c r="PYT149" s="204"/>
      <c r="PYU149" s="204"/>
      <c r="PYV149" s="205"/>
      <c r="PYW149" s="206"/>
      <c r="PYX149" s="207"/>
      <c r="PYY149" s="207"/>
      <c r="PYZ149" s="208"/>
      <c r="PZA149" s="209"/>
      <c r="PZB149" s="207"/>
      <c r="PZC149" s="210"/>
      <c r="PZD149" s="209"/>
      <c r="PZE149" s="204"/>
      <c r="PZF149" s="204"/>
      <c r="PZG149" s="204"/>
      <c r="PZH149" s="199"/>
      <c r="PZI149" s="167"/>
      <c r="PZJ149" s="199"/>
      <c r="PZK149" s="200"/>
      <c r="PZL149" s="201"/>
      <c r="PZM149" s="202"/>
      <c r="PZN149" s="202"/>
      <c r="PZO149" s="202"/>
      <c r="PZP149" s="202"/>
      <c r="PZQ149" s="203"/>
      <c r="PZR149" s="204"/>
      <c r="PZS149" s="204"/>
      <c r="PZT149" s="204"/>
      <c r="PZU149" s="205"/>
      <c r="PZV149" s="206"/>
      <c r="PZW149" s="207"/>
      <c r="PZX149" s="207"/>
      <c r="PZY149" s="208"/>
      <c r="PZZ149" s="209"/>
      <c r="QAA149" s="207"/>
      <c r="QAB149" s="210"/>
      <c r="QAC149" s="209"/>
      <c r="QAD149" s="204"/>
      <c r="QAE149" s="204"/>
      <c r="QAF149" s="204"/>
      <c r="QAG149" s="199"/>
      <c r="QAH149" s="167"/>
      <c r="QAI149" s="199"/>
      <c r="QAJ149" s="200"/>
      <c r="QAK149" s="201"/>
      <c r="QAL149" s="202"/>
      <c r="QAM149" s="202"/>
      <c r="QAN149" s="202"/>
      <c r="QAO149" s="202"/>
      <c r="QAP149" s="203"/>
      <c r="QAQ149" s="204"/>
      <c r="QAR149" s="204"/>
      <c r="QAS149" s="204"/>
      <c r="QAT149" s="205"/>
      <c r="QAU149" s="206"/>
      <c r="QAV149" s="207"/>
      <c r="QAW149" s="207"/>
      <c r="QAX149" s="208"/>
      <c r="QAY149" s="209"/>
      <c r="QAZ149" s="207"/>
      <c r="QBA149" s="210"/>
      <c r="QBB149" s="209"/>
      <c r="QBC149" s="204"/>
      <c r="QBD149" s="204"/>
      <c r="QBE149" s="204"/>
      <c r="QBF149" s="199"/>
      <c r="QBG149" s="167"/>
      <c r="QBH149" s="199"/>
      <c r="QBI149" s="200"/>
      <c r="QBJ149" s="201"/>
      <c r="QBK149" s="202"/>
      <c r="QBL149" s="202"/>
      <c r="QBM149" s="202"/>
      <c r="QBN149" s="202"/>
      <c r="QBO149" s="203"/>
      <c r="QBP149" s="204"/>
      <c r="QBQ149" s="204"/>
      <c r="QBR149" s="204"/>
      <c r="QBS149" s="205"/>
      <c r="QBT149" s="206"/>
      <c r="QBU149" s="207"/>
      <c r="QBV149" s="207"/>
      <c r="QBW149" s="208"/>
      <c r="QBX149" s="209"/>
      <c r="QBY149" s="207"/>
      <c r="QBZ149" s="210"/>
      <c r="QCA149" s="209"/>
      <c r="QCB149" s="204"/>
      <c r="QCC149" s="204"/>
      <c r="QCD149" s="204"/>
      <c r="QCE149" s="199"/>
      <c r="QCF149" s="167"/>
      <c r="QCG149" s="199"/>
      <c r="QCH149" s="200"/>
      <c r="QCI149" s="201"/>
      <c r="QCJ149" s="202"/>
      <c r="QCK149" s="202"/>
      <c r="QCL149" s="202"/>
      <c r="QCM149" s="202"/>
      <c r="QCN149" s="203"/>
      <c r="QCO149" s="204"/>
      <c r="QCP149" s="204"/>
      <c r="QCQ149" s="204"/>
      <c r="QCR149" s="205"/>
      <c r="QCS149" s="206"/>
      <c r="QCT149" s="207"/>
      <c r="QCU149" s="207"/>
      <c r="QCV149" s="208"/>
      <c r="QCW149" s="209"/>
      <c r="QCX149" s="207"/>
      <c r="QCY149" s="210"/>
      <c r="QCZ149" s="209"/>
      <c r="QDA149" s="204"/>
      <c r="QDB149" s="204"/>
      <c r="QDC149" s="204"/>
      <c r="QDD149" s="199"/>
      <c r="QDE149" s="167"/>
      <c r="QDF149" s="199"/>
      <c r="QDG149" s="200"/>
      <c r="QDH149" s="201"/>
      <c r="QDI149" s="202"/>
      <c r="QDJ149" s="202"/>
      <c r="QDK149" s="202"/>
      <c r="QDL149" s="202"/>
      <c r="QDM149" s="203"/>
      <c r="QDN149" s="204"/>
      <c r="QDO149" s="204"/>
      <c r="QDP149" s="204"/>
      <c r="QDQ149" s="205"/>
      <c r="QDR149" s="206"/>
      <c r="QDS149" s="207"/>
      <c r="QDT149" s="207"/>
      <c r="QDU149" s="208"/>
      <c r="QDV149" s="209"/>
      <c r="QDW149" s="207"/>
      <c r="QDX149" s="210"/>
      <c r="QDY149" s="209"/>
      <c r="QDZ149" s="204"/>
      <c r="QEA149" s="204"/>
      <c r="QEB149" s="204"/>
      <c r="QEC149" s="199"/>
      <c r="QED149" s="167"/>
      <c r="QEE149" s="199"/>
      <c r="QEF149" s="200"/>
      <c r="QEG149" s="201"/>
      <c r="QEH149" s="202"/>
      <c r="QEI149" s="202"/>
      <c r="QEJ149" s="202"/>
      <c r="QEK149" s="202"/>
      <c r="QEL149" s="203"/>
      <c r="QEM149" s="204"/>
      <c r="QEN149" s="204"/>
      <c r="QEO149" s="204"/>
      <c r="QEP149" s="205"/>
      <c r="QEQ149" s="206"/>
      <c r="QER149" s="207"/>
      <c r="QES149" s="207"/>
      <c r="QET149" s="208"/>
      <c r="QEU149" s="209"/>
      <c r="QEV149" s="207"/>
      <c r="QEW149" s="210"/>
      <c r="QEX149" s="209"/>
      <c r="QEY149" s="204"/>
      <c r="QEZ149" s="204"/>
      <c r="QFA149" s="204"/>
      <c r="QFB149" s="199"/>
      <c r="QFC149" s="167"/>
      <c r="QFD149" s="199"/>
      <c r="QFE149" s="200"/>
      <c r="QFF149" s="201"/>
      <c r="QFG149" s="202"/>
      <c r="QFH149" s="202"/>
      <c r="QFI149" s="202"/>
      <c r="QFJ149" s="202"/>
      <c r="QFK149" s="203"/>
      <c r="QFL149" s="204"/>
      <c r="QFM149" s="204"/>
      <c r="QFN149" s="204"/>
      <c r="QFO149" s="205"/>
      <c r="QFP149" s="206"/>
      <c r="QFQ149" s="207"/>
      <c r="QFR149" s="207"/>
      <c r="QFS149" s="208"/>
      <c r="QFT149" s="209"/>
      <c r="QFU149" s="207"/>
      <c r="QFV149" s="210"/>
      <c r="QFW149" s="209"/>
      <c r="QFX149" s="204"/>
      <c r="QFY149" s="204"/>
      <c r="QFZ149" s="204"/>
      <c r="QGA149" s="199"/>
      <c r="QGB149" s="167"/>
      <c r="QGC149" s="199"/>
      <c r="QGD149" s="200"/>
      <c r="QGE149" s="201"/>
      <c r="QGF149" s="202"/>
      <c r="QGG149" s="202"/>
      <c r="QGH149" s="202"/>
      <c r="QGI149" s="202"/>
      <c r="QGJ149" s="203"/>
      <c r="QGK149" s="204"/>
      <c r="QGL149" s="204"/>
      <c r="QGM149" s="204"/>
      <c r="QGN149" s="205"/>
      <c r="QGO149" s="206"/>
      <c r="QGP149" s="207"/>
      <c r="QGQ149" s="207"/>
      <c r="QGR149" s="208"/>
      <c r="QGS149" s="209"/>
      <c r="QGT149" s="207"/>
      <c r="QGU149" s="210"/>
      <c r="QGV149" s="209"/>
      <c r="QGW149" s="204"/>
      <c r="QGX149" s="204"/>
      <c r="QGY149" s="204"/>
      <c r="QGZ149" s="199"/>
      <c r="QHA149" s="167"/>
      <c r="QHB149" s="199"/>
      <c r="QHC149" s="200"/>
      <c r="QHD149" s="201"/>
      <c r="QHE149" s="202"/>
      <c r="QHF149" s="202"/>
      <c r="QHG149" s="202"/>
      <c r="QHH149" s="202"/>
      <c r="QHI149" s="203"/>
      <c r="QHJ149" s="204"/>
      <c r="QHK149" s="204"/>
      <c r="QHL149" s="204"/>
      <c r="QHM149" s="205"/>
      <c r="QHN149" s="206"/>
      <c r="QHO149" s="207"/>
      <c r="QHP149" s="207"/>
      <c r="QHQ149" s="208"/>
      <c r="QHR149" s="209"/>
      <c r="QHS149" s="207"/>
      <c r="QHT149" s="210"/>
      <c r="QHU149" s="209"/>
      <c r="QHV149" s="204"/>
      <c r="QHW149" s="204"/>
      <c r="QHX149" s="204"/>
      <c r="QHY149" s="199"/>
      <c r="QHZ149" s="167"/>
      <c r="QIA149" s="199"/>
      <c r="QIB149" s="200"/>
      <c r="QIC149" s="201"/>
      <c r="QID149" s="202"/>
      <c r="QIE149" s="202"/>
      <c r="QIF149" s="202"/>
      <c r="QIG149" s="202"/>
      <c r="QIH149" s="203"/>
      <c r="QII149" s="204"/>
      <c r="QIJ149" s="204"/>
      <c r="QIK149" s="204"/>
      <c r="QIL149" s="205"/>
      <c r="QIM149" s="206"/>
      <c r="QIN149" s="207"/>
      <c r="QIO149" s="207"/>
      <c r="QIP149" s="208"/>
      <c r="QIQ149" s="209"/>
      <c r="QIR149" s="207"/>
      <c r="QIS149" s="210"/>
      <c r="QIT149" s="209"/>
      <c r="QIU149" s="204"/>
      <c r="QIV149" s="204"/>
      <c r="QIW149" s="204"/>
      <c r="QIX149" s="199"/>
      <c r="QIY149" s="167"/>
      <c r="QIZ149" s="199"/>
      <c r="QJA149" s="200"/>
      <c r="QJB149" s="201"/>
      <c r="QJC149" s="202"/>
      <c r="QJD149" s="202"/>
      <c r="QJE149" s="202"/>
      <c r="QJF149" s="202"/>
      <c r="QJG149" s="203"/>
      <c r="QJH149" s="204"/>
      <c r="QJI149" s="204"/>
      <c r="QJJ149" s="204"/>
      <c r="QJK149" s="205"/>
      <c r="QJL149" s="206"/>
      <c r="QJM149" s="207"/>
      <c r="QJN149" s="207"/>
      <c r="QJO149" s="208"/>
      <c r="QJP149" s="209"/>
      <c r="QJQ149" s="207"/>
      <c r="QJR149" s="210"/>
      <c r="QJS149" s="209"/>
      <c r="QJT149" s="204"/>
      <c r="QJU149" s="204"/>
      <c r="QJV149" s="204"/>
      <c r="QJW149" s="199"/>
      <c r="QJX149" s="167"/>
      <c r="QJY149" s="199"/>
      <c r="QJZ149" s="200"/>
      <c r="QKA149" s="201"/>
      <c r="QKB149" s="202"/>
      <c r="QKC149" s="202"/>
      <c r="QKD149" s="202"/>
      <c r="QKE149" s="202"/>
      <c r="QKF149" s="203"/>
      <c r="QKG149" s="204"/>
      <c r="QKH149" s="204"/>
      <c r="QKI149" s="204"/>
      <c r="QKJ149" s="205"/>
      <c r="QKK149" s="206"/>
      <c r="QKL149" s="207"/>
      <c r="QKM149" s="207"/>
      <c r="QKN149" s="208"/>
      <c r="QKO149" s="209"/>
      <c r="QKP149" s="207"/>
      <c r="QKQ149" s="210"/>
      <c r="QKR149" s="209"/>
      <c r="QKS149" s="204"/>
      <c r="QKT149" s="204"/>
      <c r="QKU149" s="204"/>
      <c r="QKV149" s="199"/>
      <c r="QKW149" s="167"/>
      <c r="QKX149" s="199"/>
      <c r="QKY149" s="200"/>
      <c r="QKZ149" s="201"/>
      <c r="QLA149" s="202"/>
      <c r="QLB149" s="202"/>
      <c r="QLC149" s="202"/>
      <c r="QLD149" s="202"/>
      <c r="QLE149" s="203"/>
      <c r="QLF149" s="204"/>
      <c r="QLG149" s="204"/>
      <c r="QLH149" s="204"/>
      <c r="QLI149" s="205"/>
      <c r="QLJ149" s="206"/>
      <c r="QLK149" s="207"/>
      <c r="QLL149" s="207"/>
      <c r="QLM149" s="208"/>
      <c r="QLN149" s="209"/>
      <c r="QLO149" s="207"/>
      <c r="QLP149" s="210"/>
      <c r="QLQ149" s="209"/>
      <c r="QLR149" s="204"/>
      <c r="QLS149" s="204"/>
      <c r="QLT149" s="204"/>
      <c r="QLU149" s="199"/>
      <c r="QLV149" s="167"/>
      <c r="QLW149" s="199"/>
      <c r="QLX149" s="200"/>
      <c r="QLY149" s="201"/>
      <c r="QLZ149" s="202"/>
      <c r="QMA149" s="202"/>
      <c r="QMB149" s="202"/>
      <c r="QMC149" s="202"/>
      <c r="QMD149" s="203"/>
      <c r="QME149" s="204"/>
      <c r="QMF149" s="204"/>
      <c r="QMG149" s="204"/>
      <c r="QMH149" s="205"/>
      <c r="QMI149" s="206"/>
      <c r="QMJ149" s="207"/>
      <c r="QMK149" s="207"/>
      <c r="QML149" s="208"/>
      <c r="QMM149" s="209"/>
      <c r="QMN149" s="207"/>
      <c r="QMO149" s="210"/>
      <c r="QMP149" s="209"/>
      <c r="QMQ149" s="204"/>
      <c r="QMR149" s="204"/>
      <c r="QMS149" s="204"/>
      <c r="QMT149" s="199"/>
      <c r="QMU149" s="167"/>
      <c r="QMV149" s="199"/>
      <c r="QMW149" s="200"/>
      <c r="QMX149" s="201"/>
      <c r="QMY149" s="202"/>
      <c r="QMZ149" s="202"/>
      <c r="QNA149" s="202"/>
      <c r="QNB149" s="202"/>
      <c r="QNC149" s="203"/>
      <c r="QND149" s="204"/>
      <c r="QNE149" s="204"/>
      <c r="QNF149" s="204"/>
      <c r="QNG149" s="205"/>
      <c r="QNH149" s="206"/>
      <c r="QNI149" s="207"/>
      <c r="QNJ149" s="207"/>
      <c r="QNK149" s="208"/>
      <c r="QNL149" s="209"/>
      <c r="QNM149" s="207"/>
      <c r="QNN149" s="210"/>
      <c r="QNO149" s="209"/>
      <c r="QNP149" s="204"/>
      <c r="QNQ149" s="204"/>
      <c r="QNR149" s="204"/>
      <c r="QNS149" s="199"/>
      <c r="QNT149" s="167"/>
      <c r="QNU149" s="199"/>
      <c r="QNV149" s="200"/>
      <c r="QNW149" s="201"/>
      <c r="QNX149" s="202"/>
      <c r="QNY149" s="202"/>
      <c r="QNZ149" s="202"/>
      <c r="QOA149" s="202"/>
      <c r="QOB149" s="203"/>
      <c r="QOC149" s="204"/>
      <c r="QOD149" s="204"/>
      <c r="QOE149" s="204"/>
      <c r="QOF149" s="205"/>
      <c r="QOG149" s="206"/>
      <c r="QOH149" s="207"/>
      <c r="QOI149" s="207"/>
      <c r="QOJ149" s="208"/>
      <c r="QOK149" s="209"/>
      <c r="QOL149" s="207"/>
      <c r="QOM149" s="210"/>
      <c r="QON149" s="209"/>
      <c r="QOO149" s="204"/>
      <c r="QOP149" s="204"/>
      <c r="QOQ149" s="204"/>
      <c r="QOR149" s="199"/>
      <c r="QOS149" s="167"/>
      <c r="QOT149" s="199"/>
      <c r="QOU149" s="200"/>
      <c r="QOV149" s="201"/>
      <c r="QOW149" s="202"/>
      <c r="QOX149" s="202"/>
      <c r="QOY149" s="202"/>
      <c r="QOZ149" s="202"/>
      <c r="QPA149" s="203"/>
      <c r="QPB149" s="204"/>
      <c r="QPC149" s="204"/>
      <c r="QPD149" s="204"/>
      <c r="QPE149" s="205"/>
      <c r="QPF149" s="206"/>
      <c r="QPG149" s="207"/>
      <c r="QPH149" s="207"/>
      <c r="QPI149" s="208"/>
      <c r="QPJ149" s="209"/>
      <c r="QPK149" s="207"/>
      <c r="QPL149" s="210"/>
      <c r="QPM149" s="209"/>
      <c r="QPN149" s="204"/>
      <c r="QPO149" s="204"/>
      <c r="QPP149" s="204"/>
      <c r="QPQ149" s="199"/>
      <c r="QPR149" s="167"/>
      <c r="QPS149" s="199"/>
      <c r="QPT149" s="200"/>
      <c r="QPU149" s="201"/>
      <c r="QPV149" s="202"/>
      <c r="QPW149" s="202"/>
      <c r="QPX149" s="202"/>
      <c r="QPY149" s="202"/>
      <c r="QPZ149" s="203"/>
      <c r="QQA149" s="204"/>
      <c r="QQB149" s="204"/>
      <c r="QQC149" s="204"/>
      <c r="QQD149" s="205"/>
      <c r="QQE149" s="206"/>
      <c r="QQF149" s="207"/>
      <c r="QQG149" s="207"/>
      <c r="QQH149" s="208"/>
      <c r="QQI149" s="209"/>
      <c r="QQJ149" s="207"/>
      <c r="QQK149" s="210"/>
      <c r="QQL149" s="209"/>
      <c r="QQM149" s="204"/>
      <c r="QQN149" s="204"/>
      <c r="QQO149" s="204"/>
      <c r="QQP149" s="199"/>
      <c r="QQQ149" s="167"/>
      <c r="QQR149" s="199"/>
      <c r="QQS149" s="200"/>
      <c r="QQT149" s="201"/>
      <c r="QQU149" s="202"/>
      <c r="QQV149" s="202"/>
      <c r="QQW149" s="202"/>
      <c r="QQX149" s="202"/>
      <c r="QQY149" s="203"/>
      <c r="QQZ149" s="204"/>
      <c r="QRA149" s="204"/>
      <c r="QRB149" s="204"/>
      <c r="QRC149" s="205"/>
      <c r="QRD149" s="206"/>
      <c r="QRE149" s="207"/>
      <c r="QRF149" s="207"/>
      <c r="QRG149" s="208"/>
      <c r="QRH149" s="209"/>
      <c r="QRI149" s="207"/>
      <c r="QRJ149" s="210"/>
      <c r="QRK149" s="209"/>
      <c r="QRL149" s="204"/>
      <c r="QRM149" s="204"/>
      <c r="QRN149" s="204"/>
      <c r="QRO149" s="199"/>
      <c r="QRP149" s="167"/>
      <c r="QRQ149" s="199"/>
      <c r="QRR149" s="200"/>
      <c r="QRS149" s="201"/>
      <c r="QRT149" s="202"/>
      <c r="QRU149" s="202"/>
      <c r="QRV149" s="202"/>
      <c r="QRW149" s="202"/>
      <c r="QRX149" s="203"/>
      <c r="QRY149" s="204"/>
      <c r="QRZ149" s="204"/>
      <c r="QSA149" s="204"/>
      <c r="QSB149" s="205"/>
      <c r="QSC149" s="206"/>
      <c r="QSD149" s="207"/>
      <c r="QSE149" s="207"/>
      <c r="QSF149" s="208"/>
      <c r="QSG149" s="209"/>
      <c r="QSH149" s="207"/>
      <c r="QSI149" s="210"/>
      <c r="QSJ149" s="209"/>
      <c r="QSK149" s="204"/>
      <c r="QSL149" s="204"/>
      <c r="QSM149" s="204"/>
      <c r="QSN149" s="199"/>
      <c r="QSO149" s="167"/>
      <c r="QSP149" s="199"/>
      <c r="QSQ149" s="200"/>
      <c r="QSR149" s="201"/>
      <c r="QSS149" s="202"/>
      <c r="QST149" s="202"/>
      <c r="QSU149" s="202"/>
      <c r="QSV149" s="202"/>
      <c r="QSW149" s="203"/>
      <c r="QSX149" s="204"/>
      <c r="QSY149" s="204"/>
      <c r="QSZ149" s="204"/>
      <c r="QTA149" s="205"/>
      <c r="QTB149" s="206"/>
      <c r="QTC149" s="207"/>
      <c r="QTD149" s="207"/>
      <c r="QTE149" s="208"/>
      <c r="QTF149" s="209"/>
      <c r="QTG149" s="207"/>
      <c r="QTH149" s="210"/>
      <c r="QTI149" s="209"/>
      <c r="QTJ149" s="204"/>
      <c r="QTK149" s="204"/>
      <c r="QTL149" s="204"/>
      <c r="QTM149" s="199"/>
      <c r="QTN149" s="167"/>
      <c r="QTO149" s="199"/>
      <c r="QTP149" s="200"/>
      <c r="QTQ149" s="201"/>
      <c r="QTR149" s="202"/>
      <c r="QTS149" s="202"/>
      <c r="QTT149" s="202"/>
      <c r="QTU149" s="202"/>
      <c r="QTV149" s="203"/>
      <c r="QTW149" s="204"/>
      <c r="QTX149" s="204"/>
      <c r="QTY149" s="204"/>
      <c r="QTZ149" s="205"/>
      <c r="QUA149" s="206"/>
      <c r="QUB149" s="207"/>
      <c r="QUC149" s="207"/>
      <c r="QUD149" s="208"/>
      <c r="QUE149" s="209"/>
      <c r="QUF149" s="207"/>
      <c r="QUG149" s="210"/>
      <c r="QUH149" s="209"/>
      <c r="QUI149" s="204"/>
      <c r="QUJ149" s="204"/>
      <c r="QUK149" s="204"/>
      <c r="QUL149" s="199"/>
      <c r="QUM149" s="167"/>
      <c r="QUN149" s="199"/>
      <c r="QUO149" s="200"/>
      <c r="QUP149" s="201"/>
      <c r="QUQ149" s="202"/>
      <c r="QUR149" s="202"/>
      <c r="QUS149" s="202"/>
      <c r="QUT149" s="202"/>
      <c r="QUU149" s="203"/>
      <c r="QUV149" s="204"/>
      <c r="QUW149" s="204"/>
      <c r="QUX149" s="204"/>
      <c r="QUY149" s="205"/>
      <c r="QUZ149" s="206"/>
      <c r="QVA149" s="207"/>
      <c r="QVB149" s="207"/>
      <c r="QVC149" s="208"/>
      <c r="QVD149" s="209"/>
      <c r="QVE149" s="207"/>
      <c r="QVF149" s="210"/>
      <c r="QVG149" s="209"/>
      <c r="QVH149" s="204"/>
      <c r="QVI149" s="204"/>
      <c r="QVJ149" s="204"/>
      <c r="QVK149" s="199"/>
      <c r="QVL149" s="167"/>
      <c r="QVM149" s="199"/>
      <c r="QVN149" s="200"/>
      <c r="QVO149" s="201"/>
      <c r="QVP149" s="202"/>
      <c r="QVQ149" s="202"/>
      <c r="QVR149" s="202"/>
      <c r="QVS149" s="202"/>
      <c r="QVT149" s="203"/>
      <c r="QVU149" s="204"/>
      <c r="QVV149" s="204"/>
      <c r="QVW149" s="204"/>
      <c r="QVX149" s="205"/>
      <c r="QVY149" s="206"/>
      <c r="QVZ149" s="207"/>
      <c r="QWA149" s="207"/>
      <c r="QWB149" s="208"/>
      <c r="QWC149" s="209"/>
      <c r="QWD149" s="207"/>
      <c r="QWE149" s="210"/>
      <c r="QWF149" s="209"/>
      <c r="QWG149" s="204"/>
      <c r="QWH149" s="204"/>
      <c r="QWI149" s="204"/>
      <c r="QWJ149" s="199"/>
      <c r="QWK149" s="167"/>
      <c r="QWL149" s="199"/>
      <c r="QWM149" s="200"/>
      <c r="QWN149" s="201"/>
      <c r="QWO149" s="202"/>
      <c r="QWP149" s="202"/>
      <c r="QWQ149" s="202"/>
      <c r="QWR149" s="202"/>
      <c r="QWS149" s="203"/>
      <c r="QWT149" s="204"/>
      <c r="QWU149" s="204"/>
      <c r="QWV149" s="204"/>
      <c r="QWW149" s="205"/>
      <c r="QWX149" s="206"/>
      <c r="QWY149" s="207"/>
      <c r="QWZ149" s="207"/>
      <c r="QXA149" s="208"/>
      <c r="QXB149" s="209"/>
      <c r="QXC149" s="207"/>
      <c r="QXD149" s="210"/>
      <c r="QXE149" s="209"/>
      <c r="QXF149" s="204"/>
      <c r="QXG149" s="204"/>
      <c r="QXH149" s="204"/>
      <c r="QXI149" s="199"/>
      <c r="QXJ149" s="167"/>
      <c r="QXK149" s="199"/>
      <c r="QXL149" s="200"/>
      <c r="QXM149" s="201"/>
      <c r="QXN149" s="202"/>
      <c r="QXO149" s="202"/>
      <c r="QXP149" s="202"/>
      <c r="QXQ149" s="202"/>
      <c r="QXR149" s="203"/>
      <c r="QXS149" s="204"/>
      <c r="QXT149" s="204"/>
      <c r="QXU149" s="204"/>
      <c r="QXV149" s="205"/>
      <c r="QXW149" s="206"/>
      <c r="QXX149" s="207"/>
      <c r="QXY149" s="207"/>
      <c r="QXZ149" s="208"/>
      <c r="QYA149" s="209"/>
      <c r="QYB149" s="207"/>
      <c r="QYC149" s="210"/>
      <c r="QYD149" s="209"/>
      <c r="QYE149" s="204"/>
      <c r="QYF149" s="204"/>
      <c r="QYG149" s="204"/>
      <c r="QYH149" s="199"/>
      <c r="QYI149" s="167"/>
      <c r="QYJ149" s="199"/>
      <c r="QYK149" s="200"/>
      <c r="QYL149" s="201"/>
      <c r="QYM149" s="202"/>
      <c r="QYN149" s="202"/>
      <c r="QYO149" s="202"/>
      <c r="QYP149" s="202"/>
      <c r="QYQ149" s="203"/>
      <c r="QYR149" s="204"/>
      <c r="QYS149" s="204"/>
      <c r="QYT149" s="204"/>
      <c r="QYU149" s="205"/>
      <c r="QYV149" s="206"/>
      <c r="QYW149" s="207"/>
      <c r="QYX149" s="207"/>
      <c r="QYY149" s="208"/>
      <c r="QYZ149" s="209"/>
      <c r="QZA149" s="207"/>
      <c r="QZB149" s="210"/>
      <c r="QZC149" s="209"/>
      <c r="QZD149" s="204"/>
      <c r="QZE149" s="204"/>
      <c r="QZF149" s="204"/>
      <c r="QZG149" s="199"/>
      <c r="QZH149" s="167"/>
      <c r="QZI149" s="199"/>
      <c r="QZJ149" s="200"/>
      <c r="QZK149" s="201"/>
      <c r="QZL149" s="202"/>
      <c r="QZM149" s="202"/>
      <c r="QZN149" s="202"/>
      <c r="QZO149" s="202"/>
      <c r="QZP149" s="203"/>
      <c r="QZQ149" s="204"/>
      <c r="QZR149" s="204"/>
      <c r="QZS149" s="204"/>
      <c r="QZT149" s="205"/>
      <c r="QZU149" s="206"/>
      <c r="QZV149" s="207"/>
      <c r="QZW149" s="207"/>
      <c r="QZX149" s="208"/>
      <c r="QZY149" s="209"/>
      <c r="QZZ149" s="207"/>
      <c r="RAA149" s="210"/>
      <c r="RAB149" s="209"/>
      <c r="RAC149" s="204"/>
      <c r="RAD149" s="204"/>
      <c r="RAE149" s="204"/>
      <c r="RAF149" s="199"/>
      <c r="RAG149" s="167"/>
      <c r="RAH149" s="199"/>
      <c r="RAI149" s="200"/>
      <c r="RAJ149" s="201"/>
      <c r="RAK149" s="202"/>
      <c r="RAL149" s="202"/>
      <c r="RAM149" s="202"/>
      <c r="RAN149" s="202"/>
      <c r="RAO149" s="203"/>
      <c r="RAP149" s="204"/>
      <c r="RAQ149" s="204"/>
      <c r="RAR149" s="204"/>
      <c r="RAS149" s="205"/>
      <c r="RAT149" s="206"/>
      <c r="RAU149" s="207"/>
      <c r="RAV149" s="207"/>
      <c r="RAW149" s="208"/>
      <c r="RAX149" s="209"/>
      <c r="RAY149" s="207"/>
      <c r="RAZ149" s="210"/>
      <c r="RBA149" s="209"/>
      <c r="RBB149" s="204"/>
      <c r="RBC149" s="204"/>
      <c r="RBD149" s="204"/>
      <c r="RBE149" s="199"/>
      <c r="RBF149" s="167"/>
      <c r="RBG149" s="199"/>
      <c r="RBH149" s="200"/>
      <c r="RBI149" s="201"/>
      <c r="RBJ149" s="202"/>
      <c r="RBK149" s="202"/>
      <c r="RBL149" s="202"/>
      <c r="RBM149" s="202"/>
      <c r="RBN149" s="203"/>
      <c r="RBO149" s="204"/>
      <c r="RBP149" s="204"/>
      <c r="RBQ149" s="204"/>
      <c r="RBR149" s="205"/>
      <c r="RBS149" s="206"/>
      <c r="RBT149" s="207"/>
      <c r="RBU149" s="207"/>
      <c r="RBV149" s="208"/>
      <c r="RBW149" s="209"/>
      <c r="RBX149" s="207"/>
      <c r="RBY149" s="210"/>
      <c r="RBZ149" s="209"/>
      <c r="RCA149" s="204"/>
      <c r="RCB149" s="204"/>
      <c r="RCC149" s="204"/>
      <c r="RCD149" s="199"/>
      <c r="RCE149" s="167"/>
      <c r="RCF149" s="199"/>
      <c r="RCG149" s="200"/>
      <c r="RCH149" s="201"/>
      <c r="RCI149" s="202"/>
      <c r="RCJ149" s="202"/>
      <c r="RCK149" s="202"/>
      <c r="RCL149" s="202"/>
      <c r="RCM149" s="203"/>
      <c r="RCN149" s="204"/>
      <c r="RCO149" s="204"/>
      <c r="RCP149" s="204"/>
      <c r="RCQ149" s="205"/>
      <c r="RCR149" s="206"/>
      <c r="RCS149" s="207"/>
      <c r="RCT149" s="207"/>
      <c r="RCU149" s="208"/>
      <c r="RCV149" s="209"/>
      <c r="RCW149" s="207"/>
      <c r="RCX149" s="210"/>
      <c r="RCY149" s="209"/>
      <c r="RCZ149" s="204"/>
      <c r="RDA149" s="204"/>
      <c r="RDB149" s="204"/>
      <c r="RDC149" s="199"/>
      <c r="RDD149" s="167"/>
      <c r="RDE149" s="199"/>
      <c r="RDF149" s="200"/>
      <c r="RDG149" s="201"/>
      <c r="RDH149" s="202"/>
      <c r="RDI149" s="202"/>
      <c r="RDJ149" s="202"/>
      <c r="RDK149" s="202"/>
      <c r="RDL149" s="203"/>
      <c r="RDM149" s="204"/>
      <c r="RDN149" s="204"/>
      <c r="RDO149" s="204"/>
      <c r="RDP149" s="205"/>
      <c r="RDQ149" s="206"/>
      <c r="RDR149" s="207"/>
      <c r="RDS149" s="207"/>
      <c r="RDT149" s="208"/>
      <c r="RDU149" s="209"/>
      <c r="RDV149" s="207"/>
      <c r="RDW149" s="210"/>
      <c r="RDX149" s="209"/>
      <c r="RDY149" s="204"/>
      <c r="RDZ149" s="204"/>
      <c r="REA149" s="204"/>
      <c r="REB149" s="199"/>
      <c r="REC149" s="167"/>
      <c r="RED149" s="199"/>
      <c r="REE149" s="200"/>
      <c r="REF149" s="201"/>
      <c r="REG149" s="202"/>
      <c r="REH149" s="202"/>
      <c r="REI149" s="202"/>
      <c r="REJ149" s="202"/>
      <c r="REK149" s="203"/>
      <c r="REL149" s="204"/>
      <c r="REM149" s="204"/>
      <c r="REN149" s="204"/>
      <c r="REO149" s="205"/>
      <c r="REP149" s="206"/>
      <c r="REQ149" s="207"/>
      <c r="RER149" s="207"/>
      <c r="RES149" s="208"/>
      <c r="RET149" s="209"/>
      <c r="REU149" s="207"/>
      <c r="REV149" s="210"/>
      <c r="REW149" s="209"/>
      <c r="REX149" s="204"/>
      <c r="REY149" s="204"/>
      <c r="REZ149" s="204"/>
      <c r="RFA149" s="199"/>
      <c r="RFB149" s="167"/>
      <c r="RFC149" s="199"/>
      <c r="RFD149" s="200"/>
      <c r="RFE149" s="201"/>
      <c r="RFF149" s="202"/>
      <c r="RFG149" s="202"/>
      <c r="RFH149" s="202"/>
      <c r="RFI149" s="202"/>
      <c r="RFJ149" s="203"/>
      <c r="RFK149" s="204"/>
      <c r="RFL149" s="204"/>
      <c r="RFM149" s="204"/>
      <c r="RFN149" s="205"/>
      <c r="RFO149" s="206"/>
      <c r="RFP149" s="207"/>
      <c r="RFQ149" s="207"/>
      <c r="RFR149" s="208"/>
      <c r="RFS149" s="209"/>
      <c r="RFT149" s="207"/>
      <c r="RFU149" s="210"/>
      <c r="RFV149" s="209"/>
      <c r="RFW149" s="204"/>
      <c r="RFX149" s="204"/>
      <c r="RFY149" s="204"/>
      <c r="RFZ149" s="199"/>
      <c r="RGA149" s="167"/>
      <c r="RGB149" s="199"/>
      <c r="RGC149" s="200"/>
      <c r="RGD149" s="201"/>
      <c r="RGE149" s="202"/>
      <c r="RGF149" s="202"/>
      <c r="RGG149" s="202"/>
      <c r="RGH149" s="202"/>
      <c r="RGI149" s="203"/>
      <c r="RGJ149" s="204"/>
      <c r="RGK149" s="204"/>
      <c r="RGL149" s="204"/>
      <c r="RGM149" s="205"/>
      <c r="RGN149" s="206"/>
      <c r="RGO149" s="207"/>
      <c r="RGP149" s="207"/>
      <c r="RGQ149" s="208"/>
      <c r="RGR149" s="209"/>
      <c r="RGS149" s="207"/>
      <c r="RGT149" s="210"/>
      <c r="RGU149" s="209"/>
      <c r="RGV149" s="204"/>
      <c r="RGW149" s="204"/>
      <c r="RGX149" s="204"/>
      <c r="RGY149" s="199"/>
      <c r="RGZ149" s="167"/>
      <c r="RHA149" s="199"/>
      <c r="RHB149" s="200"/>
      <c r="RHC149" s="201"/>
      <c r="RHD149" s="202"/>
      <c r="RHE149" s="202"/>
      <c r="RHF149" s="202"/>
      <c r="RHG149" s="202"/>
      <c r="RHH149" s="203"/>
      <c r="RHI149" s="204"/>
      <c r="RHJ149" s="204"/>
      <c r="RHK149" s="204"/>
      <c r="RHL149" s="205"/>
      <c r="RHM149" s="206"/>
      <c r="RHN149" s="207"/>
      <c r="RHO149" s="207"/>
      <c r="RHP149" s="208"/>
      <c r="RHQ149" s="209"/>
      <c r="RHR149" s="207"/>
      <c r="RHS149" s="210"/>
      <c r="RHT149" s="209"/>
      <c r="RHU149" s="204"/>
      <c r="RHV149" s="204"/>
      <c r="RHW149" s="204"/>
      <c r="RHX149" s="199"/>
      <c r="RHY149" s="167"/>
      <c r="RHZ149" s="199"/>
      <c r="RIA149" s="200"/>
      <c r="RIB149" s="201"/>
      <c r="RIC149" s="202"/>
      <c r="RID149" s="202"/>
      <c r="RIE149" s="202"/>
      <c r="RIF149" s="202"/>
      <c r="RIG149" s="203"/>
      <c r="RIH149" s="204"/>
      <c r="RII149" s="204"/>
      <c r="RIJ149" s="204"/>
      <c r="RIK149" s="205"/>
      <c r="RIL149" s="206"/>
      <c r="RIM149" s="207"/>
      <c r="RIN149" s="207"/>
      <c r="RIO149" s="208"/>
      <c r="RIP149" s="209"/>
      <c r="RIQ149" s="207"/>
      <c r="RIR149" s="210"/>
      <c r="RIS149" s="209"/>
      <c r="RIT149" s="204"/>
      <c r="RIU149" s="204"/>
      <c r="RIV149" s="204"/>
      <c r="RIW149" s="199"/>
      <c r="RIX149" s="167"/>
      <c r="RIY149" s="199"/>
      <c r="RIZ149" s="200"/>
      <c r="RJA149" s="201"/>
      <c r="RJB149" s="202"/>
      <c r="RJC149" s="202"/>
      <c r="RJD149" s="202"/>
      <c r="RJE149" s="202"/>
      <c r="RJF149" s="203"/>
      <c r="RJG149" s="204"/>
      <c r="RJH149" s="204"/>
      <c r="RJI149" s="204"/>
      <c r="RJJ149" s="205"/>
      <c r="RJK149" s="206"/>
      <c r="RJL149" s="207"/>
      <c r="RJM149" s="207"/>
      <c r="RJN149" s="208"/>
      <c r="RJO149" s="209"/>
      <c r="RJP149" s="207"/>
      <c r="RJQ149" s="210"/>
      <c r="RJR149" s="209"/>
      <c r="RJS149" s="204"/>
      <c r="RJT149" s="204"/>
      <c r="RJU149" s="204"/>
      <c r="RJV149" s="199"/>
      <c r="RJW149" s="167"/>
      <c r="RJX149" s="199"/>
      <c r="RJY149" s="200"/>
      <c r="RJZ149" s="201"/>
      <c r="RKA149" s="202"/>
      <c r="RKB149" s="202"/>
      <c r="RKC149" s="202"/>
      <c r="RKD149" s="202"/>
      <c r="RKE149" s="203"/>
      <c r="RKF149" s="204"/>
      <c r="RKG149" s="204"/>
      <c r="RKH149" s="204"/>
      <c r="RKI149" s="205"/>
      <c r="RKJ149" s="206"/>
      <c r="RKK149" s="207"/>
      <c r="RKL149" s="207"/>
      <c r="RKM149" s="208"/>
      <c r="RKN149" s="209"/>
      <c r="RKO149" s="207"/>
      <c r="RKP149" s="210"/>
      <c r="RKQ149" s="209"/>
      <c r="RKR149" s="204"/>
      <c r="RKS149" s="204"/>
      <c r="RKT149" s="204"/>
      <c r="RKU149" s="199"/>
      <c r="RKV149" s="167"/>
      <c r="RKW149" s="199"/>
      <c r="RKX149" s="200"/>
      <c r="RKY149" s="201"/>
      <c r="RKZ149" s="202"/>
      <c r="RLA149" s="202"/>
      <c r="RLB149" s="202"/>
      <c r="RLC149" s="202"/>
      <c r="RLD149" s="203"/>
      <c r="RLE149" s="204"/>
      <c r="RLF149" s="204"/>
      <c r="RLG149" s="204"/>
      <c r="RLH149" s="205"/>
      <c r="RLI149" s="206"/>
      <c r="RLJ149" s="207"/>
      <c r="RLK149" s="207"/>
      <c r="RLL149" s="208"/>
      <c r="RLM149" s="209"/>
      <c r="RLN149" s="207"/>
      <c r="RLO149" s="210"/>
      <c r="RLP149" s="209"/>
      <c r="RLQ149" s="204"/>
      <c r="RLR149" s="204"/>
      <c r="RLS149" s="204"/>
      <c r="RLT149" s="199"/>
      <c r="RLU149" s="167"/>
      <c r="RLV149" s="199"/>
      <c r="RLW149" s="200"/>
      <c r="RLX149" s="201"/>
      <c r="RLY149" s="202"/>
      <c r="RLZ149" s="202"/>
      <c r="RMA149" s="202"/>
      <c r="RMB149" s="202"/>
      <c r="RMC149" s="203"/>
      <c r="RMD149" s="204"/>
      <c r="RME149" s="204"/>
      <c r="RMF149" s="204"/>
      <c r="RMG149" s="205"/>
      <c r="RMH149" s="206"/>
      <c r="RMI149" s="207"/>
      <c r="RMJ149" s="207"/>
      <c r="RMK149" s="208"/>
      <c r="RML149" s="209"/>
      <c r="RMM149" s="207"/>
      <c r="RMN149" s="210"/>
      <c r="RMO149" s="209"/>
      <c r="RMP149" s="204"/>
      <c r="RMQ149" s="204"/>
      <c r="RMR149" s="204"/>
      <c r="RMS149" s="199"/>
      <c r="RMT149" s="167"/>
      <c r="RMU149" s="199"/>
      <c r="RMV149" s="200"/>
      <c r="RMW149" s="201"/>
      <c r="RMX149" s="202"/>
      <c r="RMY149" s="202"/>
      <c r="RMZ149" s="202"/>
      <c r="RNA149" s="202"/>
      <c r="RNB149" s="203"/>
      <c r="RNC149" s="204"/>
      <c r="RND149" s="204"/>
      <c r="RNE149" s="204"/>
      <c r="RNF149" s="205"/>
      <c r="RNG149" s="206"/>
      <c r="RNH149" s="207"/>
      <c r="RNI149" s="207"/>
      <c r="RNJ149" s="208"/>
      <c r="RNK149" s="209"/>
      <c r="RNL149" s="207"/>
      <c r="RNM149" s="210"/>
      <c r="RNN149" s="209"/>
      <c r="RNO149" s="204"/>
      <c r="RNP149" s="204"/>
      <c r="RNQ149" s="204"/>
      <c r="RNR149" s="199"/>
      <c r="RNS149" s="167"/>
      <c r="RNT149" s="199"/>
      <c r="RNU149" s="200"/>
      <c r="RNV149" s="201"/>
      <c r="RNW149" s="202"/>
      <c r="RNX149" s="202"/>
      <c r="RNY149" s="202"/>
      <c r="RNZ149" s="202"/>
      <c r="ROA149" s="203"/>
      <c r="ROB149" s="204"/>
      <c r="ROC149" s="204"/>
      <c r="ROD149" s="204"/>
      <c r="ROE149" s="205"/>
      <c r="ROF149" s="206"/>
      <c r="ROG149" s="207"/>
      <c r="ROH149" s="207"/>
      <c r="ROI149" s="208"/>
      <c r="ROJ149" s="209"/>
      <c r="ROK149" s="207"/>
      <c r="ROL149" s="210"/>
      <c r="ROM149" s="209"/>
      <c r="RON149" s="204"/>
      <c r="ROO149" s="204"/>
      <c r="ROP149" s="204"/>
      <c r="ROQ149" s="199"/>
      <c r="ROR149" s="167"/>
      <c r="ROS149" s="199"/>
      <c r="ROT149" s="200"/>
      <c r="ROU149" s="201"/>
      <c r="ROV149" s="202"/>
      <c r="ROW149" s="202"/>
      <c r="ROX149" s="202"/>
      <c r="ROY149" s="202"/>
      <c r="ROZ149" s="203"/>
      <c r="RPA149" s="204"/>
      <c r="RPB149" s="204"/>
      <c r="RPC149" s="204"/>
      <c r="RPD149" s="205"/>
      <c r="RPE149" s="206"/>
      <c r="RPF149" s="207"/>
      <c r="RPG149" s="207"/>
      <c r="RPH149" s="208"/>
      <c r="RPI149" s="209"/>
      <c r="RPJ149" s="207"/>
      <c r="RPK149" s="210"/>
      <c r="RPL149" s="209"/>
      <c r="RPM149" s="204"/>
      <c r="RPN149" s="204"/>
      <c r="RPO149" s="204"/>
      <c r="RPP149" s="199"/>
      <c r="RPQ149" s="167"/>
      <c r="RPR149" s="199"/>
      <c r="RPS149" s="200"/>
      <c r="RPT149" s="201"/>
      <c r="RPU149" s="202"/>
      <c r="RPV149" s="202"/>
      <c r="RPW149" s="202"/>
      <c r="RPX149" s="202"/>
      <c r="RPY149" s="203"/>
      <c r="RPZ149" s="204"/>
      <c r="RQA149" s="204"/>
      <c r="RQB149" s="204"/>
      <c r="RQC149" s="205"/>
      <c r="RQD149" s="206"/>
      <c r="RQE149" s="207"/>
      <c r="RQF149" s="207"/>
      <c r="RQG149" s="208"/>
      <c r="RQH149" s="209"/>
      <c r="RQI149" s="207"/>
      <c r="RQJ149" s="210"/>
      <c r="RQK149" s="209"/>
      <c r="RQL149" s="204"/>
      <c r="RQM149" s="204"/>
      <c r="RQN149" s="204"/>
      <c r="RQO149" s="199"/>
      <c r="RQP149" s="167"/>
      <c r="RQQ149" s="199"/>
      <c r="RQR149" s="200"/>
      <c r="RQS149" s="201"/>
      <c r="RQT149" s="202"/>
      <c r="RQU149" s="202"/>
      <c r="RQV149" s="202"/>
      <c r="RQW149" s="202"/>
      <c r="RQX149" s="203"/>
      <c r="RQY149" s="204"/>
      <c r="RQZ149" s="204"/>
      <c r="RRA149" s="204"/>
      <c r="RRB149" s="205"/>
      <c r="RRC149" s="206"/>
      <c r="RRD149" s="207"/>
      <c r="RRE149" s="207"/>
      <c r="RRF149" s="208"/>
      <c r="RRG149" s="209"/>
      <c r="RRH149" s="207"/>
      <c r="RRI149" s="210"/>
      <c r="RRJ149" s="209"/>
      <c r="RRK149" s="204"/>
      <c r="RRL149" s="204"/>
      <c r="RRM149" s="204"/>
      <c r="RRN149" s="199"/>
      <c r="RRO149" s="167"/>
      <c r="RRP149" s="199"/>
      <c r="RRQ149" s="200"/>
      <c r="RRR149" s="201"/>
      <c r="RRS149" s="202"/>
      <c r="RRT149" s="202"/>
      <c r="RRU149" s="202"/>
      <c r="RRV149" s="202"/>
      <c r="RRW149" s="203"/>
      <c r="RRX149" s="204"/>
      <c r="RRY149" s="204"/>
      <c r="RRZ149" s="204"/>
      <c r="RSA149" s="205"/>
      <c r="RSB149" s="206"/>
      <c r="RSC149" s="207"/>
      <c r="RSD149" s="207"/>
      <c r="RSE149" s="208"/>
      <c r="RSF149" s="209"/>
      <c r="RSG149" s="207"/>
      <c r="RSH149" s="210"/>
      <c r="RSI149" s="209"/>
      <c r="RSJ149" s="204"/>
      <c r="RSK149" s="204"/>
      <c r="RSL149" s="204"/>
      <c r="RSM149" s="199"/>
      <c r="RSN149" s="167"/>
      <c r="RSO149" s="199"/>
      <c r="RSP149" s="200"/>
      <c r="RSQ149" s="201"/>
      <c r="RSR149" s="202"/>
      <c r="RSS149" s="202"/>
      <c r="RST149" s="202"/>
      <c r="RSU149" s="202"/>
      <c r="RSV149" s="203"/>
      <c r="RSW149" s="204"/>
      <c r="RSX149" s="204"/>
      <c r="RSY149" s="204"/>
      <c r="RSZ149" s="205"/>
      <c r="RTA149" s="206"/>
      <c r="RTB149" s="207"/>
      <c r="RTC149" s="207"/>
      <c r="RTD149" s="208"/>
      <c r="RTE149" s="209"/>
      <c r="RTF149" s="207"/>
      <c r="RTG149" s="210"/>
      <c r="RTH149" s="209"/>
      <c r="RTI149" s="204"/>
      <c r="RTJ149" s="204"/>
      <c r="RTK149" s="204"/>
      <c r="RTL149" s="199"/>
      <c r="RTM149" s="167"/>
      <c r="RTN149" s="199"/>
      <c r="RTO149" s="200"/>
      <c r="RTP149" s="201"/>
      <c r="RTQ149" s="202"/>
      <c r="RTR149" s="202"/>
      <c r="RTS149" s="202"/>
      <c r="RTT149" s="202"/>
      <c r="RTU149" s="203"/>
      <c r="RTV149" s="204"/>
      <c r="RTW149" s="204"/>
      <c r="RTX149" s="204"/>
      <c r="RTY149" s="205"/>
      <c r="RTZ149" s="206"/>
      <c r="RUA149" s="207"/>
      <c r="RUB149" s="207"/>
      <c r="RUC149" s="208"/>
      <c r="RUD149" s="209"/>
      <c r="RUE149" s="207"/>
      <c r="RUF149" s="210"/>
      <c r="RUG149" s="209"/>
      <c r="RUH149" s="204"/>
      <c r="RUI149" s="204"/>
      <c r="RUJ149" s="204"/>
      <c r="RUK149" s="199"/>
      <c r="RUL149" s="167"/>
      <c r="RUM149" s="199"/>
      <c r="RUN149" s="200"/>
      <c r="RUO149" s="201"/>
      <c r="RUP149" s="202"/>
      <c r="RUQ149" s="202"/>
      <c r="RUR149" s="202"/>
      <c r="RUS149" s="202"/>
      <c r="RUT149" s="203"/>
      <c r="RUU149" s="204"/>
      <c r="RUV149" s="204"/>
      <c r="RUW149" s="204"/>
      <c r="RUX149" s="205"/>
      <c r="RUY149" s="206"/>
      <c r="RUZ149" s="207"/>
      <c r="RVA149" s="207"/>
      <c r="RVB149" s="208"/>
      <c r="RVC149" s="209"/>
      <c r="RVD149" s="207"/>
      <c r="RVE149" s="210"/>
      <c r="RVF149" s="209"/>
      <c r="RVG149" s="204"/>
      <c r="RVH149" s="204"/>
      <c r="RVI149" s="204"/>
      <c r="RVJ149" s="199"/>
      <c r="RVK149" s="167"/>
      <c r="RVL149" s="199"/>
      <c r="RVM149" s="200"/>
      <c r="RVN149" s="201"/>
      <c r="RVO149" s="202"/>
      <c r="RVP149" s="202"/>
      <c r="RVQ149" s="202"/>
      <c r="RVR149" s="202"/>
      <c r="RVS149" s="203"/>
      <c r="RVT149" s="204"/>
      <c r="RVU149" s="204"/>
      <c r="RVV149" s="204"/>
      <c r="RVW149" s="205"/>
      <c r="RVX149" s="206"/>
      <c r="RVY149" s="207"/>
      <c r="RVZ149" s="207"/>
      <c r="RWA149" s="208"/>
      <c r="RWB149" s="209"/>
      <c r="RWC149" s="207"/>
      <c r="RWD149" s="210"/>
      <c r="RWE149" s="209"/>
      <c r="RWF149" s="204"/>
      <c r="RWG149" s="204"/>
      <c r="RWH149" s="204"/>
      <c r="RWI149" s="199"/>
      <c r="RWJ149" s="167"/>
      <c r="RWK149" s="199"/>
      <c r="RWL149" s="200"/>
      <c r="RWM149" s="201"/>
      <c r="RWN149" s="202"/>
      <c r="RWO149" s="202"/>
      <c r="RWP149" s="202"/>
      <c r="RWQ149" s="202"/>
      <c r="RWR149" s="203"/>
      <c r="RWS149" s="204"/>
      <c r="RWT149" s="204"/>
      <c r="RWU149" s="204"/>
      <c r="RWV149" s="205"/>
      <c r="RWW149" s="206"/>
      <c r="RWX149" s="207"/>
      <c r="RWY149" s="207"/>
      <c r="RWZ149" s="208"/>
      <c r="RXA149" s="209"/>
      <c r="RXB149" s="207"/>
      <c r="RXC149" s="210"/>
      <c r="RXD149" s="209"/>
      <c r="RXE149" s="204"/>
      <c r="RXF149" s="204"/>
      <c r="RXG149" s="204"/>
      <c r="RXH149" s="199"/>
      <c r="RXI149" s="167"/>
      <c r="RXJ149" s="199"/>
      <c r="RXK149" s="200"/>
      <c r="RXL149" s="201"/>
      <c r="RXM149" s="202"/>
      <c r="RXN149" s="202"/>
      <c r="RXO149" s="202"/>
      <c r="RXP149" s="202"/>
      <c r="RXQ149" s="203"/>
      <c r="RXR149" s="204"/>
      <c r="RXS149" s="204"/>
      <c r="RXT149" s="204"/>
      <c r="RXU149" s="205"/>
      <c r="RXV149" s="206"/>
      <c r="RXW149" s="207"/>
      <c r="RXX149" s="207"/>
      <c r="RXY149" s="208"/>
      <c r="RXZ149" s="209"/>
      <c r="RYA149" s="207"/>
      <c r="RYB149" s="210"/>
      <c r="RYC149" s="209"/>
      <c r="RYD149" s="204"/>
      <c r="RYE149" s="204"/>
      <c r="RYF149" s="204"/>
      <c r="RYG149" s="199"/>
      <c r="RYH149" s="167"/>
      <c r="RYI149" s="199"/>
      <c r="RYJ149" s="200"/>
      <c r="RYK149" s="201"/>
      <c r="RYL149" s="202"/>
      <c r="RYM149" s="202"/>
      <c r="RYN149" s="202"/>
      <c r="RYO149" s="202"/>
      <c r="RYP149" s="203"/>
      <c r="RYQ149" s="204"/>
      <c r="RYR149" s="204"/>
      <c r="RYS149" s="204"/>
      <c r="RYT149" s="205"/>
      <c r="RYU149" s="206"/>
      <c r="RYV149" s="207"/>
      <c r="RYW149" s="207"/>
      <c r="RYX149" s="208"/>
      <c r="RYY149" s="209"/>
      <c r="RYZ149" s="207"/>
      <c r="RZA149" s="210"/>
      <c r="RZB149" s="209"/>
      <c r="RZC149" s="204"/>
      <c r="RZD149" s="204"/>
      <c r="RZE149" s="204"/>
      <c r="RZF149" s="199"/>
      <c r="RZG149" s="167"/>
      <c r="RZH149" s="199"/>
      <c r="RZI149" s="200"/>
      <c r="RZJ149" s="201"/>
      <c r="RZK149" s="202"/>
      <c r="RZL149" s="202"/>
      <c r="RZM149" s="202"/>
      <c r="RZN149" s="202"/>
      <c r="RZO149" s="203"/>
      <c r="RZP149" s="204"/>
      <c r="RZQ149" s="204"/>
      <c r="RZR149" s="204"/>
      <c r="RZS149" s="205"/>
      <c r="RZT149" s="206"/>
      <c r="RZU149" s="207"/>
      <c r="RZV149" s="207"/>
      <c r="RZW149" s="208"/>
      <c r="RZX149" s="209"/>
      <c r="RZY149" s="207"/>
      <c r="RZZ149" s="210"/>
      <c r="SAA149" s="209"/>
      <c r="SAB149" s="204"/>
      <c r="SAC149" s="204"/>
      <c r="SAD149" s="204"/>
      <c r="SAE149" s="199"/>
      <c r="SAF149" s="167"/>
      <c r="SAG149" s="199"/>
      <c r="SAH149" s="200"/>
      <c r="SAI149" s="201"/>
      <c r="SAJ149" s="202"/>
      <c r="SAK149" s="202"/>
      <c r="SAL149" s="202"/>
      <c r="SAM149" s="202"/>
      <c r="SAN149" s="203"/>
      <c r="SAO149" s="204"/>
      <c r="SAP149" s="204"/>
      <c r="SAQ149" s="204"/>
      <c r="SAR149" s="205"/>
      <c r="SAS149" s="206"/>
      <c r="SAT149" s="207"/>
      <c r="SAU149" s="207"/>
      <c r="SAV149" s="208"/>
      <c r="SAW149" s="209"/>
      <c r="SAX149" s="207"/>
      <c r="SAY149" s="210"/>
      <c r="SAZ149" s="209"/>
      <c r="SBA149" s="204"/>
      <c r="SBB149" s="204"/>
      <c r="SBC149" s="204"/>
      <c r="SBD149" s="199"/>
      <c r="SBE149" s="167"/>
      <c r="SBF149" s="199"/>
      <c r="SBG149" s="200"/>
      <c r="SBH149" s="201"/>
      <c r="SBI149" s="202"/>
      <c r="SBJ149" s="202"/>
      <c r="SBK149" s="202"/>
      <c r="SBL149" s="202"/>
      <c r="SBM149" s="203"/>
      <c r="SBN149" s="204"/>
      <c r="SBO149" s="204"/>
      <c r="SBP149" s="204"/>
      <c r="SBQ149" s="205"/>
      <c r="SBR149" s="206"/>
      <c r="SBS149" s="207"/>
      <c r="SBT149" s="207"/>
      <c r="SBU149" s="208"/>
      <c r="SBV149" s="209"/>
      <c r="SBW149" s="207"/>
      <c r="SBX149" s="210"/>
      <c r="SBY149" s="209"/>
      <c r="SBZ149" s="204"/>
      <c r="SCA149" s="204"/>
      <c r="SCB149" s="204"/>
      <c r="SCC149" s="199"/>
      <c r="SCD149" s="167"/>
      <c r="SCE149" s="199"/>
      <c r="SCF149" s="200"/>
      <c r="SCG149" s="201"/>
      <c r="SCH149" s="202"/>
      <c r="SCI149" s="202"/>
      <c r="SCJ149" s="202"/>
      <c r="SCK149" s="202"/>
      <c r="SCL149" s="203"/>
      <c r="SCM149" s="204"/>
      <c r="SCN149" s="204"/>
      <c r="SCO149" s="204"/>
      <c r="SCP149" s="205"/>
      <c r="SCQ149" s="206"/>
      <c r="SCR149" s="207"/>
      <c r="SCS149" s="207"/>
      <c r="SCT149" s="208"/>
      <c r="SCU149" s="209"/>
      <c r="SCV149" s="207"/>
      <c r="SCW149" s="210"/>
      <c r="SCX149" s="209"/>
      <c r="SCY149" s="204"/>
      <c r="SCZ149" s="204"/>
      <c r="SDA149" s="204"/>
      <c r="SDB149" s="199"/>
      <c r="SDC149" s="167"/>
      <c r="SDD149" s="199"/>
      <c r="SDE149" s="200"/>
      <c r="SDF149" s="201"/>
      <c r="SDG149" s="202"/>
      <c r="SDH149" s="202"/>
      <c r="SDI149" s="202"/>
      <c r="SDJ149" s="202"/>
      <c r="SDK149" s="203"/>
      <c r="SDL149" s="204"/>
      <c r="SDM149" s="204"/>
      <c r="SDN149" s="204"/>
      <c r="SDO149" s="205"/>
      <c r="SDP149" s="206"/>
      <c r="SDQ149" s="207"/>
      <c r="SDR149" s="207"/>
      <c r="SDS149" s="208"/>
      <c r="SDT149" s="209"/>
      <c r="SDU149" s="207"/>
      <c r="SDV149" s="210"/>
      <c r="SDW149" s="209"/>
      <c r="SDX149" s="204"/>
      <c r="SDY149" s="204"/>
      <c r="SDZ149" s="204"/>
      <c r="SEA149" s="199"/>
      <c r="SEB149" s="167"/>
      <c r="SEC149" s="199"/>
      <c r="SED149" s="200"/>
      <c r="SEE149" s="201"/>
      <c r="SEF149" s="202"/>
      <c r="SEG149" s="202"/>
      <c r="SEH149" s="202"/>
      <c r="SEI149" s="202"/>
      <c r="SEJ149" s="203"/>
      <c r="SEK149" s="204"/>
      <c r="SEL149" s="204"/>
      <c r="SEM149" s="204"/>
      <c r="SEN149" s="205"/>
      <c r="SEO149" s="206"/>
      <c r="SEP149" s="207"/>
      <c r="SEQ149" s="207"/>
      <c r="SER149" s="208"/>
      <c r="SES149" s="209"/>
      <c r="SET149" s="207"/>
      <c r="SEU149" s="210"/>
      <c r="SEV149" s="209"/>
      <c r="SEW149" s="204"/>
      <c r="SEX149" s="204"/>
      <c r="SEY149" s="204"/>
      <c r="SEZ149" s="199"/>
      <c r="SFA149" s="167"/>
      <c r="SFB149" s="199"/>
      <c r="SFC149" s="200"/>
      <c r="SFD149" s="201"/>
      <c r="SFE149" s="202"/>
      <c r="SFF149" s="202"/>
      <c r="SFG149" s="202"/>
      <c r="SFH149" s="202"/>
      <c r="SFI149" s="203"/>
      <c r="SFJ149" s="204"/>
      <c r="SFK149" s="204"/>
      <c r="SFL149" s="204"/>
      <c r="SFM149" s="205"/>
      <c r="SFN149" s="206"/>
      <c r="SFO149" s="207"/>
      <c r="SFP149" s="207"/>
      <c r="SFQ149" s="208"/>
      <c r="SFR149" s="209"/>
      <c r="SFS149" s="207"/>
      <c r="SFT149" s="210"/>
      <c r="SFU149" s="209"/>
      <c r="SFV149" s="204"/>
      <c r="SFW149" s="204"/>
      <c r="SFX149" s="204"/>
      <c r="SFY149" s="199"/>
      <c r="SFZ149" s="167"/>
      <c r="SGA149" s="199"/>
      <c r="SGB149" s="200"/>
      <c r="SGC149" s="201"/>
      <c r="SGD149" s="202"/>
      <c r="SGE149" s="202"/>
      <c r="SGF149" s="202"/>
      <c r="SGG149" s="202"/>
      <c r="SGH149" s="203"/>
      <c r="SGI149" s="204"/>
      <c r="SGJ149" s="204"/>
      <c r="SGK149" s="204"/>
      <c r="SGL149" s="205"/>
      <c r="SGM149" s="206"/>
      <c r="SGN149" s="207"/>
      <c r="SGO149" s="207"/>
      <c r="SGP149" s="208"/>
      <c r="SGQ149" s="209"/>
      <c r="SGR149" s="207"/>
      <c r="SGS149" s="210"/>
      <c r="SGT149" s="209"/>
      <c r="SGU149" s="204"/>
      <c r="SGV149" s="204"/>
      <c r="SGW149" s="204"/>
      <c r="SGX149" s="199"/>
      <c r="SGY149" s="167"/>
      <c r="SGZ149" s="199"/>
      <c r="SHA149" s="200"/>
      <c r="SHB149" s="201"/>
      <c r="SHC149" s="202"/>
      <c r="SHD149" s="202"/>
      <c r="SHE149" s="202"/>
      <c r="SHF149" s="202"/>
      <c r="SHG149" s="203"/>
      <c r="SHH149" s="204"/>
      <c r="SHI149" s="204"/>
      <c r="SHJ149" s="204"/>
      <c r="SHK149" s="205"/>
      <c r="SHL149" s="206"/>
      <c r="SHM149" s="207"/>
      <c r="SHN149" s="207"/>
      <c r="SHO149" s="208"/>
      <c r="SHP149" s="209"/>
      <c r="SHQ149" s="207"/>
      <c r="SHR149" s="210"/>
      <c r="SHS149" s="209"/>
      <c r="SHT149" s="204"/>
      <c r="SHU149" s="204"/>
      <c r="SHV149" s="204"/>
      <c r="SHW149" s="199"/>
      <c r="SHX149" s="167"/>
      <c r="SHY149" s="199"/>
      <c r="SHZ149" s="200"/>
      <c r="SIA149" s="201"/>
      <c r="SIB149" s="202"/>
      <c r="SIC149" s="202"/>
      <c r="SID149" s="202"/>
      <c r="SIE149" s="202"/>
      <c r="SIF149" s="203"/>
      <c r="SIG149" s="204"/>
      <c r="SIH149" s="204"/>
      <c r="SII149" s="204"/>
      <c r="SIJ149" s="205"/>
      <c r="SIK149" s="206"/>
      <c r="SIL149" s="207"/>
      <c r="SIM149" s="207"/>
      <c r="SIN149" s="208"/>
      <c r="SIO149" s="209"/>
      <c r="SIP149" s="207"/>
      <c r="SIQ149" s="210"/>
      <c r="SIR149" s="209"/>
      <c r="SIS149" s="204"/>
      <c r="SIT149" s="204"/>
      <c r="SIU149" s="204"/>
      <c r="SIV149" s="199"/>
      <c r="SIW149" s="167"/>
      <c r="SIX149" s="199"/>
      <c r="SIY149" s="200"/>
      <c r="SIZ149" s="201"/>
      <c r="SJA149" s="202"/>
      <c r="SJB149" s="202"/>
      <c r="SJC149" s="202"/>
      <c r="SJD149" s="202"/>
      <c r="SJE149" s="203"/>
      <c r="SJF149" s="204"/>
      <c r="SJG149" s="204"/>
      <c r="SJH149" s="204"/>
      <c r="SJI149" s="205"/>
      <c r="SJJ149" s="206"/>
      <c r="SJK149" s="207"/>
      <c r="SJL149" s="207"/>
      <c r="SJM149" s="208"/>
      <c r="SJN149" s="209"/>
      <c r="SJO149" s="207"/>
      <c r="SJP149" s="210"/>
      <c r="SJQ149" s="209"/>
      <c r="SJR149" s="204"/>
      <c r="SJS149" s="204"/>
      <c r="SJT149" s="204"/>
      <c r="SJU149" s="199"/>
      <c r="SJV149" s="167"/>
      <c r="SJW149" s="199"/>
      <c r="SJX149" s="200"/>
      <c r="SJY149" s="201"/>
      <c r="SJZ149" s="202"/>
      <c r="SKA149" s="202"/>
      <c r="SKB149" s="202"/>
      <c r="SKC149" s="202"/>
      <c r="SKD149" s="203"/>
      <c r="SKE149" s="204"/>
      <c r="SKF149" s="204"/>
      <c r="SKG149" s="204"/>
      <c r="SKH149" s="205"/>
      <c r="SKI149" s="206"/>
      <c r="SKJ149" s="207"/>
      <c r="SKK149" s="207"/>
      <c r="SKL149" s="208"/>
      <c r="SKM149" s="209"/>
      <c r="SKN149" s="207"/>
      <c r="SKO149" s="210"/>
      <c r="SKP149" s="209"/>
      <c r="SKQ149" s="204"/>
      <c r="SKR149" s="204"/>
      <c r="SKS149" s="204"/>
      <c r="SKT149" s="199"/>
      <c r="SKU149" s="167"/>
      <c r="SKV149" s="199"/>
      <c r="SKW149" s="200"/>
      <c r="SKX149" s="201"/>
      <c r="SKY149" s="202"/>
      <c r="SKZ149" s="202"/>
      <c r="SLA149" s="202"/>
      <c r="SLB149" s="202"/>
      <c r="SLC149" s="203"/>
      <c r="SLD149" s="204"/>
      <c r="SLE149" s="204"/>
      <c r="SLF149" s="204"/>
      <c r="SLG149" s="205"/>
      <c r="SLH149" s="206"/>
      <c r="SLI149" s="207"/>
      <c r="SLJ149" s="207"/>
      <c r="SLK149" s="208"/>
      <c r="SLL149" s="209"/>
      <c r="SLM149" s="207"/>
      <c r="SLN149" s="210"/>
      <c r="SLO149" s="209"/>
      <c r="SLP149" s="204"/>
      <c r="SLQ149" s="204"/>
      <c r="SLR149" s="204"/>
      <c r="SLS149" s="199"/>
      <c r="SLT149" s="167"/>
      <c r="SLU149" s="199"/>
      <c r="SLV149" s="200"/>
      <c r="SLW149" s="201"/>
      <c r="SLX149" s="202"/>
      <c r="SLY149" s="202"/>
      <c r="SLZ149" s="202"/>
      <c r="SMA149" s="202"/>
      <c r="SMB149" s="203"/>
      <c r="SMC149" s="204"/>
      <c r="SMD149" s="204"/>
      <c r="SME149" s="204"/>
      <c r="SMF149" s="205"/>
      <c r="SMG149" s="206"/>
      <c r="SMH149" s="207"/>
      <c r="SMI149" s="207"/>
      <c r="SMJ149" s="208"/>
      <c r="SMK149" s="209"/>
      <c r="SML149" s="207"/>
      <c r="SMM149" s="210"/>
      <c r="SMN149" s="209"/>
      <c r="SMO149" s="204"/>
      <c r="SMP149" s="204"/>
      <c r="SMQ149" s="204"/>
      <c r="SMR149" s="199"/>
      <c r="SMS149" s="167"/>
      <c r="SMT149" s="199"/>
      <c r="SMU149" s="200"/>
      <c r="SMV149" s="201"/>
      <c r="SMW149" s="202"/>
      <c r="SMX149" s="202"/>
      <c r="SMY149" s="202"/>
      <c r="SMZ149" s="202"/>
      <c r="SNA149" s="203"/>
      <c r="SNB149" s="204"/>
      <c r="SNC149" s="204"/>
      <c r="SND149" s="204"/>
      <c r="SNE149" s="205"/>
      <c r="SNF149" s="206"/>
      <c r="SNG149" s="207"/>
      <c r="SNH149" s="207"/>
      <c r="SNI149" s="208"/>
      <c r="SNJ149" s="209"/>
      <c r="SNK149" s="207"/>
      <c r="SNL149" s="210"/>
      <c r="SNM149" s="209"/>
      <c r="SNN149" s="204"/>
      <c r="SNO149" s="204"/>
      <c r="SNP149" s="204"/>
      <c r="SNQ149" s="199"/>
      <c r="SNR149" s="167"/>
      <c r="SNS149" s="199"/>
      <c r="SNT149" s="200"/>
      <c r="SNU149" s="201"/>
      <c r="SNV149" s="202"/>
      <c r="SNW149" s="202"/>
      <c r="SNX149" s="202"/>
      <c r="SNY149" s="202"/>
      <c r="SNZ149" s="203"/>
      <c r="SOA149" s="204"/>
      <c r="SOB149" s="204"/>
      <c r="SOC149" s="204"/>
      <c r="SOD149" s="205"/>
      <c r="SOE149" s="206"/>
      <c r="SOF149" s="207"/>
      <c r="SOG149" s="207"/>
      <c r="SOH149" s="208"/>
      <c r="SOI149" s="209"/>
      <c r="SOJ149" s="207"/>
      <c r="SOK149" s="210"/>
      <c r="SOL149" s="209"/>
      <c r="SOM149" s="204"/>
      <c r="SON149" s="204"/>
      <c r="SOO149" s="204"/>
      <c r="SOP149" s="199"/>
      <c r="SOQ149" s="167"/>
      <c r="SOR149" s="199"/>
      <c r="SOS149" s="200"/>
      <c r="SOT149" s="201"/>
      <c r="SOU149" s="202"/>
      <c r="SOV149" s="202"/>
      <c r="SOW149" s="202"/>
      <c r="SOX149" s="202"/>
      <c r="SOY149" s="203"/>
      <c r="SOZ149" s="204"/>
      <c r="SPA149" s="204"/>
      <c r="SPB149" s="204"/>
      <c r="SPC149" s="205"/>
      <c r="SPD149" s="206"/>
      <c r="SPE149" s="207"/>
      <c r="SPF149" s="207"/>
      <c r="SPG149" s="208"/>
      <c r="SPH149" s="209"/>
      <c r="SPI149" s="207"/>
      <c r="SPJ149" s="210"/>
      <c r="SPK149" s="209"/>
      <c r="SPL149" s="204"/>
      <c r="SPM149" s="204"/>
      <c r="SPN149" s="204"/>
      <c r="SPO149" s="199"/>
      <c r="SPP149" s="167"/>
      <c r="SPQ149" s="199"/>
      <c r="SPR149" s="200"/>
      <c r="SPS149" s="201"/>
      <c r="SPT149" s="202"/>
      <c r="SPU149" s="202"/>
      <c r="SPV149" s="202"/>
      <c r="SPW149" s="202"/>
      <c r="SPX149" s="203"/>
      <c r="SPY149" s="204"/>
      <c r="SPZ149" s="204"/>
      <c r="SQA149" s="204"/>
      <c r="SQB149" s="205"/>
      <c r="SQC149" s="206"/>
      <c r="SQD149" s="207"/>
      <c r="SQE149" s="207"/>
      <c r="SQF149" s="208"/>
      <c r="SQG149" s="209"/>
      <c r="SQH149" s="207"/>
      <c r="SQI149" s="210"/>
      <c r="SQJ149" s="209"/>
      <c r="SQK149" s="204"/>
      <c r="SQL149" s="204"/>
      <c r="SQM149" s="204"/>
      <c r="SQN149" s="199"/>
      <c r="SQO149" s="167"/>
      <c r="SQP149" s="199"/>
      <c r="SQQ149" s="200"/>
      <c r="SQR149" s="201"/>
      <c r="SQS149" s="202"/>
      <c r="SQT149" s="202"/>
      <c r="SQU149" s="202"/>
      <c r="SQV149" s="202"/>
      <c r="SQW149" s="203"/>
      <c r="SQX149" s="204"/>
      <c r="SQY149" s="204"/>
      <c r="SQZ149" s="204"/>
      <c r="SRA149" s="205"/>
      <c r="SRB149" s="206"/>
      <c r="SRC149" s="207"/>
      <c r="SRD149" s="207"/>
      <c r="SRE149" s="208"/>
      <c r="SRF149" s="209"/>
      <c r="SRG149" s="207"/>
      <c r="SRH149" s="210"/>
      <c r="SRI149" s="209"/>
      <c r="SRJ149" s="204"/>
      <c r="SRK149" s="204"/>
      <c r="SRL149" s="204"/>
      <c r="SRM149" s="199"/>
      <c r="SRN149" s="167"/>
      <c r="SRO149" s="199"/>
      <c r="SRP149" s="200"/>
      <c r="SRQ149" s="201"/>
      <c r="SRR149" s="202"/>
      <c r="SRS149" s="202"/>
      <c r="SRT149" s="202"/>
      <c r="SRU149" s="202"/>
      <c r="SRV149" s="203"/>
      <c r="SRW149" s="204"/>
      <c r="SRX149" s="204"/>
      <c r="SRY149" s="204"/>
      <c r="SRZ149" s="205"/>
      <c r="SSA149" s="206"/>
      <c r="SSB149" s="207"/>
      <c r="SSC149" s="207"/>
      <c r="SSD149" s="208"/>
      <c r="SSE149" s="209"/>
      <c r="SSF149" s="207"/>
      <c r="SSG149" s="210"/>
      <c r="SSH149" s="209"/>
      <c r="SSI149" s="204"/>
      <c r="SSJ149" s="204"/>
      <c r="SSK149" s="204"/>
      <c r="SSL149" s="199"/>
      <c r="SSM149" s="167"/>
      <c r="SSN149" s="199"/>
      <c r="SSO149" s="200"/>
      <c r="SSP149" s="201"/>
      <c r="SSQ149" s="202"/>
      <c r="SSR149" s="202"/>
      <c r="SSS149" s="202"/>
      <c r="SST149" s="202"/>
      <c r="SSU149" s="203"/>
      <c r="SSV149" s="204"/>
      <c r="SSW149" s="204"/>
      <c r="SSX149" s="204"/>
      <c r="SSY149" s="205"/>
      <c r="SSZ149" s="206"/>
      <c r="STA149" s="207"/>
      <c r="STB149" s="207"/>
      <c r="STC149" s="208"/>
      <c r="STD149" s="209"/>
      <c r="STE149" s="207"/>
      <c r="STF149" s="210"/>
      <c r="STG149" s="209"/>
      <c r="STH149" s="204"/>
      <c r="STI149" s="204"/>
      <c r="STJ149" s="204"/>
      <c r="STK149" s="199"/>
      <c r="STL149" s="167"/>
      <c r="STM149" s="199"/>
      <c r="STN149" s="200"/>
      <c r="STO149" s="201"/>
      <c r="STP149" s="202"/>
      <c r="STQ149" s="202"/>
      <c r="STR149" s="202"/>
      <c r="STS149" s="202"/>
      <c r="STT149" s="203"/>
      <c r="STU149" s="204"/>
      <c r="STV149" s="204"/>
      <c r="STW149" s="204"/>
      <c r="STX149" s="205"/>
      <c r="STY149" s="206"/>
      <c r="STZ149" s="207"/>
      <c r="SUA149" s="207"/>
      <c r="SUB149" s="208"/>
      <c r="SUC149" s="209"/>
      <c r="SUD149" s="207"/>
      <c r="SUE149" s="210"/>
      <c r="SUF149" s="209"/>
      <c r="SUG149" s="204"/>
      <c r="SUH149" s="204"/>
      <c r="SUI149" s="204"/>
      <c r="SUJ149" s="199"/>
      <c r="SUK149" s="167"/>
      <c r="SUL149" s="199"/>
      <c r="SUM149" s="200"/>
      <c r="SUN149" s="201"/>
      <c r="SUO149" s="202"/>
      <c r="SUP149" s="202"/>
      <c r="SUQ149" s="202"/>
      <c r="SUR149" s="202"/>
      <c r="SUS149" s="203"/>
      <c r="SUT149" s="204"/>
      <c r="SUU149" s="204"/>
      <c r="SUV149" s="204"/>
      <c r="SUW149" s="205"/>
      <c r="SUX149" s="206"/>
      <c r="SUY149" s="207"/>
      <c r="SUZ149" s="207"/>
      <c r="SVA149" s="208"/>
      <c r="SVB149" s="209"/>
      <c r="SVC149" s="207"/>
      <c r="SVD149" s="210"/>
      <c r="SVE149" s="209"/>
      <c r="SVF149" s="204"/>
      <c r="SVG149" s="204"/>
      <c r="SVH149" s="204"/>
      <c r="SVI149" s="199"/>
      <c r="SVJ149" s="167"/>
      <c r="SVK149" s="199"/>
      <c r="SVL149" s="200"/>
      <c r="SVM149" s="201"/>
      <c r="SVN149" s="202"/>
      <c r="SVO149" s="202"/>
      <c r="SVP149" s="202"/>
      <c r="SVQ149" s="202"/>
      <c r="SVR149" s="203"/>
      <c r="SVS149" s="204"/>
      <c r="SVT149" s="204"/>
      <c r="SVU149" s="204"/>
      <c r="SVV149" s="205"/>
      <c r="SVW149" s="206"/>
      <c r="SVX149" s="207"/>
      <c r="SVY149" s="207"/>
      <c r="SVZ149" s="208"/>
      <c r="SWA149" s="209"/>
      <c r="SWB149" s="207"/>
      <c r="SWC149" s="210"/>
      <c r="SWD149" s="209"/>
      <c r="SWE149" s="204"/>
      <c r="SWF149" s="204"/>
      <c r="SWG149" s="204"/>
      <c r="SWH149" s="199"/>
      <c r="SWI149" s="167"/>
      <c r="SWJ149" s="199"/>
      <c r="SWK149" s="200"/>
      <c r="SWL149" s="201"/>
      <c r="SWM149" s="202"/>
      <c r="SWN149" s="202"/>
      <c r="SWO149" s="202"/>
      <c r="SWP149" s="202"/>
      <c r="SWQ149" s="203"/>
      <c r="SWR149" s="204"/>
      <c r="SWS149" s="204"/>
      <c r="SWT149" s="204"/>
      <c r="SWU149" s="205"/>
      <c r="SWV149" s="206"/>
      <c r="SWW149" s="207"/>
      <c r="SWX149" s="207"/>
      <c r="SWY149" s="208"/>
      <c r="SWZ149" s="209"/>
      <c r="SXA149" s="207"/>
      <c r="SXB149" s="210"/>
      <c r="SXC149" s="209"/>
      <c r="SXD149" s="204"/>
      <c r="SXE149" s="204"/>
      <c r="SXF149" s="204"/>
      <c r="SXG149" s="199"/>
      <c r="SXH149" s="167"/>
      <c r="SXI149" s="199"/>
      <c r="SXJ149" s="200"/>
      <c r="SXK149" s="201"/>
      <c r="SXL149" s="202"/>
      <c r="SXM149" s="202"/>
      <c r="SXN149" s="202"/>
      <c r="SXO149" s="202"/>
      <c r="SXP149" s="203"/>
      <c r="SXQ149" s="204"/>
      <c r="SXR149" s="204"/>
      <c r="SXS149" s="204"/>
      <c r="SXT149" s="205"/>
      <c r="SXU149" s="206"/>
      <c r="SXV149" s="207"/>
      <c r="SXW149" s="207"/>
      <c r="SXX149" s="208"/>
      <c r="SXY149" s="209"/>
      <c r="SXZ149" s="207"/>
      <c r="SYA149" s="210"/>
      <c r="SYB149" s="209"/>
      <c r="SYC149" s="204"/>
      <c r="SYD149" s="204"/>
      <c r="SYE149" s="204"/>
      <c r="SYF149" s="199"/>
      <c r="SYG149" s="167"/>
      <c r="SYH149" s="199"/>
      <c r="SYI149" s="200"/>
      <c r="SYJ149" s="201"/>
      <c r="SYK149" s="202"/>
      <c r="SYL149" s="202"/>
      <c r="SYM149" s="202"/>
      <c r="SYN149" s="202"/>
      <c r="SYO149" s="203"/>
      <c r="SYP149" s="204"/>
      <c r="SYQ149" s="204"/>
      <c r="SYR149" s="204"/>
      <c r="SYS149" s="205"/>
      <c r="SYT149" s="206"/>
      <c r="SYU149" s="207"/>
      <c r="SYV149" s="207"/>
      <c r="SYW149" s="208"/>
      <c r="SYX149" s="209"/>
      <c r="SYY149" s="207"/>
      <c r="SYZ149" s="210"/>
      <c r="SZA149" s="209"/>
      <c r="SZB149" s="204"/>
      <c r="SZC149" s="204"/>
      <c r="SZD149" s="204"/>
      <c r="SZE149" s="199"/>
      <c r="SZF149" s="167"/>
      <c r="SZG149" s="199"/>
      <c r="SZH149" s="200"/>
      <c r="SZI149" s="201"/>
      <c r="SZJ149" s="202"/>
      <c r="SZK149" s="202"/>
      <c r="SZL149" s="202"/>
      <c r="SZM149" s="202"/>
      <c r="SZN149" s="203"/>
      <c r="SZO149" s="204"/>
      <c r="SZP149" s="204"/>
      <c r="SZQ149" s="204"/>
      <c r="SZR149" s="205"/>
      <c r="SZS149" s="206"/>
      <c r="SZT149" s="207"/>
      <c r="SZU149" s="207"/>
      <c r="SZV149" s="208"/>
      <c r="SZW149" s="209"/>
      <c r="SZX149" s="207"/>
      <c r="SZY149" s="210"/>
      <c r="SZZ149" s="209"/>
      <c r="TAA149" s="204"/>
      <c r="TAB149" s="204"/>
      <c r="TAC149" s="204"/>
      <c r="TAD149" s="199"/>
      <c r="TAE149" s="167"/>
      <c r="TAF149" s="199"/>
      <c r="TAG149" s="200"/>
      <c r="TAH149" s="201"/>
      <c r="TAI149" s="202"/>
      <c r="TAJ149" s="202"/>
      <c r="TAK149" s="202"/>
      <c r="TAL149" s="202"/>
      <c r="TAM149" s="203"/>
      <c r="TAN149" s="204"/>
      <c r="TAO149" s="204"/>
      <c r="TAP149" s="204"/>
      <c r="TAQ149" s="205"/>
      <c r="TAR149" s="206"/>
      <c r="TAS149" s="207"/>
      <c r="TAT149" s="207"/>
      <c r="TAU149" s="208"/>
      <c r="TAV149" s="209"/>
      <c r="TAW149" s="207"/>
      <c r="TAX149" s="210"/>
      <c r="TAY149" s="209"/>
      <c r="TAZ149" s="204"/>
      <c r="TBA149" s="204"/>
      <c r="TBB149" s="204"/>
      <c r="TBC149" s="199"/>
      <c r="TBD149" s="167"/>
      <c r="TBE149" s="199"/>
      <c r="TBF149" s="200"/>
      <c r="TBG149" s="201"/>
      <c r="TBH149" s="202"/>
      <c r="TBI149" s="202"/>
      <c r="TBJ149" s="202"/>
      <c r="TBK149" s="202"/>
      <c r="TBL149" s="203"/>
      <c r="TBM149" s="204"/>
      <c r="TBN149" s="204"/>
      <c r="TBO149" s="204"/>
      <c r="TBP149" s="205"/>
      <c r="TBQ149" s="206"/>
      <c r="TBR149" s="207"/>
      <c r="TBS149" s="207"/>
      <c r="TBT149" s="208"/>
      <c r="TBU149" s="209"/>
      <c r="TBV149" s="207"/>
      <c r="TBW149" s="210"/>
      <c r="TBX149" s="209"/>
      <c r="TBY149" s="204"/>
      <c r="TBZ149" s="204"/>
      <c r="TCA149" s="204"/>
      <c r="TCB149" s="199"/>
      <c r="TCC149" s="167"/>
      <c r="TCD149" s="199"/>
      <c r="TCE149" s="200"/>
      <c r="TCF149" s="201"/>
      <c r="TCG149" s="202"/>
      <c r="TCH149" s="202"/>
      <c r="TCI149" s="202"/>
      <c r="TCJ149" s="202"/>
      <c r="TCK149" s="203"/>
      <c r="TCL149" s="204"/>
      <c r="TCM149" s="204"/>
      <c r="TCN149" s="204"/>
      <c r="TCO149" s="205"/>
      <c r="TCP149" s="206"/>
      <c r="TCQ149" s="207"/>
      <c r="TCR149" s="207"/>
      <c r="TCS149" s="208"/>
      <c r="TCT149" s="209"/>
      <c r="TCU149" s="207"/>
      <c r="TCV149" s="210"/>
      <c r="TCW149" s="209"/>
      <c r="TCX149" s="204"/>
      <c r="TCY149" s="204"/>
      <c r="TCZ149" s="204"/>
      <c r="TDA149" s="199"/>
      <c r="TDB149" s="167"/>
      <c r="TDC149" s="199"/>
      <c r="TDD149" s="200"/>
      <c r="TDE149" s="201"/>
      <c r="TDF149" s="202"/>
      <c r="TDG149" s="202"/>
      <c r="TDH149" s="202"/>
      <c r="TDI149" s="202"/>
      <c r="TDJ149" s="203"/>
      <c r="TDK149" s="204"/>
      <c r="TDL149" s="204"/>
      <c r="TDM149" s="204"/>
      <c r="TDN149" s="205"/>
      <c r="TDO149" s="206"/>
      <c r="TDP149" s="207"/>
      <c r="TDQ149" s="207"/>
      <c r="TDR149" s="208"/>
      <c r="TDS149" s="209"/>
      <c r="TDT149" s="207"/>
      <c r="TDU149" s="210"/>
      <c r="TDV149" s="209"/>
      <c r="TDW149" s="204"/>
      <c r="TDX149" s="204"/>
      <c r="TDY149" s="204"/>
      <c r="TDZ149" s="199"/>
      <c r="TEA149" s="167"/>
      <c r="TEB149" s="199"/>
      <c r="TEC149" s="200"/>
      <c r="TED149" s="201"/>
      <c r="TEE149" s="202"/>
      <c r="TEF149" s="202"/>
      <c r="TEG149" s="202"/>
      <c r="TEH149" s="202"/>
      <c r="TEI149" s="203"/>
      <c r="TEJ149" s="204"/>
      <c r="TEK149" s="204"/>
      <c r="TEL149" s="204"/>
      <c r="TEM149" s="205"/>
      <c r="TEN149" s="206"/>
      <c r="TEO149" s="207"/>
      <c r="TEP149" s="207"/>
      <c r="TEQ149" s="208"/>
      <c r="TER149" s="209"/>
      <c r="TES149" s="207"/>
      <c r="TET149" s="210"/>
      <c r="TEU149" s="209"/>
      <c r="TEV149" s="204"/>
      <c r="TEW149" s="204"/>
      <c r="TEX149" s="204"/>
      <c r="TEY149" s="199"/>
      <c r="TEZ149" s="167"/>
      <c r="TFA149" s="199"/>
      <c r="TFB149" s="200"/>
      <c r="TFC149" s="201"/>
      <c r="TFD149" s="202"/>
      <c r="TFE149" s="202"/>
      <c r="TFF149" s="202"/>
      <c r="TFG149" s="202"/>
      <c r="TFH149" s="203"/>
      <c r="TFI149" s="204"/>
      <c r="TFJ149" s="204"/>
      <c r="TFK149" s="204"/>
      <c r="TFL149" s="205"/>
      <c r="TFM149" s="206"/>
      <c r="TFN149" s="207"/>
      <c r="TFO149" s="207"/>
      <c r="TFP149" s="208"/>
      <c r="TFQ149" s="209"/>
      <c r="TFR149" s="207"/>
      <c r="TFS149" s="210"/>
      <c r="TFT149" s="209"/>
      <c r="TFU149" s="204"/>
      <c r="TFV149" s="204"/>
      <c r="TFW149" s="204"/>
      <c r="TFX149" s="199"/>
      <c r="TFY149" s="167"/>
      <c r="TFZ149" s="199"/>
      <c r="TGA149" s="200"/>
      <c r="TGB149" s="201"/>
      <c r="TGC149" s="202"/>
      <c r="TGD149" s="202"/>
      <c r="TGE149" s="202"/>
      <c r="TGF149" s="202"/>
      <c r="TGG149" s="203"/>
      <c r="TGH149" s="204"/>
      <c r="TGI149" s="204"/>
      <c r="TGJ149" s="204"/>
      <c r="TGK149" s="205"/>
      <c r="TGL149" s="206"/>
      <c r="TGM149" s="207"/>
      <c r="TGN149" s="207"/>
      <c r="TGO149" s="208"/>
      <c r="TGP149" s="209"/>
      <c r="TGQ149" s="207"/>
      <c r="TGR149" s="210"/>
      <c r="TGS149" s="209"/>
      <c r="TGT149" s="204"/>
      <c r="TGU149" s="204"/>
      <c r="TGV149" s="204"/>
      <c r="TGW149" s="199"/>
      <c r="TGX149" s="167"/>
      <c r="TGY149" s="199"/>
      <c r="TGZ149" s="200"/>
      <c r="THA149" s="201"/>
      <c r="THB149" s="202"/>
      <c r="THC149" s="202"/>
      <c r="THD149" s="202"/>
      <c r="THE149" s="202"/>
      <c r="THF149" s="203"/>
      <c r="THG149" s="204"/>
      <c r="THH149" s="204"/>
      <c r="THI149" s="204"/>
      <c r="THJ149" s="205"/>
      <c r="THK149" s="206"/>
      <c r="THL149" s="207"/>
      <c r="THM149" s="207"/>
      <c r="THN149" s="208"/>
      <c r="THO149" s="209"/>
      <c r="THP149" s="207"/>
      <c r="THQ149" s="210"/>
      <c r="THR149" s="209"/>
      <c r="THS149" s="204"/>
      <c r="THT149" s="204"/>
      <c r="THU149" s="204"/>
      <c r="THV149" s="199"/>
      <c r="THW149" s="167"/>
      <c r="THX149" s="199"/>
      <c r="THY149" s="200"/>
      <c r="THZ149" s="201"/>
      <c r="TIA149" s="202"/>
      <c r="TIB149" s="202"/>
      <c r="TIC149" s="202"/>
      <c r="TID149" s="202"/>
      <c r="TIE149" s="203"/>
      <c r="TIF149" s="204"/>
      <c r="TIG149" s="204"/>
      <c r="TIH149" s="204"/>
      <c r="TII149" s="205"/>
      <c r="TIJ149" s="206"/>
      <c r="TIK149" s="207"/>
      <c r="TIL149" s="207"/>
      <c r="TIM149" s="208"/>
      <c r="TIN149" s="209"/>
      <c r="TIO149" s="207"/>
      <c r="TIP149" s="210"/>
      <c r="TIQ149" s="209"/>
      <c r="TIR149" s="204"/>
      <c r="TIS149" s="204"/>
      <c r="TIT149" s="204"/>
      <c r="TIU149" s="199"/>
      <c r="TIV149" s="167"/>
      <c r="TIW149" s="199"/>
      <c r="TIX149" s="200"/>
      <c r="TIY149" s="201"/>
      <c r="TIZ149" s="202"/>
      <c r="TJA149" s="202"/>
      <c r="TJB149" s="202"/>
      <c r="TJC149" s="202"/>
      <c r="TJD149" s="203"/>
      <c r="TJE149" s="204"/>
      <c r="TJF149" s="204"/>
      <c r="TJG149" s="204"/>
      <c r="TJH149" s="205"/>
      <c r="TJI149" s="206"/>
      <c r="TJJ149" s="207"/>
      <c r="TJK149" s="207"/>
      <c r="TJL149" s="208"/>
      <c r="TJM149" s="209"/>
      <c r="TJN149" s="207"/>
      <c r="TJO149" s="210"/>
      <c r="TJP149" s="209"/>
      <c r="TJQ149" s="204"/>
      <c r="TJR149" s="204"/>
      <c r="TJS149" s="204"/>
      <c r="TJT149" s="199"/>
      <c r="TJU149" s="167"/>
      <c r="TJV149" s="199"/>
      <c r="TJW149" s="200"/>
      <c r="TJX149" s="201"/>
      <c r="TJY149" s="202"/>
      <c r="TJZ149" s="202"/>
      <c r="TKA149" s="202"/>
      <c r="TKB149" s="202"/>
      <c r="TKC149" s="203"/>
      <c r="TKD149" s="204"/>
      <c r="TKE149" s="204"/>
      <c r="TKF149" s="204"/>
      <c r="TKG149" s="205"/>
      <c r="TKH149" s="206"/>
      <c r="TKI149" s="207"/>
      <c r="TKJ149" s="207"/>
      <c r="TKK149" s="208"/>
      <c r="TKL149" s="209"/>
      <c r="TKM149" s="207"/>
      <c r="TKN149" s="210"/>
      <c r="TKO149" s="209"/>
      <c r="TKP149" s="204"/>
      <c r="TKQ149" s="204"/>
      <c r="TKR149" s="204"/>
      <c r="TKS149" s="199"/>
      <c r="TKT149" s="167"/>
      <c r="TKU149" s="199"/>
      <c r="TKV149" s="200"/>
      <c r="TKW149" s="201"/>
      <c r="TKX149" s="202"/>
      <c r="TKY149" s="202"/>
      <c r="TKZ149" s="202"/>
      <c r="TLA149" s="202"/>
      <c r="TLB149" s="203"/>
      <c r="TLC149" s="204"/>
      <c r="TLD149" s="204"/>
      <c r="TLE149" s="204"/>
      <c r="TLF149" s="205"/>
      <c r="TLG149" s="206"/>
      <c r="TLH149" s="207"/>
      <c r="TLI149" s="207"/>
      <c r="TLJ149" s="208"/>
      <c r="TLK149" s="209"/>
      <c r="TLL149" s="207"/>
      <c r="TLM149" s="210"/>
      <c r="TLN149" s="209"/>
      <c r="TLO149" s="204"/>
      <c r="TLP149" s="204"/>
      <c r="TLQ149" s="204"/>
      <c r="TLR149" s="199"/>
      <c r="TLS149" s="167"/>
      <c r="TLT149" s="199"/>
      <c r="TLU149" s="200"/>
      <c r="TLV149" s="201"/>
      <c r="TLW149" s="202"/>
      <c r="TLX149" s="202"/>
      <c r="TLY149" s="202"/>
      <c r="TLZ149" s="202"/>
      <c r="TMA149" s="203"/>
      <c r="TMB149" s="204"/>
      <c r="TMC149" s="204"/>
      <c r="TMD149" s="204"/>
      <c r="TME149" s="205"/>
      <c r="TMF149" s="206"/>
      <c r="TMG149" s="207"/>
      <c r="TMH149" s="207"/>
      <c r="TMI149" s="208"/>
      <c r="TMJ149" s="209"/>
      <c r="TMK149" s="207"/>
      <c r="TML149" s="210"/>
      <c r="TMM149" s="209"/>
      <c r="TMN149" s="204"/>
      <c r="TMO149" s="204"/>
      <c r="TMP149" s="204"/>
      <c r="TMQ149" s="199"/>
      <c r="TMR149" s="167"/>
      <c r="TMS149" s="199"/>
      <c r="TMT149" s="200"/>
      <c r="TMU149" s="201"/>
      <c r="TMV149" s="202"/>
      <c r="TMW149" s="202"/>
      <c r="TMX149" s="202"/>
      <c r="TMY149" s="202"/>
      <c r="TMZ149" s="203"/>
      <c r="TNA149" s="204"/>
      <c r="TNB149" s="204"/>
      <c r="TNC149" s="204"/>
      <c r="TND149" s="205"/>
      <c r="TNE149" s="206"/>
      <c r="TNF149" s="207"/>
      <c r="TNG149" s="207"/>
      <c r="TNH149" s="208"/>
      <c r="TNI149" s="209"/>
      <c r="TNJ149" s="207"/>
      <c r="TNK149" s="210"/>
      <c r="TNL149" s="209"/>
      <c r="TNM149" s="204"/>
      <c r="TNN149" s="204"/>
      <c r="TNO149" s="204"/>
      <c r="TNP149" s="199"/>
      <c r="TNQ149" s="167"/>
      <c r="TNR149" s="199"/>
      <c r="TNS149" s="200"/>
      <c r="TNT149" s="201"/>
      <c r="TNU149" s="202"/>
      <c r="TNV149" s="202"/>
      <c r="TNW149" s="202"/>
      <c r="TNX149" s="202"/>
      <c r="TNY149" s="203"/>
      <c r="TNZ149" s="204"/>
      <c r="TOA149" s="204"/>
      <c r="TOB149" s="204"/>
      <c r="TOC149" s="205"/>
      <c r="TOD149" s="206"/>
      <c r="TOE149" s="207"/>
      <c r="TOF149" s="207"/>
      <c r="TOG149" s="208"/>
      <c r="TOH149" s="209"/>
      <c r="TOI149" s="207"/>
      <c r="TOJ149" s="210"/>
      <c r="TOK149" s="209"/>
      <c r="TOL149" s="204"/>
      <c r="TOM149" s="204"/>
      <c r="TON149" s="204"/>
      <c r="TOO149" s="199"/>
      <c r="TOP149" s="167"/>
      <c r="TOQ149" s="199"/>
      <c r="TOR149" s="200"/>
      <c r="TOS149" s="201"/>
      <c r="TOT149" s="202"/>
      <c r="TOU149" s="202"/>
      <c r="TOV149" s="202"/>
      <c r="TOW149" s="202"/>
      <c r="TOX149" s="203"/>
      <c r="TOY149" s="204"/>
      <c r="TOZ149" s="204"/>
      <c r="TPA149" s="204"/>
      <c r="TPB149" s="205"/>
      <c r="TPC149" s="206"/>
      <c r="TPD149" s="207"/>
      <c r="TPE149" s="207"/>
      <c r="TPF149" s="208"/>
      <c r="TPG149" s="209"/>
      <c r="TPH149" s="207"/>
      <c r="TPI149" s="210"/>
      <c r="TPJ149" s="209"/>
      <c r="TPK149" s="204"/>
      <c r="TPL149" s="204"/>
      <c r="TPM149" s="204"/>
      <c r="TPN149" s="199"/>
      <c r="TPO149" s="167"/>
      <c r="TPP149" s="199"/>
      <c r="TPQ149" s="200"/>
      <c r="TPR149" s="201"/>
      <c r="TPS149" s="202"/>
      <c r="TPT149" s="202"/>
      <c r="TPU149" s="202"/>
      <c r="TPV149" s="202"/>
      <c r="TPW149" s="203"/>
      <c r="TPX149" s="204"/>
      <c r="TPY149" s="204"/>
      <c r="TPZ149" s="204"/>
      <c r="TQA149" s="205"/>
      <c r="TQB149" s="206"/>
      <c r="TQC149" s="207"/>
      <c r="TQD149" s="207"/>
      <c r="TQE149" s="208"/>
      <c r="TQF149" s="209"/>
      <c r="TQG149" s="207"/>
      <c r="TQH149" s="210"/>
      <c r="TQI149" s="209"/>
      <c r="TQJ149" s="204"/>
      <c r="TQK149" s="204"/>
      <c r="TQL149" s="204"/>
      <c r="TQM149" s="199"/>
      <c r="TQN149" s="167"/>
      <c r="TQO149" s="199"/>
      <c r="TQP149" s="200"/>
      <c r="TQQ149" s="201"/>
      <c r="TQR149" s="202"/>
      <c r="TQS149" s="202"/>
      <c r="TQT149" s="202"/>
      <c r="TQU149" s="202"/>
      <c r="TQV149" s="203"/>
      <c r="TQW149" s="204"/>
      <c r="TQX149" s="204"/>
      <c r="TQY149" s="204"/>
      <c r="TQZ149" s="205"/>
      <c r="TRA149" s="206"/>
      <c r="TRB149" s="207"/>
      <c r="TRC149" s="207"/>
      <c r="TRD149" s="208"/>
      <c r="TRE149" s="209"/>
      <c r="TRF149" s="207"/>
      <c r="TRG149" s="210"/>
      <c r="TRH149" s="209"/>
      <c r="TRI149" s="204"/>
      <c r="TRJ149" s="204"/>
      <c r="TRK149" s="204"/>
      <c r="TRL149" s="199"/>
      <c r="TRM149" s="167"/>
      <c r="TRN149" s="199"/>
      <c r="TRO149" s="200"/>
      <c r="TRP149" s="201"/>
      <c r="TRQ149" s="202"/>
      <c r="TRR149" s="202"/>
      <c r="TRS149" s="202"/>
      <c r="TRT149" s="202"/>
      <c r="TRU149" s="203"/>
      <c r="TRV149" s="204"/>
      <c r="TRW149" s="204"/>
      <c r="TRX149" s="204"/>
      <c r="TRY149" s="205"/>
      <c r="TRZ149" s="206"/>
      <c r="TSA149" s="207"/>
      <c r="TSB149" s="207"/>
      <c r="TSC149" s="208"/>
      <c r="TSD149" s="209"/>
      <c r="TSE149" s="207"/>
      <c r="TSF149" s="210"/>
      <c r="TSG149" s="209"/>
      <c r="TSH149" s="204"/>
      <c r="TSI149" s="204"/>
      <c r="TSJ149" s="204"/>
      <c r="TSK149" s="199"/>
      <c r="TSL149" s="167"/>
      <c r="TSM149" s="199"/>
      <c r="TSN149" s="200"/>
      <c r="TSO149" s="201"/>
      <c r="TSP149" s="202"/>
      <c r="TSQ149" s="202"/>
      <c r="TSR149" s="202"/>
      <c r="TSS149" s="202"/>
      <c r="TST149" s="203"/>
      <c r="TSU149" s="204"/>
      <c r="TSV149" s="204"/>
      <c r="TSW149" s="204"/>
      <c r="TSX149" s="205"/>
      <c r="TSY149" s="206"/>
      <c r="TSZ149" s="207"/>
      <c r="TTA149" s="207"/>
      <c r="TTB149" s="208"/>
      <c r="TTC149" s="209"/>
      <c r="TTD149" s="207"/>
      <c r="TTE149" s="210"/>
      <c r="TTF149" s="209"/>
      <c r="TTG149" s="204"/>
      <c r="TTH149" s="204"/>
      <c r="TTI149" s="204"/>
      <c r="TTJ149" s="199"/>
      <c r="TTK149" s="167"/>
      <c r="TTL149" s="199"/>
      <c r="TTM149" s="200"/>
      <c r="TTN149" s="201"/>
      <c r="TTO149" s="202"/>
      <c r="TTP149" s="202"/>
      <c r="TTQ149" s="202"/>
      <c r="TTR149" s="202"/>
      <c r="TTS149" s="203"/>
      <c r="TTT149" s="204"/>
      <c r="TTU149" s="204"/>
      <c r="TTV149" s="204"/>
      <c r="TTW149" s="205"/>
      <c r="TTX149" s="206"/>
      <c r="TTY149" s="207"/>
      <c r="TTZ149" s="207"/>
      <c r="TUA149" s="208"/>
      <c r="TUB149" s="209"/>
      <c r="TUC149" s="207"/>
      <c r="TUD149" s="210"/>
      <c r="TUE149" s="209"/>
      <c r="TUF149" s="204"/>
      <c r="TUG149" s="204"/>
      <c r="TUH149" s="204"/>
      <c r="TUI149" s="199"/>
      <c r="TUJ149" s="167"/>
      <c r="TUK149" s="199"/>
      <c r="TUL149" s="200"/>
      <c r="TUM149" s="201"/>
      <c r="TUN149" s="202"/>
      <c r="TUO149" s="202"/>
      <c r="TUP149" s="202"/>
      <c r="TUQ149" s="202"/>
      <c r="TUR149" s="203"/>
      <c r="TUS149" s="204"/>
      <c r="TUT149" s="204"/>
      <c r="TUU149" s="204"/>
      <c r="TUV149" s="205"/>
      <c r="TUW149" s="206"/>
      <c r="TUX149" s="207"/>
      <c r="TUY149" s="207"/>
      <c r="TUZ149" s="208"/>
      <c r="TVA149" s="209"/>
      <c r="TVB149" s="207"/>
      <c r="TVC149" s="210"/>
      <c r="TVD149" s="209"/>
      <c r="TVE149" s="204"/>
      <c r="TVF149" s="204"/>
      <c r="TVG149" s="204"/>
      <c r="TVH149" s="199"/>
      <c r="TVI149" s="167"/>
      <c r="TVJ149" s="199"/>
      <c r="TVK149" s="200"/>
      <c r="TVL149" s="201"/>
      <c r="TVM149" s="202"/>
      <c r="TVN149" s="202"/>
      <c r="TVO149" s="202"/>
      <c r="TVP149" s="202"/>
      <c r="TVQ149" s="203"/>
      <c r="TVR149" s="204"/>
      <c r="TVS149" s="204"/>
      <c r="TVT149" s="204"/>
      <c r="TVU149" s="205"/>
      <c r="TVV149" s="206"/>
      <c r="TVW149" s="207"/>
      <c r="TVX149" s="207"/>
      <c r="TVY149" s="208"/>
      <c r="TVZ149" s="209"/>
      <c r="TWA149" s="207"/>
      <c r="TWB149" s="210"/>
      <c r="TWC149" s="209"/>
      <c r="TWD149" s="204"/>
      <c r="TWE149" s="204"/>
      <c r="TWF149" s="204"/>
      <c r="TWG149" s="199"/>
      <c r="TWH149" s="167"/>
      <c r="TWI149" s="199"/>
      <c r="TWJ149" s="200"/>
      <c r="TWK149" s="201"/>
      <c r="TWL149" s="202"/>
      <c r="TWM149" s="202"/>
      <c r="TWN149" s="202"/>
      <c r="TWO149" s="202"/>
      <c r="TWP149" s="203"/>
      <c r="TWQ149" s="204"/>
      <c r="TWR149" s="204"/>
      <c r="TWS149" s="204"/>
      <c r="TWT149" s="205"/>
      <c r="TWU149" s="206"/>
      <c r="TWV149" s="207"/>
      <c r="TWW149" s="207"/>
      <c r="TWX149" s="208"/>
      <c r="TWY149" s="209"/>
      <c r="TWZ149" s="207"/>
      <c r="TXA149" s="210"/>
      <c r="TXB149" s="209"/>
      <c r="TXC149" s="204"/>
      <c r="TXD149" s="204"/>
      <c r="TXE149" s="204"/>
      <c r="TXF149" s="199"/>
      <c r="TXG149" s="167"/>
      <c r="TXH149" s="199"/>
      <c r="TXI149" s="200"/>
      <c r="TXJ149" s="201"/>
      <c r="TXK149" s="202"/>
      <c r="TXL149" s="202"/>
      <c r="TXM149" s="202"/>
      <c r="TXN149" s="202"/>
      <c r="TXO149" s="203"/>
      <c r="TXP149" s="204"/>
      <c r="TXQ149" s="204"/>
      <c r="TXR149" s="204"/>
      <c r="TXS149" s="205"/>
      <c r="TXT149" s="206"/>
      <c r="TXU149" s="207"/>
      <c r="TXV149" s="207"/>
      <c r="TXW149" s="208"/>
      <c r="TXX149" s="209"/>
      <c r="TXY149" s="207"/>
      <c r="TXZ149" s="210"/>
      <c r="TYA149" s="209"/>
      <c r="TYB149" s="204"/>
      <c r="TYC149" s="204"/>
      <c r="TYD149" s="204"/>
      <c r="TYE149" s="199"/>
      <c r="TYF149" s="167"/>
      <c r="TYG149" s="199"/>
      <c r="TYH149" s="200"/>
      <c r="TYI149" s="201"/>
      <c r="TYJ149" s="202"/>
      <c r="TYK149" s="202"/>
      <c r="TYL149" s="202"/>
      <c r="TYM149" s="202"/>
      <c r="TYN149" s="203"/>
      <c r="TYO149" s="204"/>
      <c r="TYP149" s="204"/>
      <c r="TYQ149" s="204"/>
      <c r="TYR149" s="205"/>
      <c r="TYS149" s="206"/>
      <c r="TYT149" s="207"/>
      <c r="TYU149" s="207"/>
      <c r="TYV149" s="208"/>
      <c r="TYW149" s="209"/>
      <c r="TYX149" s="207"/>
      <c r="TYY149" s="210"/>
      <c r="TYZ149" s="209"/>
      <c r="TZA149" s="204"/>
      <c r="TZB149" s="204"/>
      <c r="TZC149" s="204"/>
      <c r="TZD149" s="199"/>
      <c r="TZE149" s="167"/>
      <c r="TZF149" s="199"/>
      <c r="TZG149" s="200"/>
      <c r="TZH149" s="201"/>
      <c r="TZI149" s="202"/>
      <c r="TZJ149" s="202"/>
      <c r="TZK149" s="202"/>
      <c r="TZL149" s="202"/>
      <c r="TZM149" s="203"/>
      <c r="TZN149" s="204"/>
      <c r="TZO149" s="204"/>
      <c r="TZP149" s="204"/>
      <c r="TZQ149" s="205"/>
      <c r="TZR149" s="206"/>
      <c r="TZS149" s="207"/>
      <c r="TZT149" s="207"/>
      <c r="TZU149" s="208"/>
      <c r="TZV149" s="209"/>
      <c r="TZW149" s="207"/>
      <c r="TZX149" s="210"/>
      <c r="TZY149" s="209"/>
      <c r="TZZ149" s="204"/>
      <c r="UAA149" s="204"/>
      <c r="UAB149" s="204"/>
      <c r="UAC149" s="199"/>
      <c r="UAD149" s="167"/>
      <c r="UAE149" s="199"/>
      <c r="UAF149" s="200"/>
      <c r="UAG149" s="201"/>
      <c r="UAH149" s="202"/>
      <c r="UAI149" s="202"/>
      <c r="UAJ149" s="202"/>
      <c r="UAK149" s="202"/>
      <c r="UAL149" s="203"/>
      <c r="UAM149" s="204"/>
      <c r="UAN149" s="204"/>
      <c r="UAO149" s="204"/>
      <c r="UAP149" s="205"/>
      <c r="UAQ149" s="206"/>
      <c r="UAR149" s="207"/>
      <c r="UAS149" s="207"/>
      <c r="UAT149" s="208"/>
      <c r="UAU149" s="209"/>
      <c r="UAV149" s="207"/>
      <c r="UAW149" s="210"/>
      <c r="UAX149" s="209"/>
      <c r="UAY149" s="204"/>
      <c r="UAZ149" s="204"/>
      <c r="UBA149" s="204"/>
      <c r="UBB149" s="199"/>
      <c r="UBC149" s="167"/>
      <c r="UBD149" s="199"/>
      <c r="UBE149" s="200"/>
      <c r="UBF149" s="201"/>
      <c r="UBG149" s="202"/>
      <c r="UBH149" s="202"/>
      <c r="UBI149" s="202"/>
      <c r="UBJ149" s="202"/>
      <c r="UBK149" s="203"/>
      <c r="UBL149" s="204"/>
      <c r="UBM149" s="204"/>
      <c r="UBN149" s="204"/>
      <c r="UBO149" s="205"/>
      <c r="UBP149" s="206"/>
      <c r="UBQ149" s="207"/>
      <c r="UBR149" s="207"/>
      <c r="UBS149" s="208"/>
      <c r="UBT149" s="209"/>
      <c r="UBU149" s="207"/>
      <c r="UBV149" s="210"/>
      <c r="UBW149" s="209"/>
      <c r="UBX149" s="204"/>
      <c r="UBY149" s="204"/>
      <c r="UBZ149" s="204"/>
      <c r="UCA149" s="199"/>
      <c r="UCB149" s="167"/>
      <c r="UCC149" s="199"/>
      <c r="UCD149" s="200"/>
      <c r="UCE149" s="201"/>
      <c r="UCF149" s="202"/>
      <c r="UCG149" s="202"/>
      <c r="UCH149" s="202"/>
      <c r="UCI149" s="202"/>
      <c r="UCJ149" s="203"/>
      <c r="UCK149" s="204"/>
      <c r="UCL149" s="204"/>
      <c r="UCM149" s="204"/>
      <c r="UCN149" s="205"/>
      <c r="UCO149" s="206"/>
      <c r="UCP149" s="207"/>
      <c r="UCQ149" s="207"/>
      <c r="UCR149" s="208"/>
      <c r="UCS149" s="209"/>
      <c r="UCT149" s="207"/>
      <c r="UCU149" s="210"/>
      <c r="UCV149" s="209"/>
      <c r="UCW149" s="204"/>
      <c r="UCX149" s="204"/>
      <c r="UCY149" s="204"/>
      <c r="UCZ149" s="199"/>
      <c r="UDA149" s="167"/>
      <c r="UDB149" s="199"/>
      <c r="UDC149" s="200"/>
      <c r="UDD149" s="201"/>
      <c r="UDE149" s="202"/>
      <c r="UDF149" s="202"/>
      <c r="UDG149" s="202"/>
      <c r="UDH149" s="202"/>
      <c r="UDI149" s="203"/>
      <c r="UDJ149" s="204"/>
      <c r="UDK149" s="204"/>
      <c r="UDL149" s="204"/>
      <c r="UDM149" s="205"/>
      <c r="UDN149" s="206"/>
      <c r="UDO149" s="207"/>
      <c r="UDP149" s="207"/>
      <c r="UDQ149" s="208"/>
      <c r="UDR149" s="209"/>
      <c r="UDS149" s="207"/>
      <c r="UDT149" s="210"/>
      <c r="UDU149" s="209"/>
      <c r="UDV149" s="204"/>
      <c r="UDW149" s="204"/>
      <c r="UDX149" s="204"/>
      <c r="UDY149" s="199"/>
      <c r="UDZ149" s="167"/>
      <c r="UEA149" s="199"/>
      <c r="UEB149" s="200"/>
      <c r="UEC149" s="201"/>
      <c r="UED149" s="202"/>
      <c r="UEE149" s="202"/>
      <c r="UEF149" s="202"/>
      <c r="UEG149" s="202"/>
      <c r="UEH149" s="203"/>
      <c r="UEI149" s="204"/>
      <c r="UEJ149" s="204"/>
      <c r="UEK149" s="204"/>
      <c r="UEL149" s="205"/>
      <c r="UEM149" s="206"/>
      <c r="UEN149" s="207"/>
      <c r="UEO149" s="207"/>
      <c r="UEP149" s="208"/>
      <c r="UEQ149" s="209"/>
      <c r="UER149" s="207"/>
      <c r="UES149" s="210"/>
      <c r="UET149" s="209"/>
      <c r="UEU149" s="204"/>
      <c r="UEV149" s="204"/>
      <c r="UEW149" s="204"/>
      <c r="UEX149" s="199"/>
      <c r="UEY149" s="167"/>
      <c r="UEZ149" s="199"/>
      <c r="UFA149" s="200"/>
      <c r="UFB149" s="201"/>
      <c r="UFC149" s="202"/>
      <c r="UFD149" s="202"/>
      <c r="UFE149" s="202"/>
      <c r="UFF149" s="202"/>
      <c r="UFG149" s="203"/>
      <c r="UFH149" s="204"/>
      <c r="UFI149" s="204"/>
      <c r="UFJ149" s="204"/>
      <c r="UFK149" s="205"/>
      <c r="UFL149" s="206"/>
      <c r="UFM149" s="207"/>
      <c r="UFN149" s="207"/>
      <c r="UFO149" s="208"/>
      <c r="UFP149" s="209"/>
      <c r="UFQ149" s="207"/>
      <c r="UFR149" s="210"/>
      <c r="UFS149" s="209"/>
      <c r="UFT149" s="204"/>
      <c r="UFU149" s="204"/>
      <c r="UFV149" s="204"/>
      <c r="UFW149" s="199"/>
      <c r="UFX149" s="167"/>
      <c r="UFY149" s="199"/>
      <c r="UFZ149" s="200"/>
      <c r="UGA149" s="201"/>
      <c r="UGB149" s="202"/>
      <c r="UGC149" s="202"/>
      <c r="UGD149" s="202"/>
      <c r="UGE149" s="202"/>
      <c r="UGF149" s="203"/>
      <c r="UGG149" s="204"/>
      <c r="UGH149" s="204"/>
      <c r="UGI149" s="204"/>
      <c r="UGJ149" s="205"/>
      <c r="UGK149" s="206"/>
      <c r="UGL149" s="207"/>
      <c r="UGM149" s="207"/>
      <c r="UGN149" s="208"/>
      <c r="UGO149" s="209"/>
      <c r="UGP149" s="207"/>
      <c r="UGQ149" s="210"/>
      <c r="UGR149" s="209"/>
      <c r="UGS149" s="204"/>
      <c r="UGT149" s="204"/>
      <c r="UGU149" s="204"/>
      <c r="UGV149" s="199"/>
      <c r="UGW149" s="167"/>
      <c r="UGX149" s="199"/>
      <c r="UGY149" s="200"/>
      <c r="UGZ149" s="201"/>
      <c r="UHA149" s="202"/>
      <c r="UHB149" s="202"/>
      <c r="UHC149" s="202"/>
      <c r="UHD149" s="202"/>
      <c r="UHE149" s="203"/>
      <c r="UHF149" s="204"/>
      <c r="UHG149" s="204"/>
      <c r="UHH149" s="204"/>
      <c r="UHI149" s="205"/>
      <c r="UHJ149" s="206"/>
      <c r="UHK149" s="207"/>
      <c r="UHL149" s="207"/>
      <c r="UHM149" s="208"/>
      <c r="UHN149" s="209"/>
      <c r="UHO149" s="207"/>
      <c r="UHP149" s="210"/>
      <c r="UHQ149" s="209"/>
      <c r="UHR149" s="204"/>
      <c r="UHS149" s="204"/>
      <c r="UHT149" s="204"/>
      <c r="UHU149" s="199"/>
      <c r="UHV149" s="167"/>
      <c r="UHW149" s="199"/>
      <c r="UHX149" s="200"/>
      <c r="UHY149" s="201"/>
      <c r="UHZ149" s="202"/>
      <c r="UIA149" s="202"/>
      <c r="UIB149" s="202"/>
      <c r="UIC149" s="202"/>
      <c r="UID149" s="203"/>
      <c r="UIE149" s="204"/>
      <c r="UIF149" s="204"/>
      <c r="UIG149" s="204"/>
      <c r="UIH149" s="205"/>
      <c r="UII149" s="206"/>
      <c r="UIJ149" s="207"/>
      <c r="UIK149" s="207"/>
      <c r="UIL149" s="208"/>
      <c r="UIM149" s="209"/>
      <c r="UIN149" s="207"/>
      <c r="UIO149" s="210"/>
      <c r="UIP149" s="209"/>
      <c r="UIQ149" s="204"/>
      <c r="UIR149" s="204"/>
      <c r="UIS149" s="204"/>
      <c r="UIT149" s="199"/>
      <c r="UIU149" s="167"/>
      <c r="UIV149" s="199"/>
      <c r="UIW149" s="200"/>
      <c r="UIX149" s="201"/>
      <c r="UIY149" s="202"/>
      <c r="UIZ149" s="202"/>
      <c r="UJA149" s="202"/>
      <c r="UJB149" s="202"/>
      <c r="UJC149" s="203"/>
      <c r="UJD149" s="204"/>
      <c r="UJE149" s="204"/>
      <c r="UJF149" s="204"/>
      <c r="UJG149" s="205"/>
      <c r="UJH149" s="206"/>
      <c r="UJI149" s="207"/>
      <c r="UJJ149" s="207"/>
      <c r="UJK149" s="208"/>
      <c r="UJL149" s="209"/>
      <c r="UJM149" s="207"/>
      <c r="UJN149" s="210"/>
      <c r="UJO149" s="209"/>
      <c r="UJP149" s="204"/>
      <c r="UJQ149" s="204"/>
      <c r="UJR149" s="204"/>
      <c r="UJS149" s="199"/>
      <c r="UJT149" s="167"/>
      <c r="UJU149" s="199"/>
      <c r="UJV149" s="200"/>
      <c r="UJW149" s="201"/>
      <c r="UJX149" s="202"/>
      <c r="UJY149" s="202"/>
      <c r="UJZ149" s="202"/>
      <c r="UKA149" s="202"/>
      <c r="UKB149" s="203"/>
      <c r="UKC149" s="204"/>
      <c r="UKD149" s="204"/>
      <c r="UKE149" s="204"/>
      <c r="UKF149" s="205"/>
      <c r="UKG149" s="206"/>
      <c r="UKH149" s="207"/>
      <c r="UKI149" s="207"/>
      <c r="UKJ149" s="208"/>
      <c r="UKK149" s="209"/>
      <c r="UKL149" s="207"/>
      <c r="UKM149" s="210"/>
      <c r="UKN149" s="209"/>
      <c r="UKO149" s="204"/>
      <c r="UKP149" s="204"/>
      <c r="UKQ149" s="204"/>
      <c r="UKR149" s="199"/>
      <c r="UKS149" s="167"/>
      <c r="UKT149" s="199"/>
      <c r="UKU149" s="200"/>
      <c r="UKV149" s="201"/>
      <c r="UKW149" s="202"/>
      <c r="UKX149" s="202"/>
      <c r="UKY149" s="202"/>
      <c r="UKZ149" s="202"/>
      <c r="ULA149" s="203"/>
      <c r="ULB149" s="204"/>
      <c r="ULC149" s="204"/>
      <c r="ULD149" s="204"/>
      <c r="ULE149" s="205"/>
      <c r="ULF149" s="206"/>
      <c r="ULG149" s="207"/>
      <c r="ULH149" s="207"/>
      <c r="ULI149" s="208"/>
      <c r="ULJ149" s="209"/>
      <c r="ULK149" s="207"/>
      <c r="ULL149" s="210"/>
      <c r="ULM149" s="209"/>
      <c r="ULN149" s="204"/>
      <c r="ULO149" s="204"/>
      <c r="ULP149" s="204"/>
      <c r="ULQ149" s="199"/>
      <c r="ULR149" s="167"/>
      <c r="ULS149" s="199"/>
      <c r="ULT149" s="200"/>
      <c r="ULU149" s="201"/>
      <c r="ULV149" s="202"/>
      <c r="ULW149" s="202"/>
      <c r="ULX149" s="202"/>
      <c r="ULY149" s="202"/>
      <c r="ULZ149" s="203"/>
      <c r="UMA149" s="204"/>
      <c r="UMB149" s="204"/>
      <c r="UMC149" s="204"/>
      <c r="UMD149" s="205"/>
      <c r="UME149" s="206"/>
      <c r="UMF149" s="207"/>
      <c r="UMG149" s="207"/>
      <c r="UMH149" s="208"/>
      <c r="UMI149" s="209"/>
      <c r="UMJ149" s="207"/>
      <c r="UMK149" s="210"/>
      <c r="UML149" s="209"/>
      <c r="UMM149" s="204"/>
      <c r="UMN149" s="204"/>
      <c r="UMO149" s="204"/>
      <c r="UMP149" s="199"/>
      <c r="UMQ149" s="167"/>
      <c r="UMR149" s="199"/>
      <c r="UMS149" s="200"/>
      <c r="UMT149" s="201"/>
      <c r="UMU149" s="202"/>
      <c r="UMV149" s="202"/>
      <c r="UMW149" s="202"/>
      <c r="UMX149" s="202"/>
      <c r="UMY149" s="203"/>
      <c r="UMZ149" s="204"/>
      <c r="UNA149" s="204"/>
      <c r="UNB149" s="204"/>
      <c r="UNC149" s="205"/>
      <c r="UND149" s="206"/>
      <c r="UNE149" s="207"/>
      <c r="UNF149" s="207"/>
      <c r="UNG149" s="208"/>
      <c r="UNH149" s="209"/>
      <c r="UNI149" s="207"/>
      <c r="UNJ149" s="210"/>
      <c r="UNK149" s="209"/>
      <c r="UNL149" s="204"/>
      <c r="UNM149" s="204"/>
      <c r="UNN149" s="204"/>
      <c r="UNO149" s="199"/>
      <c r="UNP149" s="167"/>
      <c r="UNQ149" s="199"/>
      <c r="UNR149" s="200"/>
      <c r="UNS149" s="201"/>
      <c r="UNT149" s="202"/>
      <c r="UNU149" s="202"/>
      <c r="UNV149" s="202"/>
      <c r="UNW149" s="202"/>
      <c r="UNX149" s="203"/>
      <c r="UNY149" s="204"/>
      <c r="UNZ149" s="204"/>
      <c r="UOA149" s="204"/>
      <c r="UOB149" s="205"/>
      <c r="UOC149" s="206"/>
      <c r="UOD149" s="207"/>
      <c r="UOE149" s="207"/>
      <c r="UOF149" s="208"/>
      <c r="UOG149" s="209"/>
      <c r="UOH149" s="207"/>
      <c r="UOI149" s="210"/>
      <c r="UOJ149" s="209"/>
      <c r="UOK149" s="204"/>
      <c r="UOL149" s="204"/>
      <c r="UOM149" s="204"/>
      <c r="UON149" s="199"/>
      <c r="UOO149" s="167"/>
      <c r="UOP149" s="199"/>
      <c r="UOQ149" s="200"/>
      <c r="UOR149" s="201"/>
      <c r="UOS149" s="202"/>
      <c r="UOT149" s="202"/>
      <c r="UOU149" s="202"/>
      <c r="UOV149" s="202"/>
      <c r="UOW149" s="203"/>
      <c r="UOX149" s="204"/>
      <c r="UOY149" s="204"/>
      <c r="UOZ149" s="204"/>
      <c r="UPA149" s="205"/>
      <c r="UPB149" s="206"/>
      <c r="UPC149" s="207"/>
      <c r="UPD149" s="207"/>
      <c r="UPE149" s="208"/>
      <c r="UPF149" s="209"/>
      <c r="UPG149" s="207"/>
      <c r="UPH149" s="210"/>
      <c r="UPI149" s="209"/>
      <c r="UPJ149" s="204"/>
      <c r="UPK149" s="204"/>
      <c r="UPL149" s="204"/>
      <c r="UPM149" s="199"/>
      <c r="UPN149" s="167"/>
      <c r="UPO149" s="199"/>
      <c r="UPP149" s="200"/>
      <c r="UPQ149" s="201"/>
      <c r="UPR149" s="202"/>
      <c r="UPS149" s="202"/>
      <c r="UPT149" s="202"/>
      <c r="UPU149" s="202"/>
      <c r="UPV149" s="203"/>
      <c r="UPW149" s="204"/>
      <c r="UPX149" s="204"/>
      <c r="UPY149" s="204"/>
      <c r="UPZ149" s="205"/>
      <c r="UQA149" s="206"/>
      <c r="UQB149" s="207"/>
      <c r="UQC149" s="207"/>
      <c r="UQD149" s="208"/>
      <c r="UQE149" s="209"/>
      <c r="UQF149" s="207"/>
      <c r="UQG149" s="210"/>
      <c r="UQH149" s="209"/>
      <c r="UQI149" s="204"/>
      <c r="UQJ149" s="204"/>
      <c r="UQK149" s="204"/>
      <c r="UQL149" s="199"/>
      <c r="UQM149" s="167"/>
      <c r="UQN149" s="199"/>
      <c r="UQO149" s="200"/>
      <c r="UQP149" s="201"/>
      <c r="UQQ149" s="202"/>
      <c r="UQR149" s="202"/>
      <c r="UQS149" s="202"/>
      <c r="UQT149" s="202"/>
      <c r="UQU149" s="203"/>
      <c r="UQV149" s="204"/>
      <c r="UQW149" s="204"/>
      <c r="UQX149" s="204"/>
      <c r="UQY149" s="205"/>
      <c r="UQZ149" s="206"/>
      <c r="URA149" s="207"/>
      <c r="URB149" s="207"/>
      <c r="URC149" s="208"/>
      <c r="URD149" s="209"/>
      <c r="URE149" s="207"/>
      <c r="URF149" s="210"/>
      <c r="URG149" s="209"/>
      <c r="URH149" s="204"/>
      <c r="URI149" s="204"/>
      <c r="URJ149" s="204"/>
      <c r="URK149" s="199"/>
      <c r="URL149" s="167"/>
      <c r="URM149" s="199"/>
      <c r="URN149" s="200"/>
      <c r="URO149" s="201"/>
      <c r="URP149" s="202"/>
      <c r="URQ149" s="202"/>
      <c r="URR149" s="202"/>
      <c r="URS149" s="202"/>
      <c r="URT149" s="203"/>
      <c r="URU149" s="204"/>
      <c r="URV149" s="204"/>
      <c r="URW149" s="204"/>
      <c r="URX149" s="205"/>
      <c r="URY149" s="206"/>
      <c r="URZ149" s="207"/>
      <c r="USA149" s="207"/>
      <c r="USB149" s="208"/>
      <c r="USC149" s="209"/>
      <c r="USD149" s="207"/>
      <c r="USE149" s="210"/>
      <c r="USF149" s="209"/>
      <c r="USG149" s="204"/>
      <c r="USH149" s="204"/>
      <c r="USI149" s="204"/>
      <c r="USJ149" s="199"/>
      <c r="USK149" s="167"/>
      <c r="USL149" s="199"/>
      <c r="USM149" s="200"/>
      <c r="USN149" s="201"/>
      <c r="USO149" s="202"/>
      <c r="USP149" s="202"/>
      <c r="USQ149" s="202"/>
      <c r="USR149" s="202"/>
      <c r="USS149" s="203"/>
      <c r="UST149" s="204"/>
      <c r="USU149" s="204"/>
      <c r="USV149" s="204"/>
      <c r="USW149" s="205"/>
      <c r="USX149" s="206"/>
      <c r="USY149" s="207"/>
      <c r="USZ149" s="207"/>
      <c r="UTA149" s="208"/>
      <c r="UTB149" s="209"/>
      <c r="UTC149" s="207"/>
      <c r="UTD149" s="210"/>
      <c r="UTE149" s="209"/>
      <c r="UTF149" s="204"/>
      <c r="UTG149" s="204"/>
      <c r="UTH149" s="204"/>
      <c r="UTI149" s="199"/>
      <c r="UTJ149" s="167"/>
      <c r="UTK149" s="199"/>
      <c r="UTL149" s="200"/>
      <c r="UTM149" s="201"/>
      <c r="UTN149" s="202"/>
      <c r="UTO149" s="202"/>
      <c r="UTP149" s="202"/>
      <c r="UTQ149" s="202"/>
      <c r="UTR149" s="203"/>
      <c r="UTS149" s="204"/>
      <c r="UTT149" s="204"/>
      <c r="UTU149" s="204"/>
      <c r="UTV149" s="205"/>
      <c r="UTW149" s="206"/>
      <c r="UTX149" s="207"/>
      <c r="UTY149" s="207"/>
      <c r="UTZ149" s="208"/>
      <c r="UUA149" s="209"/>
      <c r="UUB149" s="207"/>
      <c r="UUC149" s="210"/>
      <c r="UUD149" s="209"/>
      <c r="UUE149" s="204"/>
      <c r="UUF149" s="204"/>
      <c r="UUG149" s="204"/>
      <c r="UUH149" s="199"/>
      <c r="UUI149" s="167"/>
      <c r="UUJ149" s="199"/>
      <c r="UUK149" s="200"/>
      <c r="UUL149" s="201"/>
      <c r="UUM149" s="202"/>
      <c r="UUN149" s="202"/>
      <c r="UUO149" s="202"/>
      <c r="UUP149" s="202"/>
      <c r="UUQ149" s="203"/>
      <c r="UUR149" s="204"/>
      <c r="UUS149" s="204"/>
      <c r="UUT149" s="204"/>
      <c r="UUU149" s="205"/>
      <c r="UUV149" s="206"/>
      <c r="UUW149" s="207"/>
      <c r="UUX149" s="207"/>
      <c r="UUY149" s="208"/>
      <c r="UUZ149" s="209"/>
      <c r="UVA149" s="207"/>
      <c r="UVB149" s="210"/>
      <c r="UVC149" s="209"/>
      <c r="UVD149" s="204"/>
      <c r="UVE149" s="204"/>
      <c r="UVF149" s="204"/>
      <c r="UVG149" s="199"/>
      <c r="UVH149" s="167"/>
      <c r="UVI149" s="199"/>
      <c r="UVJ149" s="200"/>
      <c r="UVK149" s="201"/>
      <c r="UVL149" s="202"/>
      <c r="UVM149" s="202"/>
      <c r="UVN149" s="202"/>
      <c r="UVO149" s="202"/>
      <c r="UVP149" s="203"/>
      <c r="UVQ149" s="204"/>
      <c r="UVR149" s="204"/>
      <c r="UVS149" s="204"/>
      <c r="UVT149" s="205"/>
      <c r="UVU149" s="206"/>
      <c r="UVV149" s="207"/>
      <c r="UVW149" s="207"/>
      <c r="UVX149" s="208"/>
      <c r="UVY149" s="209"/>
      <c r="UVZ149" s="207"/>
      <c r="UWA149" s="210"/>
      <c r="UWB149" s="209"/>
      <c r="UWC149" s="204"/>
      <c r="UWD149" s="204"/>
      <c r="UWE149" s="204"/>
      <c r="UWF149" s="199"/>
      <c r="UWG149" s="167"/>
      <c r="UWH149" s="199"/>
      <c r="UWI149" s="200"/>
      <c r="UWJ149" s="201"/>
      <c r="UWK149" s="202"/>
      <c r="UWL149" s="202"/>
      <c r="UWM149" s="202"/>
      <c r="UWN149" s="202"/>
      <c r="UWO149" s="203"/>
      <c r="UWP149" s="204"/>
      <c r="UWQ149" s="204"/>
      <c r="UWR149" s="204"/>
      <c r="UWS149" s="205"/>
      <c r="UWT149" s="206"/>
      <c r="UWU149" s="207"/>
      <c r="UWV149" s="207"/>
      <c r="UWW149" s="208"/>
      <c r="UWX149" s="209"/>
      <c r="UWY149" s="207"/>
      <c r="UWZ149" s="210"/>
      <c r="UXA149" s="209"/>
      <c r="UXB149" s="204"/>
      <c r="UXC149" s="204"/>
      <c r="UXD149" s="204"/>
      <c r="UXE149" s="199"/>
      <c r="UXF149" s="167"/>
      <c r="UXG149" s="199"/>
      <c r="UXH149" s="200"/>
      <c r="UXI149" s="201"/>
      <c r="UXJ149" s="202"/>
      <c r="UXK149" s="202"/>
      <c r="UXL149" s="202"/>
      <c r="UXM149" s="202"/>
      <c r="UXN149" s="203"/>
      <c r="UXO149" s="204"/>
      <c r="UXP149" s="204"/>
      <c r="UXQ149" s="204"/>
      <c r="UXR149" s="205"/>
      <c r="UXS149" s="206"/>
      <c r="UXT149" s="207"/>
      <c r="UXU149" s="207"/>
      <c r="UXV149" s="208"/>
      <c r="UXW149" s="209"/>
      <c r="UXX149" s="207"/>
      <c r="UXY149" s="210"/>
      <c r="UXZ149" s="209"/>
      <c r="UYA149" s="204"/>
      <c r="UYB149" s="204"/>
      <c r="UYC149" s="204"/>
      <c r="UYD149" s="199"/>
      <c r="UYE149" s="167"/>
      <c r="UYF149" s="199"/>
      <c r="UYG149" s="200"/>
      <c r="UYH149" s="201"/>
      <c r="UYI149" s="202"/>
      <c r="UYJ149" s="202"/>
      <c r="UYK149" s="202"/>
      <c r="UYL149" s="202"/>
      <c r="UYM149" s="203"/>
      <c r="UYN149" s="204"/>
      <c r="UYO149" s="204"/>
      <c r="UYP149" s="204"/>
      <c r="UYQ149" s="205"/>
      <c r="UYR149" s="206"/>
      <c r="UYS149" s="207"/>
      <c r="UYT149" s="207"/>
      <c r="UYU149" s="208"/>
      <c r="UYV149" s="209"/>
      <c r="UYW149" s="207"/>
      <c r="UYX149" s="210"/>
      <c r="UYY149" s="209"/>
      <c r="UYZ149" s="204"/>
      <c r="UZA149" s="204"/>
      <c r="UZB149" s="204"/>
      <c r="UZC149" s="199"/>
      <c r="UZD149" s="167"/>
      <c r="UZE149" s="199"/>
      <c r="UZF149" s="200"/>
      <c r="UZG149" s="201"/>
      <c r="UZH149" s="202"/>
      <c r="UZI149" s="202"/>
      <c r="UZJ149" s="202"/>
      <c r="UZK149" s="202"/>
      <c r="UZL149" s="203"/>
      <c r="UZM149" s="204"/>
      <c r="UZN149" s="204"/>
      <c r="UZO149" s="204"/>
      <c r="UZP149" s="205"/>
      <c r="UZQ149" s="206"/>
      <c r="UZR149" s="207"/>
      <c r="UZS149" s="207"/>
      <c r="UZT149" s="208"/>
      <c r="UZU149" s="209"/>
      <c r="UZV149" s="207"/>
      <c r="UZW149" s="210"/>
      <c r="UZX149" s="209"/>
      <c r="UZY149" s="204"/>
      <c r="UZZ149" s="204"/>
      <c r="VAA149" s="204"/>
      <c r="VAB149" s="199"/>
      <c r="VAC149" s="167"/>
      <c r="VAD149" s="199"/>
      <c r="VAE149" s="200"/>
      <c r="VAF149" s="201"/>
      <c r="VAG149" s="202"/>
      <c r="VAH149" s="202"/>
      <c r="VAI149" s="202"/>
      <c r="VAJ149" s="202"/>
      <c r="VAK149" s="203"/>
      <c r="VAL149" s="204"/>
      <c r="VAM149" s="204"/>
      <c r="VAN149" s="204"/>
      <c r="VAO149" s="205"/>
      <c r="VAP149" s="206"/>
      <c r="VAQ149" s="207"/>
      <c r="VAR149" s="207"/>
      <c r="VAS149" s="208"/>
      <c r="VAT149" s="209"/>
      <c r="VAU149" s="207"/>
      <c r="VAV149" s="210"/>
      <c r="VAW149" s="209"/>
      <c r="VAX149" s="204"/>
      <c r="VAY149" s="204"/>
      <c r="VAZ149" s="204"/>
      <c r="VBA149" s="199"/>
      <c r="VBB149" s="167"/>
      <c r="VBC149" s="199"/>
      <c r="VBD149" s="200"/>
      <c r="VBE149" s="201"/>
      <c r="VBF149" s="202"/>
      <c r="VBG149" s="202"/>
      <c r="VBH149" s="202"/>
      <c r="VBI149" s="202"/>
      <c r="VBJ149" s="203"/>
      <c r="VBK149" s="204"/>
      <c r="VBL149" s="204"/>
      <c r="VBM149" s="204"/>
      <c r="VBN149" s="205"/>
      <c r="VBO149" s="206"/>
      <c r="VBP149" s="207"/>
      <c r="VBQ149" s="207"/>
      <c r="VBR149" s="208"/>
      <c r="VBS149" s="209"/>
      <c r="VBT149" s="207"/>
      <c r="VBU149" s="210"/>
      <c r="VBV149" s="209"/>
      <c r="VBW149" s="204"/>
      <c r="VBX149" s="204"/>
      <c r="VBY149" s="204"/>
      <c r="VBZ149" s="199"/>
      <c r="VCA149" s="167"/>
      <c r="VCB149" s="199"/>
      <c r="VCC149" s="200"/>
      <c r="VCD149" s="201"/>
      <c r="VCE149" s="202"/>
      <c r="VCF149" s="202"/>
      <c r="VCG149" s="202"/>
      <c r="VCH149" s="202"/>
      <c r="VCI149" s="203"/>
      <c r="VCJ149" s="204"/>
      <c r="VCK149" s="204"/>
      <c r="VCL149" s="204"/>
      <c r="VCM149" s="205"/>
      <c r="VCN149" s="206"/>
      <c r="VCO149" s="207"/>
      <c r="VCP149" s="207"/>
      <c r="VCQ149" s="208"/>
      <c r="VCR149" s="209"/>
      <c r="VCS149" s="207"/>
      <c r="VCT149" s="210"/>
      <c r="VCU149" s="209"/>
      <c r="VCV149" s="204"/>
      <c r="VCW149" s="204"/>
      <c r="VCX149" s="204"/>
      <c r="VCY149" s="199"/>
      <c r="VCZ149" s="167"/>
      <c r="VDA149" s="199"/>
      <c r="VDB149" s="200"/>
      <c r="VDC149" s="201"/>
      <c r="VDD149" s="202"/>
      <c r="VDE149" s="202"/>
      <c r="VDF149" s="202"/>
      <c r="VDG149" s="202"/>
      <c r="VDH149" s="203"/>
      <c r="VDI149" s="204"/>
      <c r="VDJ149" s="204"/>
      <c r="VDK149" s="204"/>
      <c r="VDL149" s="205"/>
      <c r="VDM149" s="206"/>
      <c r="VDN149" s="207"/>
      <c r="VDO149" s="207"/>
      <c r="VDP149" s="208"/>
      <c r="VDQ149" s="209"/>
      <c r="VDR149" s="207"/>
      <c r="VDS149" s="210"/>
      <c r="VDT149" s="209"/>
      <c r="VDU149" s="204"/>
      <c r="VDV149" s="204"/>
      <c r="VDW149" s="204"/>
      <c r="VDX149" s="199"/>
      <c r="VDY149" s="167"/>
      <c r="VDZ149" s="199"/>
      <c r="VEA149" s="200"/>
      <c r="VEB149" s="201"/>
      <c r="VEC149" s="202"/>
      <c r="VED149" s="202"/>
      <c r="VEE149" s="202"/>
      <c r="VEF149" s="202"/>
      <c r="VEG149" s="203"/>
      <c r="VEH149" s="204"/>
      <c r="VEI149" s="204"/>
      <c r="VEJ149" s="204"/>
      <c r="VEK149" s="205"/>
      <c r="VEL149" s="206"/>
      <c r="VEM149" s="207"/>
      <c r="VEN149" s="207"/>
      <c r="VEO149" s="208"/>
      <c r="VEP149" s="209"/>
      <c r="VEQ149" s="207"/>
      <c r="VER149" s="210"/>
      <c r="VES149" s="209"/>
      <c r="VET149" s="204"/>
      <c r="VEU149" s="204"/>
      <c r="VEV149" s="204"/>
      <c r="VEW149" s="199"/>
      <c r="VEX149" s="167"/>
      <c r="VEY149" s="199"/>
      <c r="VEZ149" s="200"/>
      <c r="VFA149" s="201"/>
      <c r="VFB149" s="202"/>
      <c r="VFC149" s="202"/>
      <c r="VFD149" s="202"/>
      <c r="VFE149" s="202"/>
      <c r="VFF149" s="203"/>
      <c r="VFG149" s="204"/>
      <c r="VFH149" s="204"/>
      <c r="VFI149" s="204"/>
      <c r="VFJ149" s="205"/>
      <c r="VFK149" s="206"/>
      <c r="VFL149" s="207"/>
      <c r="VFM149" s="207"/>
      <c r="VFN149" s="208"/>
      <c r="VFO149" s="209"/>
      <c r="VFP149" s="207"/>
      <c r="VFQ149" s="210"/>
      <c r="VFR149" s="209"/>
      <c r="VFS149" s="204"/>
      <c r="VFT149" s="204"/>
      <c r="VFU149" s="204"/>
      <c r="VFV149" s="199"/>
      <c r="VFW149" s="167"/>
      <c r="VFX149" s="199"/>
      <c r="VFY149" s="200"/>
      <c r="VFZ149" s="201"/>
      <c r="VGA149" s="202"/>
      <c r="VGB149" s="202"/>
      <c r="VGC149" s="202"/>
      <c r="VGD149" s="202"/>
      <c r="VGE149" s="203"/>
      <c r="VGF149" s="204"/>
      <c r="VGG149" s="204"/>
      <c r="VGH149" s="204"/>
      <c r="VGI149" s="205"/>
      <c r="VGJ149" s="206"/>
      <c r="VGK149" s="207"/>
      <c r="VGL149" s="207"/>
      <c r="VGM149" s="208"/>
      <c r="VGN149" s="209"/>
      <c r="VGO149" s="207"/>
      <c r="VGP149" s="210"/>
      <c r="VGQ149" s="209"/>
      <c r="VGR149" s="204"/>
      <c r="VGS149" s="204"/>
      <c r="VGT149" s="204"/>
      <c r="VGU149" s="199"/>
      <c r="VGV149" s="167"/>
      <c r="VGW149" s="199"/>
      <c r="VGX149" s="200"/>
      <c r="VGY149" s="201"/>
      <c r="VGZ149" s="202"/>
      <c r="VHA149" s="202"/>
      <c r="VHB149" s="202"/>
      <c r="VHC149" s="202"/>
      <c r="VHD149" s="203"/>
      <c r="VHE149" s="204"/>
      <c r="VHF149" s="204"/>
      <c r="VHG149" s="204"/>
      <c r="VHH149" s="205"/>
      <c r="VHI149" s="206"/>
      <c r="VHJ149" s="207"/>
      <c r="VHK149" s="207"/>
      <c r="VHL149" s="208"/>
      <c r="VHM149" s="209"/>
      <c r="VHN149" s="207"/>
      <c r="VHO149" s="210"/>
      <c r="VHP149" s="209"/>
      <c r="VHQ149" s="204"/>
      <c r="VHR149" s="204"/>
      <c r="VHS149" s="204"/>
      <c r="VHT149" s="199"/>
      <c r="VHU149" s="167"/>
      <c r="VHV149" s="199"/>
      <c r="VHW149" s="200"/>
      <c r="VHX149" s="201"/>
      <c r="VHY149" s="202"/>
      <c r="VHZ149" s="202"/>
      <c r="VIA149" s="202"/>
      <c r="VIB149" s="202"/>
      <c r="VIC149" s="203"/>
      <c r="VID149" s="204"/>
      <c r="VIE149" s="204"/>
      <c r="VIF149" s="204"/>
      <c r="VIG149" s="205"/>
      <c r="VIH149" s="206"/>
      <c r="VII149" s="207"/>
      <c r="VIJ149" s="207"/>
      <c r="VIK149" s="208"/>
      <c r="VIL149" s="209"/>
      <c r="VIM149" s="207"/>
      <c r="VIN149" s="210"/>
      <c r="VIO149" s="209"/>
      <c r="VIP149" s="204"/>
      <c r="VIQ149" s="204"/>
      <c r="VIR149" s="204"/>
      <c r="VIS149" s="199"/>
      <c r="VIT149" s="167"/>
      <c r="VIU149" s="199"/>
      <c r="VIV149" s="200"/>
      <c r="VIW149" s="201"/>
      <c r="VIX149" s="202"/>
      <c r="VIY149" s="202"/>
      <c r="VIZ149" s="202"/>
      <c r="VJA149" s="202"/>
      <c r="VJB149" s="203"/>
      <c r="VJC149" s="204"/>
      <c r="VJD149" s="204"/>
      <c r="VJE149" s="204"/>
      <c r="VJF149" s="205"/>
      <c r="VJG149" s="206"/>
      <c r="VJH149" s="207"/>
      <c r="VJI149" s="207"/>
      <c r="VJJ149" s="208"/>
      <c r="VJK149" s="209"/>
      <c r="VJL149" s="207"/>
      <c r="VJM149" s="210"/>
      <c r="VJN149" s="209"/>
      <c r="VJO149" s="204"/>
      <c r="VJP149" s="204"/>
      <c r="VJQ149" s="204"/>
      <c r="VJR149" s="199"/>
      <c r="VJS149" s="167"/>
      <c r="VJT149" s="199"/>
      <c r="VJU149" s="200"/>
      <c r="VJV149" s="201"/>
      <c r="VJW149" s="202"/>
      <c r="VJX149" s="202"/>
      <c r="VJY149" s="202"/>
      <c r="VJZ149" s="202"/>
      <c r="VKA149" s="203"/>
      <c r="VKB149" s="204"/>
      <c r="VKC149" s="204"/>
      <c r="VKD149" s="204"/>
      <c r="VKE149" s="205"/>
      <c r="VKF149" s="206"/>
      <c r="VKG149" s="207"/>
      <c r="VKH149" s="207"/>
      <c r="VKI149" s="208"/>
      <c r="VKJ149" s="209"/>
      <c r="VKK149" s="207"/>
      <c r="VKL149" s="210"/>
      <c r="VKM149" s="209"/>
      <c r="VKN149" s="204"/>
      <c r="VKO149" s="204"/>
      <c r="VKP149" s="204"/>
      <c r="VKQ149" s="199"/>
      <c r="VKR149" s="167"/>
      <c r="VKS149" s="199"/>
      <c r="VKT149" s="200"/>
      <c r="VKU149" s="201"/>
      <c r="VKV149" s="202"/>
      <c r="VKW149" s="202"/>
      <c r="VKX149" s="202"/>
      <c r="VKY149" s="202"/>
      <c r="VKZ149" s="203"/>
      <c r="VLA149" s="204"/>
      <c r="VLB149" s="204"/>
      <c r="VLC149" s="204"/>
      <c r="VLD149" s="205"/>
      <c r="VLE149" s="206"/>
      <c r="VLF149" s="207"/>
      <c r="VLG149" s="207"/>
      <c r="VLH149" s="208"/>
      <c r="VLI149" s="209"/>
      <c r="VLJ149" s="207"/>
      <c r="VLK149" s="210"/>
      <c r="VLL149" s="209"/>
      <c r="VLM149" s="204"/>
      <c r="VLN149" s="204"/>
      <c r="VLO149" s="204"/>
      <c r="VLP149" s="199"/>
      <c r="VLQ149" s="167"/>
      <c r="VLR149" s="199"/>
      <c r="VLS149" s="200"/>
      <c r="VLT149" s="201"/>
      <c r="VLU149" s="202"/>
      <c r="VLV149" s="202"/>
      <c r="VLW149" s="202"/>
      <c r="VLX149" s="202"/>
      <c r="VLY149" s="203"/>
      <c r="VLZ149" s="204"/>
      <c r="VMA149" s="204"/>
      <c r="VMB149" s="204"/>
      <c r="VMC149" s="205"/>
      <c r="VMD149" s="206"/>
      <c r="VME149" s="207"/>
      <c r="VMF149" s="207"/>
      <c r="VMG149" s="208"/>
      <c r="VMH149" s="209"/>
      <c r="VMI149" s="207"/>
      <c r="VMJ149" s="210"/>
      <c r="VMK149" s="209"/>
      <c r="VML149" s="204"/>
      <c r="VMM149" s="204"/>
      <c r="VMN149" s="204"/>
      <c r="VMO149" s="199"/>
      <c r="VMP149" s="167"/>
      <c r="VMQ149" s="199"/>
      <c r="VMR149" s="200"/>
      <c r="VMS149" s="201"/>
      <c r="VMT149" s="202"/>
      <c r="VMU149" s="202"/>
      <c r="VMV149" s="202"/>
      <c r="VMW149" s="202"/>
      <c r="VMX149" s="203"/>
      <c r="VMY149" s="204"/>
      <c r="VMZ149" s="204"/>
      <c r="VNA149" s="204"/>
      <c r="VNB149" s="205"/>
      <c r="VNC149" s="206"/>
      <c r="VND149" s="207"/>
      <c r="VNE149" s="207"/>
      <c r="VNF149" s="208"/>
      <c r="VNG149" s="209"/>
      <c r="VNH149" s="207"/>
      <c r="VNI149" s="210"/>
      <c r="VNJ149" s="209"/>
      <c r="VNK149" s="204"/>
      <c r="VNL149" s="204"/>
      <c r="VNM149" s="204"/>
      <c r="VNN149" s="199"/>
      <c r="VNO149" s="167"/>
      <c r="VNP149" s="199"/>
      <c r="VNQ149" s="200"/>
      <c r="VNR149" s="201"/>
      <c r="VNS149" s="202"/>
      <c r="VNT149" s="202"/>
      <c r="VNU149" s="202"/>
      <c r="VNV149" s="202"/>
      <c r="VNW149" s="203"/>
      <c r="VNX149" s="204"/>
      <c r="VNY149" s="204"/>
      <c r="VNZ149" s="204"/>
      <c r="VOA149" s="205"/>
      <c r="VOB149" s="206"/>
      <c r="VOC149" s="207"/>
      <c r="VOD149" s="207"/>
      <c r="VOE149" s="208"/>
      <c r="VOF149" s="209"/>
      <c r="VOG149" s="207"/>
      <c r="VOH149" s="210"/>
      <c r="VOI149" s="209"/>
      <c r="VOJ149" s="204"/>
      <c r="VOK149" s="204"/>
      <c r="VOL149" s="204"/>
      <c r="VOM149" s="199"/>
      <c r="VON149" s="167"/>
      <c r="VOO149" s="199"/>
      <c r="VOP149" s="200"/>
      <c r="VOQ149" s="201"/>
      <c r="VOR149" s="202"/>
      <c r="VOS149" s="202"/>
      <c r="VOT149" s="202"/>
      <c r="VOU149" s="202"/>
      <c r="VOV149" s="203"/>
      <c r="VOW149" s="204"/>
      <c r="VOX149" s="204"/>
      <c r="VOY149" s="204"/>
      <c r="VOZ149" s="205"/>
      <c r="VPA149" s="206"/>
      <c r="VPB149" s="207"/>
      <c r="VPC149" s="207"/>
      <c r="VPD149" s="208"/>
      <c r="VPE149" s="209"/>
      <c r="VPF149" s="207"/>
      <c r="VPG149" s="210"/>
      <c r="VPH149" s="209"/>
      <c r="VPI149" s="204"/>
      <c r="VPJ149" s="204"/>
      <c r="VPK149" s="204"/>
      <c r="VPL149" s="199"/>
      <c r="VPM149" s="167"/>
      <c r="VPN149" s="199"/>
      <c r="VPO149" s="200"/>
      <c r="VPP149" s="201"/>
      <c r="VPQ149" s="202"/>
      <c r="VPR149" s="202"/>
      <c r="VPS149" s="202"/>
      <c r="VPT149" s="202"/>
      <c r="VPU149" s="203"/>
      <c r="VPV149" s="204"/>
      <c r="VPW149" s="204"/>
      <c r="VPX149" s="204"/>
      <c r="VPY149" s="205"/>
      <c r="VPZ149" s="206"/>
      <c r="VQA149" s="207"/>
      <c r="VQB149" s="207"/>
      <c r="VQC149" s="208"/>
      <c r="VQD149" s="209"/>
      <c r="VQE149" s="207"/>
      <c r="VQF149" s="210"/>
      <c r="VQG149" s="209"/>
      <c r="VQH149" s="204"/>
      <c r="VQI149" s="204"/>
      <c r="VQJ149" s="204"/>
      <c r="VQK149" s="199"/>
      <c r="VQL149" s="167"/>
      <c r="VQM149" s="199"/>
      <c r="VQN149" s="200"/>
      <c r="VQO149" s="201"/>
      <c r="VQP149" s="202"/>
      <c r="VQQ149" s="202"/>
      <c r="VQR149" s="202"/>
      <c r="VQS149" s="202"/>
      <c r="VQT149" s="203"/>
      <c r="VQU149" s="204"/>
      <c r="VQV149" s="204"/>
      <c r="VQW149" s="204"/>
      <c r="VQX149" s="205"/>
      <c r="VQY149" s="206"/>
      <c r="VQZ149" s="207"/>
      <c r="VRA149" s="207"/>
      <c r="VRB149" s="208"/>
      <c r="VRC149" s="209"/>
      <c r="VRD149" s="207"/>
      <c r="VRE149" s="210"/>
      <c r="VRF149" s="209"/>
      <c r="VRG149" s="204"/>
      <c r="VRH149" s="204"/>
      <c r="VRI149" s="204"/>
      <c r="VRJ149" s="199"/>
      <c r="VRK149" s="167"/>
      <c r="VRL149" s="199"/>
      <c r="VRM149" s="200"/>
      <c r="VRN149" s="201"/>
      <c r="VRO149" s="202"/>
      <c r="VRP149" s="202"/>
      <c r="VRQ149" s="202"/>
      <c r="VRR149" s="202"/>
      <c r="VRS149" s="203"/>
      <c r="VRT149" s="204"/>
      <c r="VRU149" s="204"/>
      <c r="VRV149" s="204"/>
      <c r="VRW149" s="205"/>
      <c r="VRX149" s="206"/>
      <c r="VRY149" s="207"/>
      <c r="VRZ149" s="207"/>
      <c r="VSA149" s="208"/>
      <c r="VSB149" s="209"/>
      <c r="VSC149" s="207"/>
      <c r="VSD149" s="210"/>
      <c r="VSE149" s="209"/>
      <c r="VSF149" s="204"/>
      <c r="VSG149" s="204"/>
      <c r="VSH149" s="204"/>
      <c r="VSI149" s="199"/>
      <c r="VSJ149" s="167"/>
      <c r="VSK149" s="199"/>
      <c r="VSL149" s="200"/>
      <c r="VSM149" s="201"/>
      <c r="VSN149" s="202"/>
      <c r="VSO149" s="202"/>
      <c r="VSP149" s="202"/>
      <c r="VSQ149" s="202"/>
      <c r="VSR149" s="203"/>
      <c r="VSS149" s="204"/>
      <c r="VST149" s="204"/>
      <c r="VSU149" s="204"/>
      <c r="VSV149" s="205"/>
      <c r="VSW149" s="206"/>
      <c r="VSX149" s="207"/>
      <c r="VSY149" s="207"/>
      <c r="VSZ149" s="208"/>
      <c r="VTA149" s="209"/>
      <c r="VTB149" s="207"/>
      <c r="VTC149" s="210"/>
      <c r="VTD149" s="209"/>
      <c r="VTE149" s="204"/>
      <c r="VTF149" s="204"/>
      <c r="VTG149" s="204"/>
      <c r="VTH149" s="199"/>
      <c r="VTI149" s="167"/>
      <c r="VTJ149" s="199"/>
      <c r="VTK149" s="200"/>
      <c r="VTL149" s="201"/>
      <c r="VTM149" s="202"/>
      <c r="VTN149" s="202"/>
      <c r="VTO149" s="202"/>
      <c r="VTP149" s="202"/>
      <c r="VTQ149" s="203"/>
      <c r="VTR149" s="204"/>
      <c r="VTS149" s="204"/>
      <c r="VTT149" s="204"/>
      <c r="VTU149" s="205"/>
      <c r="VTV149" s="206"/>
      <c r="VTW149" s="207"/>
      <c r="VTX149" s="207"/>
      <c r="VTY149" s="208"/>
      <c r="VTZ149" s="209"/>
      <c r="VUA149" s="207"/>
      <c r="VUB149" s="210"/>
      <c r="VUC149" s="209"/>
      <c r="VUD149" s="204"/>
      <c r="VUE149" s="204"/>
      <c r="VUF149" s="204"/>
      <c r="VUG149" s="199"/>
      <c r="VUH149" s="167"/>
      <c r="VUI149" s="199"/>
      <c r="VUJ149" s="200"/>
      <c r="VUK149" s="201"/>
      <c r="VUL149" s="202"/>
      <c r="VUM149" s="202"/>
      <c r="VUN149" s="202"/>
      <c r="VUO149" s="202"/>
      <c r="VUP149" s="203"/>
      <c r="VUQ149" s="204"/>
      <c r="VUR149" s="204"/>
      <c r="VUS149" s="204"/>
      <c r="VUT149" s="205"/>
      <c r="VUU149" s="206"/>
      <c r="VUV149" s="207"/>
      <c r="VUW149" s="207"/>
      <c r="VUX149" s="208"/>
      <c r="VUY149" s="209"/>
      <c r="VUZ149" s="207"/>
      <c r="VVA149" s="210"/>
      <c r="VVB149" s="209"/>
      <c r="VVC149" s="204"/>
      <c r="VVD149" s="204"/>
      <c r="VVE149" s="204"/>
      <c r="VVF149" s="199"/>
      <c r="VVG149" s="167"/>
      <c r="VVH149" s="199"/>
      <c r="VVI149" s="200"/>
      <c r="VVJ149" s="201"/>
      <c r="VVK149" s="202"/>
      <c r="VVL149" s="202"/>
      <c r="VVM149" s="202"/>
      <c r="VVN149" s="202"/>
      <c r="VVO149" s="203"/>
      <c r="VVP149" s="204"/>
      <c r="VVQ149" s="204"/>
      <c r="VVR149" s="204"/>
      <c r="VVS149" s="205"/>
      <c r="VVT149" s="206"/>
      <c r="VVU149" s="207"/>
      <c r="VVV149" s="207"/>
      <c r="VVW149" s="208"/>
      <c r="VVX149" s="209"/>
      <c r="VVY149" s="207"/>
      <c r="VVZ149" s="210"/>
      <c r="VWA149" s="209"/>
      <c r="VWB149" s="204"/>
      <c r="VWC149" s="204"/>
      <c r="VWD149" s="204"/>
      <c r="VWE149" s="199"/>
      <c r="VWF149" s="167"/>
      <c r="VWG149" s="199"/>
      <c r="VWH149" s="200"/>
      <c r="VWI149" s="201"/>
      <c r="VWJ149" s="202"/>
      <c r="VWK149" s="202"/>
      <c r="VWL149" s="202"/>
      <c r="VWM149" s="202"/>
      <c r="VWN149" s="203"/>
      <c r="VWO149" s="204"/>
      <c r="VWP149" s="204"/>
      <c r="VWQ149" s="204"/>
      <c r="VWR149" s="205"/>
      <c r="VWS149" s="206"/>
      <c r="VWT149" s="207"/>
      <c r="VWU149" s="207"/>
      <c r="VWV149" s="208"/>
      <c r="VWW149" s="209"/>
      <c r="VWX149" s="207"/>
      <c r="VWY149" s="210"/>
      <c r="VWZ149" s="209"/>
      <c r="VXA149" s="204"/>
      <c r="VXB149" s="204"/>
      <c r="VXC149" s="204"/>
      <c r="VXD149" s="199"/>
      <c r="VXE149" s="167"/>
      <c r="VXF149" s="199"/>
      <c r="VXG149" s="200"/>
      <c r="VXH149" s="201"/>
      <c r="VXI149" s="202"/>
      <c r="VXJ149" s="202"/>
      <c r="VXK149" s="202"/>
      <c r="VXL149" s="202"/>
      <c r="VXM149" s="203"/>
      <c r="VXN149" s="204"/>
      <c r="VXO149" s="204"/>
      <c r="VXP149" s="204"/>
      <c r="VXQ149" s="205"/>
      <c r="VXR149" s="206"/>
      <c r="VXS149" s="207"/>
      <c r="VXT149" s="207"/>
      <c r="VXU149" s="208"/>
      <c r="VXV149" s="209"/>
      <c r="VXW149" s="207"/>
      <c r="VXX149" s="210"/>
      <c r="VXY149" s="209"/>
      <c r="VXZ149" s="204"/>
      <c r="VYA149" s="204"/>
      <c r="VYB149" s="204"/>
      <c r="VYC149" s="199"/>
      <c r="VYD149" s="167"/>
      <c r="VYE149" s="199"/>
      <c r="VYF149" s="200"/>
      <c r="VYG149" s="201"/>
      <c r="VYH149" s="202"/>
      <c r="VYI149" s="202"/>
      <c r="VYJ149" s="202"/>
      <c r="VYK149" s="202"/>
      <c r="VYL149" s="203"/>
      <c r="VYM149" s="204"/>
      <c r="VYN149" s="204"/>
      <c r="VYO149" s="204"/>
      <c r="VYP149" s="205"/>
      <c r="VYQ149" s="206"/>
      <c r="VYR149" s="207"/>
      <c r="VYS149" s="207"/>
      <c r="VYT149" s="208"/>
      <c r="VYU149" s="209"/>
      <c r="VYV149" s="207"/>
      <c r="VYW149" s="210"/>
      <c r="VYX149" s="209"/>
      <c r="VYY149" s="204"/>
      <c r="VYZ149" s="204"/>
      <c r="VZA149" s="204"/>
      <c r="VZB149" s="199"/>
      <c r="VZC149" s="167"/>
      <c r="VZD149" s="199"/>
      <c r="VZE149" s="200"/>
      <c r="VZF149" s="201"/>
      <c r="VZG149" s="202"/>
      <c r="VZH149" s="202"/>
      <c r="VZI149" s="202"/>
      <c r="VZJ149" s="202"/>
      <c r="VZK149" s="203"/>
      <c r="VZL149" s="204"/>
      <c r="VZM149" s="204"/>
      <c r="VZN149" s="204"/>
      <c r="VZO149" s="205"/>
      <c r="VZP149" s="206"/>
      <c r="VZQ149" s="207"/>
      <c r="VZR149" s="207"/>
      <c r="VZS149" s="208"/>
      <c r="VZT149" s="209"/>
      <c r="VZU149" s="207"/>
      <c r="VZV149" s="210"/>
      <c r="VZW149" s="209"/>
      <c r="VZX149" s="204"/>
      <c r="VZY149" s="204"/>
      <c r="VZZ149" s="204"/>
      <c r="WAA149" s="199"/>
      <c r="WAB149" s="167"/>
      <c r="WAC149" s="199"/>
      <c r="WAD149" s="200"/>
      <c r="WAE149" s="201"/>
      <c r="WAF149" s="202"/>
      <c r="WAG149" s="202"/>
      <c r="WAH149" s="202"/>
      <c r="WAI149" s="202"/>
      <c r="WAJ149" s="203"/>
      <c r="WAK149" s="204"/>
      <c r="WAL149" s="204"/>
      <c r="WAM149" s="204"/>
      <c r="WAN149" s="205"/>
      <c r="WAO149" s="206"/>
      <c r="WAP149" s="207"/>
      <c r="WAQ149" s="207"/>
      <c r="WAR149" s="208"/>
      <c r="WAS149" s="209"/>
      <c r="WAT149" s="207"/>
      <c r="WAU149" s="210"/>
      <c r="WAV149" s="209"/>
      <c r="WAW149" s="204"/>
      <c r="WAX149" s="204"/>
      <c r="WAY149" s="204"/>
      <c r="WAZ149" s="199"/>
      <c r="WBA149" s="167"/>
      <c r="WBB149" s="199"/>
      <c r="WBC149" s="200"/>
      <c r="WBD149" s="201"/>
      <c r="WBE149" s="202"/>
      <c r="WBF149" s="202"/>
      <c r="WBG149" s="202"/>
      <c r="WBH149" s="202"/>
      <c r="WBI149" s="203"/>
      <c r="WBJ149" s="204"/>
      <c r="WBK149" s="204"/>
      <c r="WBL149" s="204"/>
      <c r="WBM149" s="205"/>
      <c r="WBN149" s="206"/>
      <c r="WBO149" s="207"/>
      <c r="WBP149" s="207"/>
      <c r="WBQ149" s="208"/>
      <c r="WBR149" s="209"/>
      <c r="WBS149" s="207"/>
      <c r="WBT149" s="210"/>
      <c r="WBU149" s="209"/>
      <c r="WBV149" s="204"/>
      <c r="WBW149" s="204"/>
      <c r="WBX149" s="204"/>
      <c r="WBY149" s="199"/>
      <c r="WBZ149" s="167"/>
      <c r="WCA149" s="199"/>
      <c r="WCB149" s="200"/>
      <c r="WCC149" s="201"/>
      <c r="WCD149" s="202"/>
      <c r="WCE149" s="202"/>
      <c r="WCF149" s="202"/>
      <c r="WCG149" s="202"/>
      <c r="WCH149" s="203"/>
      <c r="WCI149" s="204"/>
      <c r="WCJ149" s="204"/>
      <c r="WCK149" s="204"/>
      <c r="WCL149" s="205"/>
      <c r="WCM149" s="206"/>
      <c r="WCN149" s="207"/>
      <c r="WCO149" s="207"/>
      <c r="WCP149" s="208"/>
      <c r="WCQ149" s="209"/>
      <c r="WCR149" s="207"/>
      <c r="WCS149" s="210"/>
      <c r="WCT149" s="209"/>
      <c r="WCU149" s="204"/>
      <c r="WCV149" s="204"/>
      <c r="WCW149" s="204"/>
      <c r="WCX149" s="199"/>
      <c r="WCY149" s="167"/>
      <c r="WCZ149" s="199"/>
      <c r="WDA149" s="200"/>
      <c r="WDB149" s="201"/>
      <c r="WDC149" s="202"/>
      <c r="WDD149" s="202"/>
      <c r="WDE149" s="202"/>
      <c r="WDF149" s="202"/>
      <c r="WDG149" s="203"/>
      <c r="WDH149" s="204"/>
      <c r="WDI149" s="204"/>
      <c r="WDJ149" s="204"/>
      <c r="WDK149" s="205"/>
      <c r="WDL149" s="206"/>
      <c r="WDM149" s="207"/>
      <c r="WDN149" s="207"/>
      <c r="WDO149" s="208"/>
      <c r="WDP149" s="209"/>
      <c r="WDQ149" s="207"/>
      <c r="WDR149" s="210"/>
      <c r="WDS149" s="209"/>
      <c r="WDT149" s="204"/>
      <c r="WDU149" s="204"/>
      <c r="WDV149" s="204"/>
      <c r="WDW149" s="199"/>
      <c r="WDX149" s="167"/>
      <c r="WDY149" s="199"/>
      <c r="WDZ149" s="200"/>
      <c r="WEA149" s="201"/>
      <c r="WEB149" s="202"/>
      <c r="WEC149" s="202"/>
      <c r="WED149" s="202"/>
      <c r="WEE149" s="202"/>
      <c r="WEF149" s="203"/>
      <c r="WEG149" s="204"/>
      <c r="WEH149" s="204"/>
      <c r="WEI149" s="204"/>
      <c r="WEJ149" s="205"/>
      <c r="WEK149" s="206"/>
      <c r="WEL149" s="207"/>
      <c r="WEM149" s="207"/>
      <c r="WEN149" s="208"/>
      <c r="WEO149" s="209"/>
      <c r="WEP149" s="207"/>
      <c r="WEQ149" s="210"/>
      <c r="WER149" s="209"/>
      <c r="WES149" s="204"/>
      <c r="WET149" s="204"/>
      <c r="WEU149" s="204"/>
      <c r="WEV149" s="199"/>
      <c r="WEW149" s="167"/>
      <c r="WEX149" s="199"/>
      <c r="WEY149" s="200"/>
      <c r="WEZ149" s="201"/>
      <c r="WFA149" s="202"/>
      <c r="WFB149" s="202"/>
      <c r="WFC149" s="202"/>
      <c r="WFD149" s="202"/>
      <c r="WFE149" s="203"/>
      <c r="WFF149" s="204"/>
      <c r="WFG149" s="204"/>
      <c r="WFH149" s="204"/>
      <c r="WFI149" s="205"/>
      <c r="WFJ149" s="206"/>
      <c r="WFK149" s="207"/>
      <c r="WFL149" s="207"/>
      <c r="WFM149" s="208"/>
      <c r="WFN149" s="209"/>
      <c r="WFO149" s="207"/>
      <c r="WFP149" s="210"/>
      <c r="WFQ149" s="209"/>
      <c r="WFR149" s="204"/>
      <c r="WFS149" s="204"/>
      <c r="WFT149" s="204"/>
      <c r="WFU149" s="199"/>
      <c r="WFV149" s="167"/>
      <c r="WFW149" s="199"/>
      <c r="WFX149" s="200"/>
      <c r="WFY149" s="201"/>
      <c r="WFZ149" s="202"/>
      <c r="WGA149" s="202"/>
      <c r="WGB149" s="202"/>
      <c r="WGC149" s="202"/>
      <c r="WGD149" s="203"/>
      <c r="WGE149" s="204"/>
      <c r="WGF149" s="204"/>
      <c r="WGG149" s="204"/>
      <c r="WGH149" s="205"/>
      <c r="WGI149" s="206"/>
      <c r="WGJ149" s="207"/>
      <c r="WGK149" s="207"/>
      <c r="WGL149" s="208"/>
      <c r="WGM149" s="209"/>
      <c r="WGN149" s="207"/>
      <c r="WGO149" s="210"/>
      <c r="WGP149" s="209"/>
      <c r="WGQ149" s="204"/>
      <c r="WGR149" s="204"/>
      <c r="WGS149" s="204"/>
      <c r="WGT149" s="199"/>
      <c r="WGU149" s="167"/>
      <c r="WGV149" s="199"/>
      <c r="WGW149" s="200"/>
      <c r="WGX149" s="201"/>
      <c r="WGY149" s="202"/>
      <c r="WGZ149" s="202"/>
      <c r="WHA149" s="202"/>
      <c r="WHB149" s="202"/>
      <c r="WHC149" s="203"/>
      <c r="WHD149" s="204"/>
      <c r="WHE149" s="204"/>
      <c r="WHF149" s="204"/>
      <c r="WHG149" s="205"/>
      <c r="WHH149" s="206"/>
      <c r="WHI149" s="207"/>
      <c r="WHJ149" s="207"/>
      <c r="WHK149" s="208"/>
      <c r="WHL149" s="209"/>
      <c r="WHM149" s="207"/>
      <c r="WHN149" s="210"/>
      <c r="WHO149" s="209"/>
      <c r="WHP149" s="204"/>
      <c r="WHQ149" s="204"/>
      <c r="WHR149" s="204"/>
      <c r="WHS149" s="199"/>
      <c r="WHT149" s="167"/>
      <c r="WHU149" s="199"/>
      <c r="WHV149" s="200"/>
      <c r="WHW149" s="201"/>
      <c r="WHX149" s="202"/>
      <c r="WHY149" s="202"/>
      <c r="WHZ149" s="202"/>
      <c r="WIA149" s="202"/>
      <c r="WIB149" s="203"/>
      <c r="WIC149" s="204"/>
      <c r="WID149" s="204"/>
      <c r="WIE149" s="204"/>
      <c r="WIF149" s="205"/>
      <c r="WIG149" s="206"/>
      <c r="WIH149" s="207"/>
      <c r="WII149" s="207"/>
      <c r="WIJ149" s="208"/>
      <c r="WIK149" s="209"/>
      <c r="WIL149" s="207"/>
      <c r="WIM149" s="210"/>
      <c r="WIN149" s="209"/>
      <c r="WIO149" s="204"/>
      <c r="WIP149" s="204"/>
      <c r="WIQ149" s="204"/>
      <c r="WIR149" s="199"/>
      <c r="WIS149" s="167"/>
      <c r="WIT149" s="199"/>
      <c r="WIU149" s="200"/>
      <c r="WIV149" s="201"/>
      <c r="WIW149" s="202"/>
      <c r="WIX149" s="202"/>
      <c r="WIY149" s="202"/>
      <c r="WIZ149" s="202"/>
      <c r="WJA149" s="203"/>
      <c r="WJB149" s="204"/>
      <c r="WJC149" s="204"/>
      <c r="WJD149" s="204"/>
      <c r="WJE149" s="205"/>
      <c r="WJF149" s="206"/>
      <c r="WJG149" s="207"/>
      <c r="WJH149" s="207"/>
      <c r="WJI149" s="208"/>
      <c r="WJJ149" s="209"/>
      <c r="WJK149" s="207"/>
      <c r="WJL149" s="210"/>
      <c r="WJM149" s="209"/>
      <c r="WJN149" s="204"/>
      <c r="WJO149" s="204"/>
      <c r="WJP149" s="204"/>
      <c r="WJQ149" s="199"/>
      <c r="WJR149" s="167"/>
      <c r="WJS149" s="199"/>
      <c r="WJT149" s="200"/>
      <c r="WJU149" s="201"/>
      <c r="WJV149" s="202"/>
      <c r="WJW149" s="202"/>
      <c r="WJX149" s="202"/>
      <c r="WJY149" s="202"/>
      <c r="WJZ149" s="203"/>
      <c r="WKA149" s="204"/>
      <c r="WKB149" s="204"/>
      <c r="WKC149" s="204"/>
      <c r="WKD149" s="205"/>
      <c r="WKE149" s="206"/>
      <c r="WKF149" s="207"/>
      <c r="WKG149" s="207"/>
      <c r="WKH149" s="208"/>
      <c r="WKI149" s="209"/>
      <c r="WKJ149" s="207"/>
      <c r="WKK149" s="210"/>
      <c r="WKL149" s="209"/>
      <c r="WKM149" s="204"/>
      <c r="WKN149" s="204"/>
      <c r="WKO149" s="204"/>
      <c r="WKP149" s="199"/>
      <c r="WKQ149" s="167"/>
      <c r="WKR149" s="199"/>
      <c r="WKS149" s="200"/>
      <c r="WKT149" s="201"/>
      <c r="WKU149" s="202"/>
      <c r="WKV149" s="202"/>
      <c r="WKW149" s="202"/>
      <c r="WKX149" s="202"/>
      <c r="WKY149" s="203"/>
      <c r="WKZ149" s="204"/>
      <c r="WLA149" s="204"/>
      <c r="WLB149" s="204"/>
      <c r="WLC149" s="205"/>
      <c r="WLD149" s="206"/>
      <c r="WLE149" s="207"/>
      <c r="WLF149" s="207"/>
      <c r="WLG149" s="208"/>
      <c r="WLH149" s="209"/>
      <c r="WLI149" s="207"/>
      <c r="WLJ149" s="210"/>
      <c r="WLK149" s="209"/>
      <c r="WLL149" s="204"/>
      <c r="WLM149" s="204"/>
      <c r="WLN149" s="204"/>
      <c r="WLO149" s="199"/>
      <c r="WLP149" s="167"/>
      <c r="WLQ149" s="199"/>
      <c r="WLR149" s="200"/>
      <c r="WLS149" s="201"/>
      <c r="WLT149" s="202"/>
      <c r="WLU149" s="202"/>
      <c r="WLV149" s="202"/>
      <c r="WLW149" s="202"/>
      <c r="WLX149" s="203"/>
      <c r="WLY149" s="204"/>
      <c r="WLZ149" s="204"/>
      <c r="WMA149" s="204"/>
      <c r="WMB149" s="205"/>
      <c r="WMC149" s="206"/>
      <c r="WMD149" s="207"/>
      <c r="WME149" s="207"/>
      <c r="WMF149" s="208"/>
      <c r="WMG149" s="209"/>
      <c r="WMH149" s="207"/>
      <c r="WMI149" s="210"/>
      <c r="WMJ149" s="209"/>
      <c r="WMK149" s="204"/>
      <c r="WML149" s="204"/>
      <c r="WMM149" s="204"/>
      <c r="WMN149" s="199"/>
      <c r="WMO149" s="167"/>
      <c r="WMP149" s="199"/>
      <c r="WMQ149" s="200"/>
      <c r="WMR149" s="201"/>
      <c r="WMS149" s="202"/>
      <c r="WMT149" s="202"/>
      <c r="WMU149" s="202"/>
      <c r="WMV149" s="202"/>
      <c r="WMW149" s="203"/>
      <c r="WMX149" s="204"/>
      <c r="WMY149" s="204"/>
      <c r="WMZ149" s="204"/>
      <c r="WNA149" s="205"/>
      <c r="WNB149" s="206"/>
      <c r="WNC149" s="207"/>
      <c r="WND149" s="207"/>
      <c r="WNE149" s="208"/>
      <c r="WNF149" s="209"/>
      <c r="WNG149" s="207"/>
      <c r="WNH149" s="210"/>
      <c r="WNI149" s="209"/>
      <c r="WNJ149" s="204"/>
      <c r="WNK149" s="204"/>
      <c r="WNL149" s="204"/>
      <c r="WNM149" s="199"/>
      <c r="WNN149" s="167"/>
      <c r="WNO149" s="199"/>
      <c r="WNP149" s="200"/>
      <c r="WNQ149" s="201"/>
      <c r="WNR149" s="202"/>
      <c r="WNS149" s="202"/>
      <c r="WNT149" s="202"/>
      <c r="WNU149" s="202"/>
      <c r="WNV149" s="203"/>
      <c r="WNW149" s="204"/>
      <c r="WNX149" s="204"/>
      <c r="WNY149" s="204"/>
      <c r="WNZ149" s="205"/>
      <c r="WOA149" s="206"/>
      <c r="WOB149" s="207"/>
      <c r="WOC149" s="207"/>
      <c r="WOD149" s="208"/>
      <c r="WOE149" s="209"/>
      <c r="WOF149" s="207"/>
      <c r="WOG149" s="210"/>
      <c r="WOH149" s="209"/>
      <c r="WOI149" s="204"/>
      <c r="WOJ149" s="204"/>
      <c r="WOK149" s="204"/>
      <c r="WOL149" s="199"/>
      <c r="WOM149" s="167"/>
      <c r="WON149" s="199"/>
      <c r="WOO149" s="200"/>
      <c r="WOP149" s="201"/>
      <c r="WOQ149" s="202"/>
      <c r="WOR149" s="202"/>
      <c r="WOS149" s="202"/>
      <c r="WOT149" s="202"/>
      <c r="WOU149" s="203"/>
      <c r="WOV149" s="204"/>
      <c r="WOW149" s="204"/>
      <c r="WOX149" s="204"/>
      <c r="WOY149" s="205"/>
      <c r="WOZ149" s="206"/>
      <c r="WPA149" s="207"/>
      <c r="WPB149" s="207"/>
      <c r="WPC149" s="208"/>
      <c r="WPD149" s="209"/>
      <c r="WPE149" s="207"/>
      <c r="WPF149" s="210"/>
      <c r="WPG149" s="209"/>
      <c r="WPH149" s="204"/>
      <c r="WPI149" s="204"/>
      <c r="WPJ149" s="204"/>
      <c r="WPK149" s="199"/>
      <c r="WPL149" s="167"/>
      <c r="WPM149" s="199"/>
      <c r="WPN149" s="200"/>
      <c r="WPO149" s="201"/>
      <c r="WPP149" s="202"/>
      <c r="WPQ149" s="202"/>
      <c r="WPR149" s="202"/>
      <c r="WPS149" s="202"/>
      <c r="WPT149" s="203"/>
      <c r="WPU149" s="204"/>
      <c r="WPV149" s="204"/>
      <c r="WPW149" s="204"/>
      <c r="WPX149" s="205"/>
      <c r="WPY149" s="206"/>
      <c r="WPZ149" s="207"/>
      <c r="WQA149" s="207"/>
      <c r="WQB149" s="208"/>
      <c r="WQC149" s="209"/>
      <c r="WQD149" s="207"/>
      <c r="WQE149" s="210"/>
      <c r="WQF149" s="209"/>
      <c r="WQG149" s="204"/>
      <c r="WQH149" s="204"/>
      <c r="WQI149" s="204"/>
      <c r="WQJ149" s="199"/>
      <c r="WQK149" s="167"/>
      <c r="WQL149" s="199"/>
      <c r="WQM149" s="200"/>
      <c r="WQN149" s="201"/>
      <c r="WQO149" s="202"/>
      <c r="WQP149" s="202"/>
      <c r="WQQ149" s="202"/>
      <c r="WQR149" s="202"/>
      <c r="WQS149" s="203"/>
      <c r="WQT149" s="204"/>
      <c r="WQU149" s="204"/>
      <c r="WQV149" s="204"/>
      <c r="WQW149" s="205"/>
      <c r="WQX149" s="206"/>
      <c r="WQY149" s="207"/>
      <c r="WQZ149" s="207"/>
      <c r="WRA149" s="208"/>
      <c r="WRB149" s="209"/>
      <c r="WRC149" s="207"/>
      <c r="WRD149" s="210"/>
      <c r="WRE149" s="209"/>
      <c r="WRF149" s="204"/>
      <c r="WRG149" s="204"/>
      <c r="WRH149" s="204"/>
      <c r="WRI149" s="199"/>
      <c r="WRJ149" s="167"/>
      <c r="WRK149" s="199"/>
      <c r="WRL149" s="200"/>
      <c r="WRM149" s="201"/>
      <c r="WRN149" s="202"/>
      <c r="WRO149" s="202"/>
      <c r="WRP149" s="202"/>
      <c r="WRQ149" s="202"/>
      <c r="WRR149" s="203"/>
      <c r="WRS149" s="204"/>
      <c r="WRT149" s="204"/>
      <c r="WRU149" s="204"/>
      <c r="WRV149" s="205"/>
      <c r="WRW149" s="206"/>
      <c r="WRX149" s="207"/>
      <c r="WRY149" s="207"/>
      <c r="WRZ149" s="208"/>
      <c r="WSA149" s="209"/>
      <c r="WSB149" s="207"/>
      <c r="WSC149" s="210"/>
      <c r="WSD149" s="209"/>
      <c r="WSE149" s="204"/>
      <c r="WSF149" s="204"/>
      <c r="WSG149" s="204"/>
      <c r="WSH149" s="199"/>
      <c r="WSI149" s="167"/>
      <c r="WSJ149" s="199"/>
      <c r="WSK149" s="200"/>
      <c r="WSL149" s="201"/>
      <c r="WSM149" s="202"/>
      <c r="WSN149" s="202"/>
      <c r="WSO149" s="202"/>
      <c r="WSP149" s="202"/>
      <c r="WSQ149" s="203"/>
      <c r="WSR149" s="204"/>
      <c r="WSS149" s="204"/>
      <c r="WST149" s="204"/>
      <c r="WSU149" s="205"/>
      <c r="WSV149" s="206"/>
      <c r="WSW149" s="207"/>
      <c r="WSX149" s="207"/>
      <c r="WSY149" s="208"/>
      <c r="WSZ149" s="209"/>
      <c r="WTA149" s="207"/>
      <c r="WTB149" s="210"/>
      <c r="WTC149" s="209"/>
      <c r="WTD149" s="204"/>
      <c r="WTE149" s="204"/>
      <c r="WTF149" s="204"/>
      <c r="WTG149" s="199"/>
      <c r="WTH149" s="167"/>
      <c r="WTI149" s="199"/>
      <c r="WTJ149" s="200"/>
      <c r="WTK149" s="201"/>
      <c r="WTL149" s="202"/>
      <c r="WTM149" s="202"/>
      <c r="WTN149" s="202"/>
      <c r="WTO149" s="202"/>
      <c r="WTP149" s="203"/>
      <c r="WTQ149" s="204"/>
      <c r="WTR149" s="204"/>
      <c r="WTS149" s="204"/>
      <c r="WTT149" s="205"/>
      <c r="WTU149" s="206"/>
      <c r="WTV149" s="207"/>
      <c r="WTW149" s="207"/>
      <c r="WTX149" s="208"/>
      <c r="WTY149" s="209"/>
      <c r="WTZ149" s="207"/>
      <c r="WUA149" s="210"/>
      <c r="WUB149" s="209"/>
      <c r="WUC149" s="204"/>
      <c r="WUD149" s="204"/>
      <c r="WUE149" s="204"/>
      <c r="WUF149" s="199"/>
      <c r="WUG149" s="167"/>
      <c r="WUH149" s="199"/>
      <c r="WUI149" s="200"/>
      <c r="WUJ149" s="201"/>
      <c r="WUK149" s="202"/>
      <c r="WUL149" s="202"/>
      <c r="WUM149" s="202"/>
      <c r="WUN149" s="202"/>
      <c r="WUO149" s="203"/>
      <c r="WUP149" s="204"/>
      <c r="WUQ149" s="204"/>
      <c r="WUR149" s="204"/>
      <c r="WUS149" s="205"/>
      <c r="WUT149" s="206"/>
      <c r="WUU149" s="207"/>
      <c r="WUV149" s="207"/>
      <c r="WUW149" s="208"/>
      <c r="WUX149" s="209"/>
      <c r="WUY149" s="207"/>
      <c r="WUZ149" s="210"/>
      <c r="WVA149" s="209"/>
      <c r="WVB149" s="204"/>
      <c r="WVC149" s="204"/>
      <c r="WVD149" s="204"/>
      <c r="WVE149" s="199"/>
      <c r="WVF149" s="167"/>
      <c r="WVG149" s="199"/>
      <c r="WVH149" s="200"/>
      <c r="WVI149" s="201"/>
      <c r="WVJ149" s="202"/>
      <c r="WVK149" s="202"/>
      <c r="WVL149" s="202"/>
      <c r="WVM149" s="202"/>
      <c r="WVN149" s="203"/>
      <c r="WVO149" s="204"/>
      <c r="WVP149" s="204"/>
      <c r="WVQ149" s="204"/>
      <c r="WVR149" s="205"/>
      <c r="WVS149" s="206"/>
      <c r="WVT149" s="207"/>
      <c r="WVU149" s="207"/>
      <c r="WVV149" s="208"/>
      <c r="WVW149" s="209"/>
      <c r="WVX149" s="207"/>
      <c r="WVY149" s="210"/>
      <c r="WVZ149" s="209"/>
      <c r="WWA149" s="204"/>
      <c r="WWB149" s="204"/>
      <c r="WWC149" s="204"/>
      <c r="WWD149" s="199"/>
      <c r="WWE149" s="167"/>
      <c r="WWF149" s="199"/>
      <c r="WWG149" s="200"/>
      <c r="WWH149" s="201"/>
      <c r="WWI149" s="202"/>
      <c r="WWJ149" s="202"/>
      <c r="WWK149" s="202"/>
      <c r="WWL149" s="202"/>
      <c r="WWM149" s="203"/>
      <c r="WWN149" s="204"/>
      <c r="WWO149" s="204"/>
      <c r="WWP149" s="204"/>
      <c r="WWQ149" s="205"/>
      <c r="WWR149" s="206"/>
      <c r="WWS149" s="207"/>
      <c r="WWT149" s="207"/>
      <c r="WWU149" s="208"/>
      <c r="WWV149" s="209"/>
      <c r="WWW149" s="207"/>
      <c r="WWX149" s="210"/>
      <c r="WWY149" s="209"/>
      <c r="WWZ149" s="204"/>
      <c r="WXA149" s="204"/>
      <c r="WXB149" s="204"/>
      <c r="WXC149" s="199"/>
      <c r="WXD149" s="167"/>
      <c r="WXE149" s="199"/>
      <c r="WXF149" s="200"/>
      <c r="WXG149" s="201"/>
      <c r="WXH149" s="202"/>
      <c r="WXI149" s="202"/>
      <c r="WXJ149" s="202"/>
      <c r="WXK149" s="202"/>
      <c r="WXL149" s="203"/>
      <c r="WXM149" s="204"/>
      <c r="WXN149" s="204"/>
      <c r="WXO149" s="204"/>
      <c r="WXP149" s="205"/>
      <c r="WXQ149" s="206"/>
      <c r="WXR149" s="207"/>
      <c r="WXS149" s="207"/>
      <c r="WXT149" s="208"/>
      <c r="WXU149" s="209"/>
      <c r="WXV149" s="207"/>
      <c r="WXW149" s="210"/>
      <c r="WXX149" s="209"/>
      <c r="WXY149" s="204"/>
      <c r="WXZ149" s="204"/>
      <c r="WYA149" s="204"/>
      <c r="WYB149" s="199"/>
      <c r="WYC149" s="167"/>
      <c r="WYD149" s="199"/>
      <c r="WYE149" s="200"/>
      <c r="WYF149" s="201"/>
      <c r="WYG149" s="202"/>
      <c r="WYH149" s="202"/>
      <c r="WYI149" s="202"/>
      <c r="WYJ149" s="202"/>
      <c r="WYK149" s="203"/>
      <c r="WYL149" s="204"/>
      <c r="WYM149" s="204"/>
      <c r="WYN149" s="204"/>
      <c r="WYO149" s="205"/>
      <c r="WYP149" s="206"/>
      <c r="WYQ149" s="207"/>
      <c r="WYR149" s="207"/>
      <c r="WYS149" s="208"/>
      <c r="WYT149" s="209"/>
      <c r="WYU149" s="207"/>
      <c r="WYV149" s="210"/>
      <c r="WYW149" s="209"/>
      <c r="WYX149" s="204"/>
      <c r="WYY149" s="204"/>
      <c r="WYZ149" s="204"/>
      <c r="WZA149" s="199"/>
      <c r="WZB149" s="167"/>
      <c r="WZC149" s="199"/>
      <c r="WZD149" s="200"/>
      <c r="WZE149" s="201"/>
      <c r="WZF149" s="202"/>
      <c r="WZG149" s="202"/>
      <c r="WZH149" s="202"/>
      <c r="WZI149" s="202"/>
      <c r="WZJ149" s="203"/>
      <c r="WZK149" s="204"/>
      <c r="WZL149" s="204"/>
      <c r="WZM149" s="204"/>
      <c r="WZN149" s="205"/>
      <c r="WZO149" s="206"/>
      <c r="WZP149" s="207"/>
      <c r="WZQ149" s="207"/>
      <c r="WZR149" s="208"/>
      <c r="WZS149" s="209"/>
      <c r="WZT149" s="207"/>
      <c r="WZU149" s="210"/>
      <c r="WZV149" s="209"/>
      <c r="WZW149" s="204"/>
      <c r="WZX149" s="204"/>
      <c r="WZY149" s="204"/>
      <c r="WZZ149" s="199"/>
      <c r="XAA149" s="167"/>
      <c r="XAB149" s="199"/>
      <c r="XAC149" s="200"/>
      <c r="XAD149" s="201"/>
      <c r="XAE149" s="202"/>
      <c r="XAF149" s="202"/>
      <c r="XAG149" s="202"/>
      <c r="XAH149" s="202"/>
      <c r="XAI149" s="203"/>
      <c r="XAJ149" s="204"/>
      <c r="XAK149" s="204"/>
      <c r="XAL149" s="204"/>
      <c r="XAM149" s="205"/>
      <c r="XAN149" s="206"/>
      <c r="XAO149" s="207"/>
      <c r="XAP149" s="207"/>
      <c r="XAQ149" s="208"/>
      <c r="XAR149" s="209"/>
      <c r="XAS149" s="207"/>
      <c r="XAT149" s="210"/>
      <c r="XAU149" s="209"/>
      <c r="XAV149" s="204"/>
      <c r="XAW149" s="204"/>
      <c r="XAX149" s="204"/>
      <c r="XAY149" s="199"/>
      <c r="XAZ149" s="167"/>
      <c r="XBA149" s="199"/>
      <c r="XBB149" s="200"/>
      <c r="XBC149" s="201"/>
      <c r="XBD149" s="202"/>
      <c r="XBE149" s="202"/>
      <c r="XBF149" s="202"/>
      <c r="XBG149" s="202"/>
      <c r="XBH149" s="203"/>
      <c r="XBI149" s="204"/>
      <c r="XBJ149" s="204"/>
      <c r="XBK149" s="204"/>
      <c r="XBL149" s="205"/>
      <c r="XBM149" s="206"/>
      <c r="XBN149" s="207"/>
      <c r="XBO149" s="207"/>
      <c r="XBP149" s="208"/>
      <c r="XBQ149" s="209"/>
      <c r="XBR149" s="207"/>
      <c r="XBS149" s="210"/>
      <c r="XBT149" s="209"/>
      <c r="XBU149" s="204"/>
      <c r="XBV149" s="204"/>
      <c r="XBW149" s="204"/>
      <c r="XBX149" s="199"/>
      <c r="XBY149" s="167"/>
      <c r="XBZ149" s="199"/>
      <c r="XCA149" s="200"/>
      <c r="XCB149" s="201"/>
      <c r="XCC149" s="202"/>
      <c r="XCD149" s="202"/>
      <c r="XCE149" s="202"/>
      <c r="XCF149" s="202"/>
      <c r="XCG149" s="203"/>
      <c r="XCH149" s="204"/>
      <c r="XCI149" s="204"/>
      <c r="XCJ149" s="204"/>
      <c r="XCK149" s="205"/>
      <c r="XCL149" s="206"/>
      <c r="XCM149" s="207"/>
      <c r="XCN149" s="207"/>
      <c r="XCO149" s="208"/>
      <c r="XCP149" s="209"/>
      <c r="XCQ149" s="207"/>
      <c r="XCR149" s="210"/>
      <c r="XCS149" s="209"/>
      <c r="XCT149" s="204"/>
      <c r="XCU149" s="204"/>
      <c r="XCV149" s="204"/>
      <c r="XCW149" s="199"/>
      <c r="XCX149" s="167"/>
      <c r="XCY149" s="199"/>
      <c r="XCZ149" s="200"/>
      <c r="XDA149" s="201"/>
      <c r="XDB149" s="202"/>
      <c r="XDC149" s="202"/>
      <c r="XDD149" s="202"/>
      <c r="XDE149" s="202"/>
      <c r="XDF149" s="203"/>
      <c r="XDG149" s="204"/>
      <c r="XDH149" s="204"/>
      <c r="XDI149" s="204"/>
      <c r="XDJ149" s="205"/>
      <c r="XDK149" s="206"/>
      <c r="XDL149" s="207"/>
      <c r="XDM149" s="207"/>
      <c r="XDN149" s="208"/>
      <c r="XDO149" s="209"/>
      <c r="XDP149" s="207"/>
      <c r="XDQ149" s="210"/>
      <c r="XDR149" s="209"/>
      <c r="XDS149" s="204"/>
      <c r="XDT149" s="204"/>
      <c r="XDU149" s="204"/>
      <c r="XDV149" s="199"/>
      <c r="XDW149" s="167"/>
      <c r="XDX149" s="199"/>
      <c r="XDY149" s="200"/>
      <c r="XDZ149" s="201"/>
      <c r="XEA149" s="202"/>
      <c r="XEB149" s="202"/>
      <c r="XEC149" s="202"/>
      <c r="XED149" s="202"/>
      <c r="XEE149" s="203"/>
      <c r="XEF149" s="204"/>
      <c r="XEG149" s="204"/>
      <c r="XEH149" s="204"/>
      <c r="XEI149" s="205"/>
      <c r="XEJ149" s="206"/>
      <c r="XEK149" s="207"/>
      <c r="XEL149" s="207"/>
      <c r="XEM149" s="208"/>
      <c r="XEN149" s="209"/>
      <c r="XEO149" s="207"/>
      <c r="XEP149" s="210"/>
      <c r="XEQ149" s="209"/>
      <c r="XER149" s="204"/>
      <c r="XES149" s="204"/>
      <c r="XET149" s="204"/>
      <c r="XEU149" s="199"/>
      <c r="XEV149" s="167"/>
      <c r="XEW149" s="199"/>
      <c r="XEX149" s="200"/>
      <c r="XEY149" s="201"/>
      <c r="XEZ149" s="202"/>
      <c r="XFA149" s="202"/>
      <c r="XFB149" s="202"/>
      <c r="XFC149" s="202"/>
    </row>
    <row r="150" spans="1:16383" ht="90" x14ac:dyDescent="0.2">
      <c r="A150" s="38" t="s">
        <v>20</v>
      </c>
      <c r="B150" s="66">
        <f t="shared" si="137"/>
        <v>1</v>
      </c>
      <c r="C150" s="66">
        <v>130</v>
      </c>
      <c r="D150" s="70">
        <v>133</v>
      </c>
      <c r="E150" s="51" t="s">
        <v>78</v>
      </c>
      <c r="F150" s="398" t="s">
        <v>79</v>
      </c>
      <c r="G150" s="15">
        <v>10</v>
      </c>
      <c r="H150" s="28" t="s">
        <v>23</v>
      </c>
      <c r="I150" s="10">
        <v>1</v>
      </c>
      <c r="J150" s="11" t="s">
        <v>132</v>
      </c>
      <c r="K150" s="105">
        <f>1602000/30</f>
        <v>53400</v>
      </c>
      <c r="L150" s="106">
        <f>+K150*G150*I150</f>
        <v>534000</v>
      </c>
      <c r="M150" s="122"/>
      <c r="N150" s="123"/>
      <c r="O150" s="122"/>
      <c r="P150" s="123"/>
      <c r="Q150" s="165">
        <f>+AVERAGE(K150,M150,O150)</f>
        <v>53400</v>
      </c>
      <c r="R150" s="166">
        <f>+Q150*G150*I150</f>
        <v>534000</v>
      </c>
      <c r="S150" s="222">
        <f>_xlfn.STDEV.P(K150,M150,O150)</f>
        <v>0</v>
      </c>
      <c r="T150" s="223">
        <f t="shared" ref="T150:T157" si="153">+S150/Q150</f>
        <v>0</v>
      </c>
      <c r="U150" s="224">
        <f>+MEDIAN(K150,M150,O150)</f>
        <v>53400</v>
      </c>
      <c r="V150" s="225">
        <f>+U150*G150*I150</f>
        <v>534000</v>
      </c>
      <c r="W150" s="149">
        <f t="shared" ref="W150:W157" si="154">+S150/U150</f>
        <v>0</v>
      </c>
      <c r="X150" s="316" t="s">
        <v>819</v>
      </c>
      <c r="Y150" s="137"/>
      <c r="Z150" s="138"/>
    </row>
    <row r="151" spans="1:16383" ht="210" x14ac:dyDescent="0.2">
      <c r="A151" s="38" t="s">
        <v>54</v>
      </c>
      <c r="B151" s="66">
        <f t="shared" si="137"/>
        <v>3</v>
      </c>
      <c r="C151" s="66">
        <v>131</v>
      </c>
      <c r="D151" s="70">
        <v>135</v>
      </c>
      <c r="E151" s="51" t="s">
        <v>347</v>
      </c>
      <c r="F151" s="7" t="s">
        <v>348</v>
      </c>
      <c r="G151" s="15">
        <v>140</v>
      </c>
      <c r="H151" s="12" t="s">
        <v>349</v>
      </c>
      <c r="I151" s="10"/>
      <c r="J151" s="11"/>
      <c r="K151" s="105">
        <f>+(135000*100)/119</f>
        <v>113445.37815126051</v>
      </c>
      <c r="L151" s="121">
        <f t="shared" ref="L151:L157" si="155">K151*G151</f>
        <v>15882352.94117647</v>
      </c>
      <c r="M151" s="105">
        <v>150000</v>
      </c>
      <c r="N151" s="121">
        <f t="shared" ref="N151:N157" si="156">G151*M151</f>
        <v>21000000</v>
      </c>
      <c r="O151" s="105">
        <v>195000</v>
      </c>
      <c r="P151" s="121">
        <f t="shared" ref="P151:P157" si="157">G151*O151</f>
        <v>27300000</v>
      </c>
      <c r="Q151" s="165">
        <f t="shared" ref="Q151:Q156" si="158">+AVERAGE(K151,M151,O151)</f>
        <v>152815.12605042016</v>
      </c>
      <c r="R151" s="166">
        <f t="shared" ref="R151:R154" si="159">+Q151*G151</f>
        <v>21394117.647058822</v>
      </c>
      <c r="S151" s="222">
        <f t="shared" ref="S151:S157" si="160">_xlfn.STDEV.P(K151,M151,O151)</f>
        <v>33353.98813967668</v>
      </c>
      <c r="T151" s="223">
        <f t="shared" si="153"/>
        <v>0.21826365623434285</v>
      </c>
      <c r="U151" s="224">
        <f t="shared" ref="U151:U157" si="161">+MEDIAN(K151,M151,O151)</f>
        <v>150000</v>
      </c>
      <c r="V151" s="225">
        <f t="shared" ref="V151:V154" si="162">+U151*G151</f>
        <v>21000000</v>
      </c>
      <c r="W151" s="149">
        <f t="shared" si="154"/>
        <v>0.22235992093117787</v>
      </c>
      <c r="X151" s="139" t="s">
        <v>845</v>
      </c>
      <c r="Y151" s="137" t="s">
        <v>759</v>
      </c>
      <c r="Z151" s="138" t="s">
        <v>752</v>
      </c>
    </row>
    <row r="152" spans="1:16383" ht="225" x14ac:dyDescent="0.2">
      <c r="A152" s="38" t="s">
        <v>54</v>
      </c>
      <c r="B152" s="66">
        <f t="shared" si="137"/>
        <v>3</v>
      </c>
      <c r="C152" s="66">
        <v>132</v>
      </c>
      <c r="D152" s="70">
        <v>136</v>
      </c>
      <c r="E152" s="51" t="s">
        <v>350</v>
      </c>
      <c r="F152" s="7" t="s">
        <v>879</v>
      </c>
      <c r="G152" s="15">
        <v>5</v>
      </c>
      <c r="H152" s="12" t="s">
        <v>57</v>
      </c>
      <c r="I152" s="10"/>
      <c r="J152" s="11"/>
      <c r="K152" s="105">
        <v>4432883</v>
      </c>
      <c r="L152" s="121">
        <f t="shared" si="155"/>
        <v>22164415</v>
      </c>
      <c r="M152" s="105">
        <v>4831567</v>
      </c>
      <c r="N152" s="121">
        <f t="shared" si="156"/>
        <v>24157835</v>
      </c>
      <c r="O152" s="105">
        <v>4240149</v>
      </c>
      <c r="P152" s="121">
        <f t="shared" si="157"/>
        <v>21200745</v>
      </c>
      <c r="Q152" s="165">
        <f t="shared" si="158"/>
        <v>4501533</v>
      </c>
      <c r="R152" s="166">
        <f t="shared" si="159"/>
        <v>22507665</v>
      </c>
      <c r="S152" s="222">
        <f t="shared" si="160"/>
        <v>246276.84903511874</v>
      </c>
      <c r="T152" s="223">
        <f t="shared" si="153"/>
        <v>5.4709550954112465E-2</v>
      </c>
      <c r="U152" s="224">
        <f t="shared" si="161"/>
        <v>4432883</v>
      </c>
      <c r="V152" s="225">
        <f t="shared" si="162"/>
        <v>22164415</v>
      </c>
      <c r="W152" s="149">
        <f t="shared" si="154"/>
        <v>5.5556812357808391E-2</v>
      </c>
      <c r="X152" s="139" t="s">
        <v>911</v>
      </c>
      <c r="Y152" s="137" t="s">
        <v>911</v>
      </c>
      <c r="Z152" s="138" t="s">
        <v>911</v>
      </c>
    </row>
    <row r="153" spans="1:16383" ht="60" x14ac:dyDescent="0.2">
      <c r="A153" s="38" t="s">
        <v>54</v>
      </c>
      <c r="B153" s="66">
        <f t="shared" si="137"/>
        <v>3</v>
      </c>
      <c r="C153" s="66">
        <v>133</v>
      </c>
      <c r="D153" s="70">
        <v>137</v>
      </c>
      <c r="E153" s="51" t="s">
        <v>351</v>
      </c>
      <c r="F153" s="7" t="s">
        <v>352</v>
      </c>
      <c r="G153" s="15">
        <v>140</v>
      </c>
      <c r="H153" s="14" t="s">
        <v>57</v>
      </c>
      <c r="I153" s="10"/>
      <c r="J153" s="11"/>
      <c r="K153" s="105">
        <v>36000</v>
      </c>
      <c r="L153" s="121">
        <f t="shared" si="155"/>
        <v>5040000</v>
      </c>
      <c r="M153" s="105">
        <v>25000</v>
      </c>
      <c r="N153" s="121">
        <f t="shared" si="156"/>
        <v>3500000</v>
      </c>
      <c r="O153" s="105">
        <v>25000</v>
      </c>
      <c r="P153" s="121">
        <f t="shared" si="157"/>
        <v>3500000</v>
      </c>
      <c r="Q153" s="165">
        <f t="shared" si="158"/>
        <v>28666.666666666668</v>
      </c>
      <c r="R153" s="166">
        <f t="shared" si="159"/>
        <v>4013333.3333333335</v>
      </c>
      <c r="S153" s="222">
        <f t="shared" si="160"/>
        <v>5185.4497287013482</v>
      </c>
      <c r="T153" s="223">
        <f t="shared" si="153"/>
        <v>0.18088778123376795</v>
      </c>
      <c r="U153" s="224">
        <f t="shared" si="161"/>
        <v>25000</v>
      </c>
      <c r="V153" s="225">
        <f t="shared" si="162"/>
        <v>3500000</v>
      </c>
      <c r="W153" s="149">
        <f t="shared" si="154"/>
        <v>0.20741798914805393</v>
      </c>
      <c r="X153" s="139" t="s">
        <v>353</v>
      </c>
      <c r="Y153" s="137" t="s">
        <v>759</v>
      </c>
      <c r="Z153" s="138" t="s">
        <v>752</v>
      </c>
    </row>
    <row r="154" spans="1:16383" ht="60" x14ac:dyDescent="0.2">
      <c r="A154" s="38" t="s">
        <v>54</v>
      </c>
      <c r="B154" s="66">
        <f t="shared" si="137"/>
        <v>3</v>
      </c>
      <c r="C154" s="66">
        <v>134</v>
      </c>
      <c r="D154" s="70">
        <v>138</v>
      </c>
      <c r="E154" s="51" t="s">
        <v>123</v>
      </c>
      <c r="F154" s="7" t="s">
        <v>124</v>
      </c>
      <c r="G154" s="15">
        <v>140</v>
      </c>
      <c r="H154" s="14" t="s">
        <v>57</v>
      </c>
      <c r="I154" s="10"/>
      <c r="J154" s="11"/>
      <c r="K154" s="105">
        <f>+(2800*100)/119</f>
        <v>2352.9411764705883</v>
      </c>
      <c r="L154" s="121">
        <f t="shared" si="155"/>
        <v>329411.76470588235</v>
      </c>
      <c r="M154" s="325">
        <v>2253</v>
      </c>
      <c r="N154" s="121">
        <f t="shared" si="156"/>
        <v>315420</v>
      </c>
      <c r="O154" s="105">
        <v>2479</v>
      </c>
      <c r="P154" s="121">
        <f t="shared" si="157"/>
        <v>347060</v>
      </c>
      <c r="Q154" s="165">
        <f t="shared" si="158"/>
        <v>2361.6470588235293</v>
      </c>
      <c r="R154" s="166">
        <f t="shared" si="159"/>
        <v>330630.5882352941</v>
      </c>
      <c r="S154" s="222">
        <f t="shared" si="160"/>
        <v>92.469253595118275</v>
      </c>
      <c r="T154" s="223">
        <f t="shared" si="153"/>
        <v>3.9154560902585699E-2</v>
      </c>
      <c r="U154" s="224">
        <f t="shared" si="161"/>
        <v>2352.9411764705883</v>
      </c>
      <c r="V154" s="225">
        <f t="shared" si="162"/>
        <v>329411.76470588235</v>
      </c>
      <c r="W154" s="149">
        <f t="shared" si="154"/>
        <v>3.9299432777925268E-2</v>
      </c>
      <c r="X154" s="139" t="s">
        <v>353</v>
      </c>
      <c r="Y154" s="137" t="s">
        <v>739</v>
      </c>
      <c r="Z154" s="138" t="s">
        <v>910</v>
      </c>
    </row>
    <row r="155" spans="1:16383" ht="75" x14ac:dyDescent="0.2">
      <c r="A155" s="38" t="s">
        <v>54</v>
      </c>
      <c r="B155" s="66">
        <f t="shared" si="137"/>
        <v>3</v>
      </c>
      <c r="C155" s="66">
        <v>135</v>
      </c>
      <c r="D155" s="70">
        <v>139</v>
      </c>
      <c r="E155" s="51" t="s">
        <v>354</v>
      </c>
      <c r="F155" s="7" t="s">
        <v>355</v>
      </c>
      <c r="G155" s="15">
        <v>140</v>
      </c>
      <c r="H155" s="14" t="s">
        <v>57</v>
      </c>
      <c r="I155" s="10"/>
      <c r="J155" s="11"/>
      <c r="K155" s="105">
        <f>+(67830*100)/119</f>
        <v>57000</v>
      </c>
      <c r="L155" s="121">
        <f t="shared" si="155"/>
        <v>7980000</v>
      </c>
      <c r="M155" s="105">
        <f>+(41500*5.35%)+41500</f>
        <v>43720.25</v>
      </c>
      <c r="N155" s="121">
        <f t="shared" si="156"/>
        <v>6120835</v>
      </c>
      <c r="O155" s="105">
        <f>+(41500*5.35%)+41500</f>
        <v>43720.25</v>
      </c>
      <c r="P155" s="121">
        <f t="shared" si="157"/>
        <v>6120835</v>
      </c>
      <c r="Q155" s="165">
        <f t="shared" si="158"/>
        <v>48146.833333333336</v>
      </c>
      <c r="R155" s="166">
        <f t="shared" ref="R155:R156" si="163">+Q155*G155</f>
        <v>6740556.666666667</v>
      </c>
      <c r="S155" s="222">
        <f t="shared" si="160"/>
        <v>6260.1341849747032</v>
      </c>
      <c r="T155" s="223">
        <f t="shared" si="153"/>
        <v>0.13002172212727114</v>
      </c>
      <c r="U155" s="224">
        <f t="shared" si="161"/>
        <v>43720.25</v>
      </c>
      <c r="V155" s="225">
        <f t="shared" ref="V155:V156" si="164">+U155*G155</f>
        <v>6120835</v>
      </c>
      <c r="W155" s="149">
        <f t="shared" si="154"/>
        <v>0.14318614795145734</v>
      </c>
      <c r="X155" s="139" t="s">
        <v>729</v>
      </c>
      <c r="Y155" s="137" t="s">
        <v>735</v>
      </c>
      <c r="Z155" s="138" t="s">
        <v>736</v>
      </c>
    </row>
    <row r="156" spans="1:16383" ht="105" x14ac:dyDescent="0.2">
      <c r="A156" s="38" t="s">
        <v>54</v>
      </c>
      <c r="B156" s="66">
        <f t="shared" si="137"/>
        <v>3</v>
      </c>
      <c r="C156" s="66">
        <v>136</v>
      </c>
      <c r="D156" s="70">
        <v>140</v>
      </c>
      <c r="E156" s="51" t="s">
        <v>252</v>
      </c>
      <c r="F156" s="7" t="s">
        <v>344</v>
      </c>
      <c r="G156" s="15">
        <v>140</v>
      </c>
      <c r="H156" s="14" t="s">
        <v>57</v>
      </c>
      <c r="I156" s="10"/>
      <c r="J156" s="11"/>
      <c r="K156" s="105">
        <v>28000</v>
      </c>
      <c r="L156" s="121">
        <f t="shared" si="155"/>
        <v>3920000</v>
      </c>
      <c r="M156" s="105">
        <f>+(25000*5.35%)+25000</f>
        <v>26337.5</v>
      </c>
      <c r="N156" s="121">
        <f t="shared" si="156"/>
        <v>3687250</v>
      </c>
      <c r="O156" s="105">
        <v>10000</v>
      </c>
      <c r="P156" s="121">
        <f t="shared" si="157"/>
        <v>1400000</v>
      </c>
      <c r="Q156" s="165">
        <f t="shared" si="158"/>
        <v>21445.833333333332</v>
      </c>
      <c r="R156" s="166">
        <f t="shared" si="163"/>
        <v>3002416.6666666665</v>
      </c>
      <c r="S156" s="222">
        <f t="shared" si="160"/>
        <v>8121.8348535838186</v>
      </c>
      <c r="T156" s="223">
        <f t="shared" si="153"/>
        <v>0.37871388476007706</v>
      </c>
      <c r="U156" s="224">
        <f t="shared" si="161"/>
        <v>26337.5</v>
      </c>
      <c r="V156" s="225">
        <f t="shared" si="164"/>
        <v>3687250</v>
      </c>
      <c r="W156" s="149">
        <f t="shared" si="154"/>
        <v>0.3083753148014739</v>
      </c>
      <c r="X156" s="139" t="s">
        <v>729</v>
      </c>
      <c r="Y156" s="572" t="s">
        <v>732</v>
      </c>
      <c r="Z156" s="573" t="s">
        <v>733</v>
      </c>
    </row>
    <row r="157" spans="1:16383" ht="61" thickBot="1" x14ac:dyDescent="0.25">
      <c r="A157" s="38" t="s">
        <v>54</v>
      </c>
      <c r="B157" s="66">
        <f t="shared" si="137"/>
        <v>3</v>
      </c>
      <c r="C157" s="66">
        <v>137</v>
      </c>
      <c r="D157" s="70">
        <v>141</v>
      </c>
      <c r="E157" s="51" t="s">
        <v>356</v>
      </c>
      <c r="F157" s="7" t="s">
        <v>357</v>
      </c>
      <c r="G157" s="15">
        <v>4</v>
      </c>
      <c r="H157" s="12" t="s">
        <v>823</v>
      </c>
      <c r="I157" s="10"/>
      <c r="J157" s="11"/>
      <c r="K157" s="105">
        <f>+(6545000*100)/119</f>
        <v>5500000</v>
      </c>
      <c r="L157" s="121">
        <f t="shared" si="155"/>
        <v>22000000</v>
      </c>
      <c r="M157" s="105">
        <f>+(3094000*100)/119</f>
        <v>2600000</v>
      </c>
      <c r="N157" s="121">
        <f t="shared" si="156"/>
        <v>10400000</v>
      </c>
      <c r="O157" s="105">
        <f>+(6545000*100)/119</f>
        <v>5500000</v>
      </c>
      <c r="P157" s="121">
        <f t="shared" si="157"/>
        <v>22000000</v>
      </c>
      <c r="Q157" s="165">
        <f>+AVERAGE(K157,M157,O157)</f>
        <v>4533333.333333333</v>
      </c>
      <c r="R157" s="166">
        <f>+Q157*G157</f>
        <v>18133333.333333332</v>
      </c>
      <c r="S157" s="222">
        <f t="shared" si="160"/>
        <v>1367073.1102939919</v>
      </c>
      <c r="T157" s="223">
        <f t="shared" si="153"/>
        <v>0.30156024491779232</v>
      </c>
      <c r="U157" s="224">
        <f t="shared" si="161"/>
        <v>5500000</v>
      </c>
      <c r="V157" s="225">
        <f>+U157*G157</f>
        <v>22000000</v>
      </c>
      <c r="W157" s="149">
        <f t="shared" si="154"/>
        <v>0.24855874732618033</v>
      </c>
      <c r="X157" s="570" t="s">
        <v>100</v>
      </c>
      <c r="Y157" s="576" t="s">
        <v>88</v>
      </c>
      <c r="Z157" s="571" t="s">
        <v>89</v>
      </c>
    </row>
    <row r="158" spans="1:16383" ht="20" thickBot="1" x14ac:dyDescent="0.25">
      <c r="A158" s="49">
        <v>1</v>
      </c>
      <c r="B158" s="193"/>
      <c r="C158" s="193"/>
      <c r="D158" s="69"/>
      <c r="E158" s="50"/>
      <c r="F158" s="400" t="s">
        <v>358</v>
      </c>
      <c r="G158" s="30"/>
      <c r="H158" s="30"/>
      <c r="I158" s="30"/>
      <c r="J158" s="30"/>
      <c r="K158" s="109"/>
      <c r="L158" s="110"/>
      <c r="M158" s="110"/>
      <c r="N158" s="110"/>
      <c r="O158" s="109"/>
      <c r="P158" s="110"/>
      <c r="Q158" s="194"/>
      <c r="R158" s="194"/>
      <c r="S158" s="195"/>
      <c r="T158" s="196"/>
      <c r="U158" s="194"/>
      <c r="V158" s="197"/>
      <c r="W158" s="196"/>
      <c r="X158" s="593"/>
      <c r="Y158" s="593"/>
      <c r="Z158" s="594"/>
      <c r="AA158" s="199"/>
      <c r="AB158" s="200"/>
      <c r="AC158" s="201"/>
      <c r="AD158" s="202"/>
      <c r="AE158" s="202"/>
      <c r="AF158" s="202"/>
      <c r="AG158" s="202"/>
      <c r="AH158" s="203"/>
      <c r="AI158" s="204"/>
      <c r="AJ158" s="204"/>
      <c r="AK158" s="204"/>
      <c r="AL158" s="205"/>
      <c r="AM158" s="206"/>
      <c r="AN158" s="207"/>
      <c r="AO158" s="207"/>
      <c r="AP158" s="208"/>
      <c r="AQ158" s="209"/>
      <c r="AR158" s="207"/>
      <c r="AS158" s="210"/>
      <c r="AT158" s="209"/>
      <c r="AU158" s="204"/>
      <c r="AV158" s="204"/>
      <c r="AW158" s="204"/>
      <c r="AX158" s="199"/>
      <c r="AY158" s="167"/>
      <c r="AZ158" s="199"/>
      <c r="BA158" s="200"/>
      <c r="BB158" s="201"/>
      <c r="BC158" s="202"/>
      <c r="BD158" s="202"/>
      <c r="BE158" s="202"/>
      <c r="BF158" s="202"/>
      <c r="BG158" s="203"/>
      <c r="BH158" s="204"/>
      <c r="BI158" s="204"/>
      <c r="BJ158" s="204"/>
      <c r="BK158" s="205"/>
      <c r="BL158" s="206"/>
      <c r="BM158" s="207"/>
      <c r="BN158" s="207"/>
      <c r="BO158" s="208"/>
      <c r="BP158" s="209"/>
      <c r="BQ158" s="207"/>
      <c r="BR158" s="210"/>
      <c r="BS158" s="209"/>
      <c r="BT158" s="204"/>
      <c r="BU158" s="204"/>
      <c r="BV158" s="204"/>
      <c r="BW158" s="199"/>
      <c r="BX158" s="167"/>
      <c r="BY158" s="199"/>
      <c r="BZ158" s="200"/>
      <c r="CA158" s="201"/>
      <c r="CB158" s="202"/>
      <c r="CC158" s="202"/>
      <c r="CD158" s="202"/>
      <c r="CE158" s="202"/>
      <c r="CF158" s="203"/>
      <c r="CG158" s="204"/>
      <c r="CH158" s="204"/>
      <c r="CI158" s="204"/>
      <c r="CJ158" s="205"/>
      <c r="CK158" s="206"/>
      <c r="CL158" s="207"/>
      <c r="CM158" s="207"/>
      <c r="CN158" s="208"/>
      <c r="CO158" s="209"/>
      <c r="CP158" s="207"/>
      <c r="CQ158" s="210"/>
      <c r="CR158" s="209"/>
      <c r="CS158" s="204"/>
      <c r="CT158" s="204"/>
      <c r="CU158" s="204"/>
      <c r="CV158" s="199"/>
      <c r="CW158" s="167"/>
      <c r="CX158" s="199"/>
      <c r="CY158" s="200"/>
      <c r="CZ158" s="201"/>
      <c r="DA158" s="202"/>
      <c r="DB158" s="202"/>
      <c r="DC158" s="202"/>
      <c r="DD158" s="202"/>
      <c r="DE158" s="203"/>
      <c r="DF158" s="204"/>
      <c r="DG158" s="204"/>
      <c r="DH158" s="204"/>
      <c r="DI158" s="205"/>
      <c r="DJ158" s="206"/>
      <c r="DK158" s="207"/>
      <c r="DL158" s="207"/>
      <c r="DM158" s="208"/>
      <c r="DN158" s="209"/>
      <c r="DO158" s="207"/>
      <c r="DP158" s="210"/>
      <c r="DQ158" s="209"/>
      <c r="DR158" s="204"/>
      <c r="DS158" s="204"/>
      <c r="DT158" s="204"/>
      <c r="DU158" s="199"/>
      <c r="DV158" s="167"/>
      <c r="DW158" s="199"/>
      <c r="DX158" s="200"/>
      <c r="DY158" s="201"/>
      <c r="DZ158" s="202"/>
      <c r="EA158" s="202"/>
      <c r="EB158" s="202"/>
      <c r="EC158" s="202"/>
      <c r="ED158" s="203"/>
      <c r="EE158" s="204"/>
      <c r="EF158" s="204"/>
      <c r="EG158" s="204"/>
      <c r="EH158" s="205"/>
      <c r="EI158" s="206"/>
      <c r="EJ158" s="207"/>
      <c r="EK158" s="207"/>
      <c r="EL158" s="208"/>
      <c r="EM158" s="209"/>
      <c r="EN158" s="207"/>
      <c r="EO158" s="210"/>
      <c r="EP158" s="209"/>
      <c r="EQ158" s="204"/>
      <c r="ER158" s="204"/>
      <c r="ES158" s="204"/>
      <c r="ET158" s="199"/>
      <c r="EU158" s="167"/>
      <c r="EV158" s="199"/>
      <c r="EW158" s="200"/>
      <c r="EX158" s="201"/>
      <c r="EY158" s="202"/>
      <c r="EZ158" s="202"/>
      <c r="FA158" s="202"/>
      <c r="FB158" s="202"/>
      <c r="FC158" s="203"/>
      <c r="FD158" s="204"/>
      <c r="FE158" s="204"/>
      <c r="FF158" s="204"/>
      <c r="FG158" s="205"/>
      <c r="FH158" s="206"/>
      <c r="FI158" s="207"/>
      <c r="FJ158" s="207"/>
      <c r="FK158" s="208"/>
      <c r="FL158" s="209"/>
      <c r="FM158" s="207"/>
      <c r="FN158" s="210"/>
      <c r="FO158" s="209"/>
      <c r="FP158" s="204"/>
      <c r="FQ158" s="204"/>
      <c r="FR158" s="204"/>
      <c r="FS158" s="199"/>
      <c r="FT158" s="167"/>
      <c r="FU158" s="199"/>
      <c r="FV158" s="200"/>
      <c r="FW158" s="201"/>
      <c r="FX158" s="202"/>
      <c r="FY158" s="202"/>
      <c r="FZ158" s="202"/>
      <c r="GA158" s="202"/>
      <c r="GB158" s="203"/>
      <c r="GC158" s="204"/>
      <c r="GD158" s="204"/>
      <c r="GE158" s="204"/>
      <c r="GF158" s="205"/>
      <c r="GG158" s="206"/>
      <c r="GH158" s="207"/>
      <c r="GI158" s="207"/>
      <c r="GJ158" s="208"/>
      <c r="GK158" s="209"/>
      <c r="GL158" s="207"/>
      <c r="GM158" s="210"/>
      <c r="GN158" s="209"/>
      <c r="GO158" s="204"/>
      <c r="GP158" s="204"/>
      <c r="GQ158" s="204"/>
      <c r="GR158" s="199"/>
      <c r="GS158" s="167"/>
      <c r="GT158" s="199"/>
      <c r="GU158" s="200"/>
      <c r="GV158" s="201"/>
      <c r="GW158" s="202"/>
      <c r="GX158" s="202"/>
      <c r="GY158" s="202"/>
      <c r="GZ158" s="202"/>
      <c r="HA158" s="203"/>
      <c r="HB158" s="204"/>
      <c r="HC158" s="204"/>
      <c r="HD158" s="204"/>
      <c r="HE158" s="205"/>
      <c r="HF158" s="206"/>
      <c r="HG158" s="207"/>
      <c r="HH158" s="207"/>
      <c r="HI158" s="208"/>
      <c r="HJ158" s="209"/>
      <c r="HK158" s="207"/>
      <c r="HL158" s="210"/>
      <c r="HM158" s="209"/>
      <c r="HN158" s="204"/>
      <c r="HO158" s="204"/>
      <c r="HP158" s="204"/>
      <c r="HQ158" s="199"/>
      <c r="HR158" s="167"/>
      <c r="HS158" s="199"/>
      <c r="HT158" s="200"/>
      <c r="HU158" s="201"/>
      <c r="HV158" s="202"/>
      <c r="HW158" s="202"/>
      <c r="HX158" s="202"/>
      <c r="HY158" s="202"/>
      <c r="HZ158" s="203"/>
      <c r="IA158" s="204"/>
      <c r="IB158" s="204"/>
      <c r="IC158" s="204"/>
      <c r="ID158" s="205"/>
      <c r="IE158" s="206"/>
      <c r="IF158" s="207"/>
      <c r="IG158" s="207"/>
      <c r="IH158" s="208"/>
      <c r="II158" s="209"/>
      <c r="IJ158" s="207"/>
      <c r="IK158" s="210"/>
      <c r="IL158" s="209"/>
      <c r="IM158" s="204"/>
      <c r="IN158" s="204"/>
      <c r="IO158" s="204"/>
      <c r="IP158" s="199"/>
      <c r="IQ158" s="167"/>
      <c r="IR158" s="199"/>
      <c r="IS158" s="200"/>
      <c r="IT158" s="201"/>
      <c r="IU158" s="202"/>
      <c r="IV158" s="202"/>
      <c r="IW158" s="202"/>
      <c r="IX158" s="202"/>
      <c r="IY158" s="203"/>
      <c r="IZ158" s="204"/>
      <c r="JA158" s="204"/>
      <c r="JB158" s="204"/>
      <c r="JC158" s="205"/>
      <c r="JD158" s="206"/>
      <c r="JE158" s="207"/>
      <c r="JF158" s="207"/>
      <c r="JG158" s="208"/>
      <c r="JH158" s="209"/>
      <c r="JI158" s="207"/>
      <c r="JJ158" s="210"/>
      <c r="JK158" s="209"/>
      <c r="JL158" s="204"/>
      <c r="JM158" s="204"/>
      <c r="JN158" s="204"/>
      <c r="JO158" s="199"/>
      <c r="JP158" s="167"/>
      <c r="JQ158" s="199"/>
      <c r="JR158" s="200"/>
      <c r="JS158" s="201"/>
      <c r="JT158" s="202"/>
      <c r="JU158" s="202"/>
      <c r="JV158" s="202"/>
      <c r="JW158" s="202"/>
      <c r="JX158" s="203"/>
      <c r="JY158" s="204"/>
      <c r="JZ158" s="204"/>
      <c r="KA158" s="204"/>
      <c r="KB158" s="205"/>
      <c r="KC158" s="206"/>
      <c r="KD158" s="207"/>
      <c r="KE158" s="207"/>
      <c r="KF158" s="208"/>
      <c r="KG158" s="209"/>
      <c r="KH158" s="207"/>
      <c r="KI158" s="210"/>
      <c r="KJ158" s="209"/>
      <c r="KK158" s="204"/>
      <c r="KL158" s="204"/>
      <c r="KM158" s="204"/>
      <c r="KN158" s="199"/>
      <c r="KO158" s="167"/>
      <c r="KP158" s="199"/>
      <c r="KQ158" s="200"/>
      <c r="KR158" s="201"/>
      <c r="KS158" s="202"/>
      <c r="KT158" s="202"/>
      <c r="KU158" s="202"/>
      <c r="KV158" s="202"/>
      <c r="KW158" s="203"/>
      <c r="KX158" s="204"/>
      <c r="KY158" s="204"/>
      <c r="KZ158" s="204"/>
      <c r="LA158" s="205"/>
      <c r="LB158" s="206"/>
      <c r="LC158" s="207"/>
      <c r="LD158" s="207"/>
      <c r="LE158" s="208"/>
      <c r="LF158" s="209"/>
      <c r="LG158" s="207"/>
      <c r="LH158" s="210"/>
      <c r="LI158" s="209"/>
      <c r="LJ158" s="204"/>
      <c r="LK158" s="204"/>
      <c r="LL158" s="204"/>
      <c r="LM158" s="199"/>
      <c r="LN158" s="167"/>
      <c r="LO158" s="199"/>
      <c r="LP158" s="200"/>
      <c r="LQ158" s="201"/>
      <c r="LR158" s="202"/>
      <c r="LS158" s="202"/>
      <c r="LT158" s="202"/>
      <c r="LU158" s="202"/>
      <c r="LV158" s="203"/>
      <c r="LW158" s="204"/>
      <c r="LX158" s="204"/>
      <c r="LY158" s="204"/>
      <c r="LZ158" s="205"/>
      <c r="MA158" s="206"/>
      <c r="MB158" s="207"/>
      <c r="MC158" s="207"/>
      <c r="MD158" s="208"/>
      <c r="ME158" s="209"/>
      <c r="MF158" s="207"/>
      <c r="MG158" s="210"/>
      <c r="MH158" s="209"/>
      <c r="MI158" s="204"/>
      <c r="MJ158" s="204"/>
      <c r="MK158" s="204"/>
      <c r="ML158" s="199"/>
      <c r="MM158" s="167"/>
      <c r="MN158" s="199"/>
      <c r="MO158" s="200"/>
      <c r="MP158" s="201"/>
      <c r="MQ158" s="202"/>
      <c r="MR158" s="202"/>
      <c r="MS158" s="202"/>
      <c r="MT158" s="202"/>
      <c r="MU158" s="203"/>
      <c r="MV158" s="204"/>
      <c r="MW158" s="204"/>
      <c r="MX158" s="204"/>
      <c r="MY158" s="205"/>
      <c r="MZ158" s="206"/>
      <c r="NA158" s="207"/>
      <c r="NB158" s="207"/>
      <c r="NC158" s="208"/>
      <c r="ND158" s="209"/>
      <c r="NE158" s="207"/>
      <c r="NF158" s="210"/>
      <c r="NG158" s="209"/>
      <c r="NH158" s="204"/>
      <c r="NI158" s="204"/>
      <c r="NJ158" s="204"/>
      <c r="NK158" s="199"/>
      <c r="NL158" s="167"/>
      <c r="NM158" s="199"/>
      <c r="NN158" s="200"/>
      <c r="NO158" s="201"/>
      <c r="NP158" s="202"/>
      <c r="NQ158" s="202"/>
      <c r="NR158" s="202"/>
      <c r="NS158" s="202"/>
      <c r="NT158" s="203"/>
      <c r="NU158" s="204"/>
      <c r="NV158" s="204"/>
      <c r="NW158" s="204"/>
      <c r="NX158" s="205"/>
      <c r="NY158" s="206"/>
      <c r="NZ158" s="207"/>
      <c r="OA158" s="207"/>
      <c r="OB158" s="208"/>
      <c r="OC158" s="209"/>
      <c r="OD158" s="207"/>
      <c r="OE158" s="210"/>
      <c r="OF158" s="209"/>
      <c r="OG158" s="204"/>
      <c r="OH158" s="204"/>
      <c r="OI158" s="204"/>
      <c r="OJ158" s="199"/>
      <c r="OK158" s="167"/>
      <c r="OL158" s="199"/>
      <c r="OM158" s="200"/>
      <c r="ON158" s="201"/>
      <c r="OO158" s="202"/>
      <c r="OP158" s="202"/>
      <c r="OQ158" s="202"/>
      <c r="OR158" s="202"/>
      <c r="OS158" s="203"/>
      <c r="OT158" s="204"/>
      <c r="OU158" s="204"/>
      <c r="OV158" s="204"/>
      <c r="OW158" s="205"/>
      <c r="OX158" s="206"/>
      <c r="OY158" s="207"/>
      <c r="OZ158" s="207"/>
      <c r="PA158" s="208"/>
      <c r="PB158" s="209"/>
      <c r="PC158" s="207"/>
      <c r="PD158" s="210"/>
      <c r="PE158" s="209"/>
      <c r="PF158" s="204"/>
      <c r="PG158" s="204"/>
      <c r="PH158" s="204"/>
      <c r="PI158" s="199"/>
      <c r="PJ158" s="167"/>
      <c r="PK158" s="199"/>
      <c r="PL158" s="200"/>
      <c r="PM158" s="201"/>
      <c r="PN158" s="202"/>
      <c r="PO158" s="202"/>
      <c r="PP158" s="202"/>
      <c r="PQ158" s="202"/>
      <c r="PR158" s="203"/>
      <c r="PS158" s="204"/>
      <c r="PT158" s="204"/>
      <c r="PU158" s="204"/>
      <c r="PV158" s="205"/>
      <c r="PW158" s="206"/>
      <c r="PX158" s="207"/>
      <c r="PY158" s="207"/>
      <c r="PZ158" s="208"/>
      <c r="QA158" s="209"/>
      <c r="QB158" s="207"/>
      <c r="QC158" s="210"/>
      <c r="QD158" s="209"/>
      <c r="QE158" s="204"/>
      <c r="QF158" s="204"/>
      <c r="QG158" s="204"/>
      <c r="QH158" s="199"/>
      <c r="QI158" s="167"/>
      <c r="QJ158" s="199"/>
      <c r="QK158" s="200"/>
      <c r="QL158" s="201"/>
      <c r="QM158" s="202"/>
      <c r="QN158" s="202"/>
      <c r="QO158" s="202"/>
      <c r="QP158" s="202"/>
      <c r="QQ158" s="203"/>
      <c r="QR158" s="204"/>
      <c r="QS158" s="204"/>
      <c r="QT158" s="204"/>
      <c r="QU158" s="205"/>
      <c r="QV158" s="206"/>
      <c r="QW158" s="207"/>
      <c r="QX158" s="207"/>
      <c r="QY158" s="208"/>
      <c r="QZ158" s="209"/>
      <c r="RA158" s="207"/>
      <c r="RB158" s="210"/>
      <c r="RC158" s="209"/>
      <c r="RD158" s="204"/>
      <c r="RE158" s="204"/>
      <c r="RF158" s="204"/>
      <c r="RG158" s="199"/>
      <c r="RH158" s="167"/>
      <c r="RI158" s="199"/>
      <c r="RJ158" s="200"/>
      <c r="RK158" s="201"/>
      <c r="RL158" s="202"/>
      <c r="RM158" s="202"/>
      <c r="RN158" s="202"/>
      <c r="RO158" s="202"/>
      <c r="RP158" s="203"/>
      <c r="RQ158" s="204"/>
      <c r="RR158" s="204"/>
      <c r="RS158" s="204"/>
      <c r="RT158" s="205"/>
      <c r="RU158" s="206"/>
      <c r="RV158" s="207"/>
      <c r="RW158" s="207"/>
      <c r="RX158" s="208"/>
      <c r="RY158" s="209"/>
      <c r="RZ158" s="207"/>
      <c r="SA158" s="210"/>
      <c r="SB158" s="209"/>
      <c r="SC158" s="204"/>
      <c r="SD158" s="204"/>
      <c r="SE158" s="204"/>
      <c r="SF158" s="199"/>
      <c r="SG158" s="167"/>
      <c r="SH158" s="199"/>
      <c r="SI158" s="200"/>
      <c r="SJ158" s="201"/>
      <c r="SK158" s="202"/>
      <c r="SL158" s="202"/>
      <c r="SM158" s="202"/>
      <c r="SN158" s="202"/>
      <c r="SO158" s="203"/>
      <c r="SP158" s="204"/>
      <c r="SQ158" s="204"/>
      <c r="SR158" s="204"/>
      <c r="SS158" s="205"/>
      <c r="ST158" s="206"/>
      <c r="SU158" s="207"/>
      <c r="SV158" s="207"/>
      <c r="SW158" s="208"/>
      <c r="SX158" s="209"/>
      <c r="SY158" s="207"/>
      <c r="SZ158" s="210"/>
      <c r="TA158" s="209"/>
      <c r="TB158" s="204"/>
      <c r="TC158" s="204"/>
      <c r="TD158" s="204"/>
      <c r="TE158" s="199"/>
      <c r="TF158" s="167"/>
      <c r="TG158" s="199"/>
      <c r="TH158" s="200"/>
      <c r="TI158" s="201"/>
      <c r="TJ158" s="202"/>
      <c r="TK158" s="202"/>
      <c r="TL158" s="202"/>
      <c r="TM158" s="202"/>
      <c r="TN158" s="203"/>
      <c r="TO158" s="204"/>
      <c r="TP158" s="204"/>
      <c r="TQ158" s="204"/>
      <c r="TR158" s="205"/>
      <c r="TS158" s="206"/>
      <c r="TT158" s="207"/>
      <c r="TU158" s="207"/>
      <c r="TV158" s="208"/>
      <c r="TW158" s="209"/>
      <c r="TX158" s="207"/>
      <c r="TY158" s="210"/>
      <c r="TZ158" s="209"/>
      <c r="UA158" s="204"/>
      <c r="UB158" s="204"/>
      <c r="UC158" s="204"/>
      <c r="UD158" s="199"/>
      <c r="UE158" s="167"/>
      <c r="UF158" s="199"/>
      <c r="UG158" s="200"/>
      <c r="UH158" s="201"/>
      <c r="UI158" s="202"/>
      <c r="UJ158" s="202"/>
      <c r="UK158" s="202"/>
      <c r="UL158" s="202"/>
      <c r="UM158" s="203"/>
      <c r="UN158" s="204"/>
      <c r="UO158" s="204"/>
      <c r="UP158" s="204"/>
      <c r="UQ158" s="205"/>
      <c r="UR158" s="206"/>
      <c r="US158" s="207"/>
      <c r="UT158" s="207"/>
      <c r="UU158" s="208"/>
      <c r="UV158" s="209"/>
      <c r="UW158" s="207"/>
      <c r="UX158" s="210"/>
      <c r="UY158" s="209"/>
      <c r="UZ158" s="204"/>
      <c r="VA158" s="204"/>
      <c r="VB158" s="204"/>
      <c r="VC158" s="199"/>
      <c r="VD158" s="167"/>
      <c r="VE158" s="199"/>
      <c r="VF158" s="200"/>
      <c r="VG158" s="201"/>
      <c r="VH158" s="202"/>
      <c r="VI158" s="202"/>
      <c r="VJ158" s="202"/>
      <c r="VK158" s="202"/>
      <c r="VL158" s="203"/>
      <c r="VM158" s="204"/>
      <c r="VN158" s="204"/>
      <c r="VO158" s="204"/>
      <c r="VP158" s="205"/>
      <c r="VQ158" s="206"/>
      <c r="VR158" s="207"/>
      <c r="VS158" s="207"/>
      <c r="VT158" s="208"/>
      <c r="VU158" s="209"/>
      <c r="VV158" s="207"/>
      <c r="VW158" s="210"/>
      <c r="VX158" s="209"/>
      <c r="VY158" s="204"/>
      <c r="VZ158" s="204"/>
      <c r="WA158" s="204"/>
      <c r="WB158" s="199"/>
      <c r="WC158" s="167"/>
      <c r="WD158" s="199"/>
      <c r="WE158" s="200"/>
      <c r="WF158" s="201"/>
      <c r="WG158" s="202"/>
      <c r="WH158" s="202"/>
      <c r="WI158" s="202"/>
      <c r="WJ158" s="202"/>
      <c r="WK158" s="203"/>
      <c r="WL158" s="204"/>
      <c r="WM158" s="204"/>
      <c r="WN158" s="204"/>
      <c r="WO158" s="205"/>
      <c r="WP158" s="206"/>
      <c r="WQ158" s="207"/>
      <c r="WR158" s="207"/>
      <c r="WS158" s="208"/>
      <c r="WT158" s="209"/>
      <c r="WU158" s="207"/>
      <c r="WV158" s="210"/>
      <c r="WW158" s="209"/>
      <c r="WX158" s="204"/>
      <c r="WY158" s="204"/>
      <c r="WZ158" s="204"/>
      <c r="XA158" s="199"/>
      <c r="XB158" s="167"/>
      <c r="XC158" s="199"/>
      <c r="XD158" s="200"/>
      <c r="XE158" s="201"/>
      <c r="XF158" s="202"/>
      <c r="XG158" s="202"/>
      <c r="XH158" s="202"/>
      <c r="XI158" s="202"/>
      <c r="XJ158" s="203"/>
      <c r="XK158" s="204"/>
      <c r="XL158" s="204"/>
      <c r="XM158" s="204"/>
      <c r="XN158" s="205"/>
      <c r="XO158" s="206"/>
      <c r="XP158" s="207"/>
      <c r="XQ158" s="207"/>
      <c r="XR158" s="208"/>
      <c r="XS158" s="209"/>
      <c r="XT158" s="207"/>
      <c r="XU158" s="210"/>
      <c r="XV158" s="209"/>
      <c r="XW158" s="204"/>
      <c r="XX158" s="204"/>
      <c r="XY158" s="204"/>
      <c r="XZ158" s="199"/>
      <c r="YA158" s="167"/>
      <c r="YB158" s="199"/>
      <c r="YC158" s="200"/>
      <c r="YD158" s="201"/>
      <c r="YE158" s="202"/>
      <c r="YF158" s="202"/>
      <c r="YG158" s="202"/>
      <c r="YH158" s="202"/>
      <c r="YI158" s="203"/>
      <c r="YJ158" s="204"/>
      <c r="YK158" s="204"/>
      <c r="YL158" s="204"/>
      <c r="YM158" s="205"/>
      <c r="YN158" s="206"/>
      <c r="YO158" s="207"/>
      <c r="YP158" s="207"/>
      <c r="YQ158" s="208"/>
      <c r="YR158" s="209"/>
      <c r="YS158" s="207"/>
      <c r="YT158" s="210"/>
      <c r="YU158" s="209"/>
      <c r="YV158" s="204"/>
      <c r="YW158" s="204"/>
      <c r="YX158" s="204"/>
      <c r="YY158" s="199"/>
      <c r="YZ158" s="167"/>
      <c r="ZA158" s="199"/>
      <c r="ZB158" s="200"/>
      <c r="ZC158" s="201"/>
      <c r="ZD158" s="202"/>
      <c r="ZE158" s="202"/>
      <c r="ZF158" s="202"/>
      <c r="ZG158" s="202"/>
      <c r="ZH158" s="203"/>
      <c r="ZI158" s="204"/>
      <c r="ZJ158" s="204"/>
      <c r="ZK158" s="204"/>
      <c r="ZL158" s="205"/>
      <c r="ZM158" s="206"/>
      <c r="ZN158" s="207"/>
      <c r="ZO158" s="207"/>
      <c r="ZP158" s="208"/>
      <c r="ZQ158" s="209"/>
      <c r="ZR158" s="207"/>
      <c r="ZS158" s="210"/>
      <c r="ZT158" s="209"/>
      <c r="ZU158" s="204"/>
      <c r="ZV158" s="204"/>
      <c r="ZW158" s="204"/>
      <c r="ZX158" s="199"/>
      <c r="ZY158" s="167"/>
      <c r="ZZ158" s="199"/>
      <c r="AAA158" s="200"/>
      <c r="AAB158" s="201"/>
      <c r="AAC158" s="202"/>
      <c r="AAD158" s="202"/>
      <c r="AAE158" s="202"/>
      <c r="AAF158" s="202"/>
      <c r="AAG158" s="203"/>
      <c r="AAH158" s="204"/>
      <c r="AAI158" s="204"/>
      <c r="AAJ158" s="204"/>
      <c r="AAK158" s="205"/>
      <c r="AAL158" s="206"/>
      <c r="AAM158" s="207"/>
      <c r="AAN158" s="207"/>
      <c r="AAO158" s="208"/>
      <c r="AAP158" s="209"/>
      <c r="AAQ158" s="207"/>
      <c r="AAR158" s="210"/>
      <c r="AAS158" s="209"/>
      <c r="AAT158" s="204"/>
      <c r="AAU158" s="204"/>
      <c r="AAV158" s="204"/>
      <c r="AAW158" s="199"/>
      <c r="AAX158" s="167"/>
      <c r="AAY158" s="199"/>
      <c r="AAZ158" s="200"/>
      <c r="ABA158" s="201"/>
      <c r="ABB158" s="202"/>
      <c r="ABC158" s="202"/>
      <c r="ABD158" s="202"/>
      <c r="ABE158" s="202"/>
      <c r="ABF158" s="203"/>
      <c r="ABG158" s="204"/>
      <c r="ABH158" s="204"/>
      <c r="ABI158" s="204"/>
      <c r="ABJ158" s="205"/>
      <c r="ABK158" s="206"/>
      <c r="ABL158" s="207"/>
      <c r="ABM158" s="207"/>
      <c r="ABN158" s="208"/>
      <c r="ABO158" s="209"/>
      <c r="ABP158" s="207"/>
      <c r="ABQ158" s="210"/>
      <c r="ABR158" s="209"/>
      <c r="ABS158" s="204"/>
      <c r="ABT158" s="204"/>
      <c r="ABU158" s="204"/>
      <c r="ABV158" s="199"/>
      <c r="ABW158" s="167"/>
      <c r="ABX158" s="199"/>
      <c r="ABY158" s="200"/>
      <c r="ABZ158" s="201"/>
      <c r="ACA158" s="202"/>
      <c r="ACB158" s="202"/>
      <c r="ACC158" s="202"/>
      <c r="ACD158" s="202"/>
      <c r="ACE158" s="203"/>
      <c r="ACF158" s="204"/>
      <c r="ACG158" s="204"/>
      <c r="ACH158" s="204"/>
      <c r="ACI158" s="205"/>
      <c r="ACJ158" s="206"/>
      <c r="ACK158" s="207"/>
      <c r="ACL158" s="207"/>
      <c r="ACM158" s="208"/>
      <c r="ACN158" s="209"/>
      <c r="ACO158" s="207"/>
      <c r="ACP158" s="210"/>
      <c r="ACQ158" s="209"/>
      <c r="ACR158" s="204"/>
      <c r="ACS158" s="204"/>
      <c r="ACT158" s="204"/>
      <c r="ACU158" s="199"/>
      <c r="ACV158" s="167"/>
      <c r="ACW158" s="199"/>
      <c r="ACX158" s="200"/>
      <c r="ACY158" s="201"/>
      <c r="ACZ158" s="202"/>
      <c r="ADA158" s="202"/>
      <c r="ADB158" s="202"/>
      <c r="ADC158" s="202"/>
      <c r="ADD158" s="203"/>
      <c r="ADE158" s="204"/>
      <c r="ADF158" s="204"/>
      <c r="ADG158" s="204"/>
      <c r="ADH158" s="205"/>
      <c r="ADI158" s="206"/>
      <c r="ADJ158" s="207"/>
      <c r="ADK158" s="207"/>
      <c r="ADL158" s="208"/>
      <c r="ADM158" s="209"/>
      <c r="ADN158" s="207"/>
      <c r="ADO158" s="210"/>
      <c r="ADP158" s="209"/>
      <c r="ADQ158" s="204"/>
      <c r="ADR158" s="204"/>
      <c r="ADS158" s="204"/>
      <c r="ADT158" s="199"/>
      <c r="ADU158" s="167"/>
      <c r="ADV158" s="199"/>
      <c r="ADW158" s="200"/>
      <c r="ADX158" s="201"/>
      <c r="ADY158" s="202"/>
      <c r="ADZ158" s="202"/>
      <c r="AEA158" s="202"/>
      <c r="AEB158" s="202"/>
      <c r="AEC158" s="203"/>
      <c r="AED158" s="204"/>
      <c r="AEE158" s="204"/>
      <c r="AEF158" s="204"/>
      <c r="AEG158" s="205"/>
      <c r="AEH158" s="206"/>
      <c r="AEI158" s="207"/>
      <c r="AEJ158" s="207"/>
      <c r="AEK158" s="208"/>
      <c r="AEL158" s="209"/>
      <c r="AEM158" s="207"/>
      <c r="AEN158" s="210"/>
      <c r="AEO158" s="209"/>
      <c r="AEP158" s="204"/>
      <c r="AEQ158" s="204"/>
      <c r="AER158" s="204"/>
      <c r="AES158" s="199"/>
      <c r="AET158" s="167"/>
      <c r="AEU158" s="199"/>
      <c r="AEV158" s="200"/>
      <c r="AEW158" s="201"/>
      <c r="AEX158" s="202"/>
      <c r="AEY158" s="202"/>
      <c r="AEZ158" s="202"/>
      <c r="AFA158" s="202"/>
      <c r="AFB158" s="203"/>
      <c r="AFC158" s="204"/>
      <c r="AFD158" s="204"/>
      <c r="AFE158" s="204"/>
      <c r="AFF158" s="205"/>
      <c r="AFG158" s="206"/>
      <c r="AFH158" s="207"/>
      <c r="AFI158" s="207"/>
      <c r="AFJ158" s="208"/>
      <c r="AFK158" s="209"/>
      <c r="AFL158" s="207"/>
      <c r="AFM158" s="210"/>
      <c r="AFN158" s="209"/>
      <c r="AFO158" s="204"/>
      <c r="AFP158" s="204"/>
      <c r="AFQ158" s="204"/>
      <c r="AFR158" s="199"/>
      <c r="AFS158" s="167"/>
      <c r="AFT158" s="199"/>
      <c r="AFU158" s="200"/>
      <c r="AFV158" s="201"/>
      <c r="AFW158" s="202"/>
      <c r="AFX158" s="202"/>
      <c r="AFY158" s="202"/>
      <c r="AFZ158" s="202"/>
      <c r="AGA158" s="203"/>
      <c r="AGB158" s="204"/>
      <c r="AGC158" s="204"/>
      <c r="AGD158" s="204"/>
      <c r="AGE158" s="205"/>
      <c r="AGF158" s="206"/>
      <c r="AGG158" s="207"/>
      <c r="AGH158" s="207"/>
      <c r="AGI158" s="208"/>
      <c r="AGJ158" s="209"/>
      <c r="AGK158" s="207"/>
      <c r="AGL158" s="210"/>
      <c r="AGM158" s="209"/>
      <c r="AGN158" s="204"/>
      <c r="AGO158" s="204"/>
      <c r="AGP158" s="204"/>
      <c r="AGQ158" s="199"/>
      <c r="AGR158" s="167"/>
      <c r="AGS158" s="199"/>
      <c r="AGT158" s="200"/>
      <c r="AGU158" s="201"/>
      <c r="AGV158" s="202"/>
      <c r="AGW158" s="202"/>
      <c r="AGX158" s="202"/>
      <c r="AGY158" s="202"/>
      <c r="AGZ158" s="203"/>
      <c r="AHA158" s="204"/>
      <c r="AHB158" s="204"/>
      <c r="AHC158" s="204"/>
      <c r="AHD158" s="205"/>
      <c r="AHE158" s="206"/>
      <c r="AHF158" s="207"/>
      <c r="AHG158" s="207"/>
      <c r="AHH158" s="208"/>
      <c r="AHI158" s="209"/>
      <c r="AHJ158" s="207"/>
      <c r="AHK158" s="210"/>
      <c r="AHL158" s="209"/>
      <c r="AHM158" s="204"/>
      <c r="AHN158" s="204"/>
      <c r="AHO158" s="204"/>
      <c r="AHP158" s="199"/>
      <c r="AHQ158" s="167"/>
      <c r="AHR158" s="199"/>
      <c r="AHS158" s="200"/>
      <c r="AHT158" s="201"/>
      <c r="AHU158" s="202"/>
      <c r="AHV158" s="202"/>
      <c r="AHW158" s="202"/>
      <c r="AHX158" s="202"/>
      <c r="AHY158" s="203"/>
      <c r="AHZ158" s="204"/>
      <c r="AIA158" s="204"/>
      <c r="AIB158" s="204"/>
      <c r="AIC158" s="205"/>
      <c r="AID158" s="206"/>
      <c r="AIE158" s="207"/>
      <c r="AIF158" s="207"/>
      <c r="AIG158" s="208"/>
      <c r="AIH158" s="209"/>
      <c r="AII158" s="207"/>
      <c r="AIJ158" s="210"/>
      <c r="AIK158" s="209"/>
      <c r="AIL158" s="204"/>
      <c r="AIM158" s="204"/>
      <c r="AIN158" s="204"/>
      <c r="AIO158" s="199"/>
      <c r="AIP158" s="167"/>
      <c r="AIQ158" s="199"/>
      <c r="AIR158" s="200"/>
      <c r="AIS158" s="201"/>
      <c r="AIT158" s="202"/>
      <c r="AIU158" s="202"/>
      <c r="AIV158" s="202"/>
      <c r="AIW158" s="202"/>
      <c r="AIX158" s="203"/>
      <c r="AIY158" s="204"/>
      <c r="AIZ158" s="204"/>
      <c r="AJA158" s="204"/>
      <c r="AJB158" s="205"/>
      <c r="AJC158" s="206"/>
      <c r="AJD158" s="207"/>
      <c r="AJE158" s="207"/>
      <c r="AJF158" s="208"/>
      <c r="AJG158" s="209"/>
      <c r="AJH158" s="207"/>
      <c r="AJI158" s="210"/>
      <c r="AJJ158" s="209"/>
      <c r="AJK158" s="204"/>
      <c r="AJL158" s="204"/>
      <c r="AJM158" s="204"/>
      <c r="AJN158" s="199"/>
      <c r="AJO158" s="167"/>
      <c r="AJP158" s="199"/>
      <c r="AJQ158" s="200"/>
      <c r="AJR158" s="201"/>
      <c r="AJS158" s="202"/>
      <c r="AJT158" s="202"/>
      <c r="AJU158" s="202"/>
      <c r="AJV158" s="202"/>
      <c r="AJW158" s="203"/>
      <c r="AJX158" s="204"/>
      <c r="AJY158" s="204"/>
      <c r="AJZ158" s="204"/>
      <c r="AKA158" s="205"/>
      <c r="AKB158" s="206"/>
      <c r="AKC158" s="207"/>
      <c r="AKD158" s="207"/>
      <c r="AKE158" s="208"/>
      <c r="AKF158" s="209"/>
      <c r="AKG158" s="207"/>
      <c r="AKH158" s="210"/>
      <c r="AKI158" s="209"/>
      <c r="AKJ158" s="204"/>
      <c r="AKK158" s="204"/>
      <c r="AKL158" s="204"/>
      <c r="AKM158" s="199"/>
      <c r="AKN158" s="167"/>
      <c r="AKO158" s="199"/>
      <c r="AKP158" s="200"/>
      <c r="AKQ158" s="201"/>
      <c r="AKR158" s="202"/>
      <c r="AKS158" s="202"/>
      <c r="AKT158" s="202"/>
      <c r="AKU158" s="202"/>
      <c r="AKV158" s="203"/>
      <c r="AKW158" s="204"/>
      <c r="AKX158" s="204"/>
      <c r="AKY158" s="204"/>
      <c r="AKZ158" s="205"/>
      <c r="ALA158" s="206"/>
      <c r="ALB158" s="207"/>
      <c r="ALC158" s="207"/>
      <c r="ALD158" s="208"/>
      <c r="ALE158" s="209"/>
      <c r="ALF158" s="207"/>
      <c r="ALG158" s="210"/>
      <c r="ALH158" s="209"/>
      <c r="ALI158" s="204"/>
      <c r="ALJ158" s="204"/>
      <c r="ALK158" s="204"/>
      <c r="ALL158" s="199"/>
      <c r="ALM158" s="167"/>
      <c r="ALN158" s="199"/>
      <c r="ALO158" s="200"/>
      <c r="ALP158" s="201"/>
      <c r="ALQ158" s="202"/>
      <c r="ALR158" s="202"/>
      <c r="ALS158" s="202"/>
      <c r="ALT158" s="202"/>
      <c r="ALU158" s="203"/>
      <c r="ALV158" s="204"/>
      <c r="ALW158" s="204"/>
      <c r="ALX158" s="204"/>
      <c r="ALY158" s="205"/>
      <c r="ALZ158" s="206"/>
      <c r="AMA158" s="207"/>
      <c r="AMB158" s="207"/>
      <c r="AMC158" s="208"/>
      <c r="AMD158" s="209"/>
      <c r="AME158" s="207"/>
      <c r="AMF158" s="210"/>
      <c r="AMG158" s="209"/>
      <c r="AMH158" s="204"/>
      <c r="AMI158" s="204"/>
      <c r="AMJ158" s="204"/>
      <c r="AMK158" s="199"/>
      <c r="AML158" s="167"/>
      <c r="AMM158" s="199"/>
      <c r="AMN158" s="200"/>
      <c r="AMO158" s="201"/>
      <c r="AMP158" s="202"/>
      <c r="AMQ158" s="202"/>
      <c r="AMR158" s="202"/>
      <c r="AMS158" s="202"/>
      <c r="AMT158" s="203"/>
      <c r="AMU158" s="204"/>
      <c r="AMV158" s="204"/>
      <c r="AMW158" s="204"/>
      <c r="AMX158" s="205"/>
      <c r="AMY158" s="206"/>
      <c r="AMZ158" s="207"/>
      <c r="ANA158" s="207"/>
      <c r="ANB158" s="208"/>
      <c r="ANC158" s="209"/>
      <c r="AND158" s="207"/>
      <c r="ANE158" s="210"/>
      <c r="ANF158" s="209"/>
      <c r="ANG158" s="204"/>
      <c r="ANH158" s="204"/>
      <c r="ANI158" s="204"/>
      <c r="ANJ158" s="199"/>
      <c r="ANK158" s="167"/>
      <c r="ANL158" s="199"/>
      <c r="ANM158" s="200"/>
      <c r="ANN158" s="201"/>
      <c r="ANO158" s="202"/>
      <c r="ANP158" s="202"/>
      <c r="ANQ158" s="202"/>
      <c r="ANR158" s="202"/>
      <c r="ANS158" s="203"/>
      <c r="ANT158" s="204"/>
      <c r="ANU158" s="204"/>
      <c r="ANV158" s="204"/>
      <c r="ANW158" s="205"/>
      <c r="ANX158" s="206"/>
      <c r="ANY158" s="207"/>
      <c r="ANZ158" s="207"/>
      <c r="AOA158" s="208"/>
      <c r="AOB158" s="209"/>
      <c r="AOC158" s="207"/>
      <c r="AOD158" s="210"/>
      <c r="AOE158" s="209"/>
      <c r="AOF158" s="204"/>
      <c r="AOG158" s="204"/>
      <c r="AOH158" s="204"/>
      <c r="AOI158" s="199"/>
      <c r="AOJ158" s="167"/>
      <c r="AOK158" s="199"/>
      <c r="AOL158" s="200"/>
      <c r="AOM158" s="201"/>
      <c r="AON158" s="202"/>
      <c r="AOO158" s="202"/>
      <c r="AOP158" s="202"/>
      <c r="AOQ158" s="202"/>
      <c r="AOR158" s="203"/>
      <c r="AOS158" s="204"/>
      <c r="AOT158" s="204"/>
      <c r="AOU158" s="204"/>
      <c r="AOV158" s="205"/>
      <c r="AOW158" s="206"/>
      <c r="AOX158" s="207"/>
      <c r="AOY158" s="207"/>
      <c r="AOZ158" s="208"/>
      <c r="APA158" s="209"/>
      <c r="APB158" s="207"/>
      <c r="APC158" s="210"/>
      <c r="APD158" s="209"/>
      <c r="APE158" s="204"/>
      <c r="APF158" s="204"/>
      <c r="APG158" s="204"/>
      <c r="APH158" s="199"/>
      <c r="API158" s="167"/>
      <c r="APJ158" s="199"/>
      <c r="APK158" s="200"/>
      <c r="APL158" s="201"/>
      <c r="APM158" s="202"/>
      <c r="APN158" s="202"/>
      <c r="APO158" s="202"/>
      <c r="APP158" s="202"/>
      <c r="APQ158" s="203"/>
      <c r="APR158" s="204"/>
      <c r="APS158" s="204"/>
      <c r="APT158" s="204"/>
      <c r="APU158" s="205"/>
      <c r="APV158" s="206"/>
      <c r="APW158" s="207"/>
      <c r="APX158" s="207"/>
      <c r="APY158" s="208"/>
      <c r="APZ158" s="209"/>
      <c r="AQA158" s="207"/>
      <c r="AQB158" s="210"/>
      <c r="AQC158" s="209"/>
      <c r="AQD158" s="204"/>
      <c r="AQE158" s="204"/>
      <c r="AQF158" s="204"/>
      <c r="AQG158" s="199"/>
      <c r="AQH158" s="167"/>
      <c r="AQI158" s="199"/>
      <c r="AQJ158" s="200"/>
      <c r="AQK158" s="201"/>
      <c r="AQL158" s="202"/>
      <c r="AQM158" s="202"/>
      <c r="AQN158" s="202"/>
      <c r="AQO158" s="202"/>
      <c r="AQP158" s="203"/>
      <c r="AQQ158" s="204"/>
      <c r="AQR158" s="204"/>
      <c r="AQS158" s="204"/>
      <c r="AQT158" s="205"/>
      <c r="AQU158" s="206"/>
      <c r="AQV158" s="207"/>
      <c r="AQW158" s="207"/>
      <c r="AQX158" s="208"/>
      <c r="AQY158" s="209"/>
      <c r="AQZ158" s="207"/>
      <c r="ARA158" s="210"/>
      <c r="ARB158" s="209"/>
      <c r="ARC158" s="204"/>
      <c r="ARD158" s="204"/>
      <c r="ARE158" s="204"/>
      <c r="ARF158" s="199"/>
      <c r="ARG158" s="167"/>
      <c r="ARH158" s="199"/>
      <c r="ARI158" s="200"/>
      <c r="ARJ158" s="201"/>
      <c r="ARK158" s="202"/>
      <c r="ARL158" s="202"/>
      <c r="ARM158" s="202"/>
      <c r="ARN158" s="202"/>
      <c r="ARO158" s="203"/>
      <c r="ARP158" s="204"/>
      <c r="ARQ158" s="204"/>
      <c r="ARR158" s="204"/>
      <c r="ARS158" s="205"/>
      <c r="ART158" s="206"/>
      <c r="ARU158" s="207"/>
      <c r="ARV158" s="207"/>
      <c r="ARW158" s="208"/>
      <c r="ARX158" s="209"/>
      <c r="ARY158" s="207"/>
      <c r="ARZ158" s="210"/>
      <c r="ASA158" s="209"/>
      <c r="ASB158" s="204"/>
      <c r="ASC158" s="204"/>
      <c r="ASD158" s="204"/>
      <c r="ASE158" s="199"/>
      <c r="ASF158" s="167"/>
      <c r="ASG158" s="199"/>
      <c r="ASH158" s="200"/>
      <c r="ASI158" s="201"/>
      <c r="ASJ158" s="202"/>
      <c r="ASK158" s="202"/>
      <c r="ASL158" s="202"/>
      <c r="ASM158" s="202"/>
      <c r="ASN158" s="203"/>
      <c r="ASO158" s="204"/>
      <c r="ASP158" s="204"/>
      <c r="ASQ158" s="204"/>
      <c r="ASR158" s="205"/>
      <c r="ASS158" s="206"/>
      <c r="AST158" s="207"/>
      <c r="ASU158" s="207"/>
      <c r="ASV158" s="208"/>
      <c r="ASW158" s="209"/>
      <c r="ASX158" s="207"/>
      <c r="ASY158" s="210"/>
      <c r="ASZ158" s="209"/>
      <c r="ATA158" s="204"/>
      <c r="ATB158" s="204"/>
      <c r="ATC158" s="204"/>
      <c r="ATD158" s="199"/>
      <c r="ATE158" s="167"/>
      <c r="ATF158" s="199"/>
      <c r="ATG158" s="200"/>
      <c r="ATH158" s="201"/>
      <c r="ATI158" s="202"/>
      <c r="ATJ158" s="202"/>
      <c r="ATK158" s="202"/>
      <c r="ATL158" s="202"/>
      <c r="ATM158" s="203"/>
      <c r="ATN158" s="204"/>
      <c r="ATO158" s="204"/>
      <c r="ATP158" s="204"/>
      <c r="ATQ158" s="205"/>
      <c r="ATR158" s="206"/>
      <c r="ATS158" s="207"/>
      <c r="ATT158" s="207"/>
      <c r="ATU158" s="208"/>
      <c r="ATV158" s="209"/>
      <c r="ATW158" s="207"/>
      <c r="ATX158" s="210"/>
      <c r="ATY158" s="209"/>
      <c r="ATZ158" s="204"/>
      <c r="AUA158" s="204"/>
      <c r="AUB158" s="204"/>
      <c r="AUC158" s="199"/>
      <c r="AUD158" s="167"/>
      <c r="AUE158" s="199"/>
      <c r="AUF158" s="200"/>
      <c r="AUG158" s="201"/>
      <c r="AUH158" s="202"/>
      <c r="AUI158" s="202"/>
      <c r="AUJ158" s="202"/>
      <c r="AUK158" s="202"/>
      <c r="AUL158" s="203"/>
      <c r="AUM158" s="204"/>
      <c r="AUN158" s="204"/>
      <c r="AUO158" s="204"/>
      <c r="AUP158" s="205"/>
      <c r="AUQ158" s="206"/>
      <c r="AUR158" s="207"/>
      <c r="AUS158" s="207"/>
      <c r="AUT158" s="208"/>
      <c r="AUU158" s="209"/>
      <c r="AUV158" s="207"/>
      <c r="AUW158" s="210"/>
      <c r="AUX158" s="209"/>
      <c r="AUY158" s="204"/>
      <c r="AUZ158" s="204"/>
      <c r="AVA158" s="204"/>
      <c r="AVB158" s="199"/>
      <c r="AVC158" s="167"/>
      <c r="AVD158" s="199"/>
      <c r="AVE158" s="200"/>
      <c r="AVF158" s="201"/>
      <c r="AVG158" s="202"/>
      <c r="AVH158" s="202"/>
      <c r="AVI158" s="202"/>
      <c r="AVJ158" s="202"/>
      <c r="AVK158" s="203"/>
      <c r="AVL158" s="204"/>
      <c r="AVM158" s="204"/>
      <c r="AVN158" s="204"/>
      <c r="AVO158" s="205"/>
      <c r="AVP158" s="206"/>
      <c r="AVQ158" s="207"/>
      <c r="AVR158" s="207"/>
      <c r="AVS158" s="208"/>
      <c r="AVT158" s="209"/>
      <c r="AVU158" s="207"/>
      <c r="AVV158" s="210"/>
      <c r="AVW158" s="209"/>
      <c r="AVX158" s="204"/>
      <c r="AVY158" s="204"/>
      <c r="AVZ158" s="204"/>
      <c r="AWA158" s="199"/>
      <c r="AWB158" s="167"/>
      <c r="AWC158" s="199"/>
      <c r="AWD158" s="200"/>
      <c r="AWE158" s="201"/>
      <c r="AWF158" s="202"/>
      <c r="AWG158" s="202"/>
      <c r="AWH158" s="202"/>
      <c r="AWI158" s="202"/>
      <c r="AWJ158" s="203"/>
      <c r="AWK158" s="204"/>
      <c r="AWL158" s="204"/>
      <c r="AWM158" s="204"/>
      <c r="AWN158" s="205"/>
      <c r="AWO158" s="206"/>
      <c r="AWP158" s="207"/>
      <c r="AWQ158" s="207"/>
      <c r="AWR158" s="208"/>
      <c r="AWS158" s="209"/>
      <c r="AWT158" s="207"/>
      <c r="AWU158" s="210"/>
      <c r="AWV158" s="209"/>
      <c r="AWW158" s="204"/>
      <c r="AWX158" s="204"/>
      <c r="AWY158" s="204"/>
      <c r="AWZ158" s="199"/>
      <c r="AXA158" s="167"/>
      <c r="AXB158" s="199"/>
      <c r="AXC158" s="200"/>
      <c r="AXD158" s="201"/>
      <c r="AXE158" s="202"/>
      <c r="AXF158" s="202"/>
      <c r="AXG158" s="202"/>
      <c r="AXH158" s="202"/>
      <c r="AXI158" s="203"/>
      <c r="AXJ158" s="204"/>
      <c r="AXK158" s="204"/>
      <c r="AXL158" s="204"/>
      <c r="AXM158" s="205"/>
      <c r="AXN158" s="206"/>
      <c r="AXO158" s="207"/>
      <c r="AXP158" s="207"/>
      <c r="AXQ158" s="208"/>
      <c r="AXR158" s="209"/>
      <c r="AXS158" s="207"/>
      <c r="AXT158" s="210"/>
      <c r="AXU158" s="209"/>
      <c r="AXV158" s="204"/>
      <c r="AXW158" s="204"/>
      <c r="AXX158" s="204"/>
      <c r="AXY158" s="199"/>
      <c r="AXZ158" s="167"/>
      <c r="AYA158" s="199"/>
      <c r="AYB158" s="200"/>
      <c r="AYC158" s="201"/>
      <c r="AYD158" s="202"/>
      <c r="AYE158" s="202"/>
      <c r="AYF158" s="202"/>
      <c r="AYG158" s="202"/>
      <c r="AYH158" s="203"/>
      <c r="AYI158" s="204"/>
      <c r="AYJ158" s="204"/>
      <c r="AYK158" s="204"/>
      <c r="AYL158" s="205"/>
      <c r="AYM158" s="206"/>
      <c r="AYN158" s="207"/>
      <c r="AYO158" s="207"/>
      <c r="AYP158" s="208"/>
      <c r="AYQ158" s="209"/>
      <c r="AYR158" s="207"/>
      <c r="AYS158" s="210"/>
      <c r="AYT158" s="209"/>
      <c r="AYU158" s="204"/>
      <c r="AYV158" s="204"/>
      <c r="AYW158" s="204"/>
      <c r="AYX158" s="199"/>
      <c r="AYY158" s="167"/>
      <c r="AYZ158" s="199"/>
      <c r="AZA158" s="200"/>
      <c r="AZB158" s="201"/>
      <c r="AZC158" s="202"/>
      <c r="AZD158" s="202"/>
      <c r="AZE158" s="202"/>
      <c r="AZF158" s="202"/>
      <c r="AZG158" s="203"/>
      <c r="AZH158" s="204"/>
      <c r="AZI158" s="204"/>
      <c r="AZJ158" s="204"/>
      <c r="AZK158" s="205"/>
      <c r="AZL158" s="206"/>
      <c r="AZM158" s="207"/>
      <c r="AZN158" s="207"/>
      <c r="AZO158" s="208"/>
      <c r="AZP158" s="209"/>
      <c r="AZQ158" s="207"/>
      <c r="AZR158" s="210"/>
      <c r="AZS158" s="209"/>
      <c r="AZT158" s="204"/>
      <c r="AZU158" s="204"/>
      <c r="AZV158" s="204"/>
      <c r="AZW158" s="199"/>
      <c r="AZX158" s="167"/>
      <c r="AZY158" s="199"/>
      <c r="AZZ158" s="200"/>
      <c r="BAA158" s="201"/>
      <c r="BAB158" s="202"/>
      <c r="BAC158" s="202"/>
      <c r="BAD158" s="202"/>
      <c r="BAE158" s="202"/>
      <c r="BAF158" s="203"/>
      <c r="BAG158" s="204"/>
      <c r="BAH158" s="204"/>
      <c r="BAI158" s="204"/>
      <c r="BAJ158" s="205"/>
      <c r="BAK158" s="206"/>
      <c r="BAL158" s="207"/>
      <c r="BAM158" s="207"/>
      <c r="BAN158" s="208"/>
      <c r="BAO158" s="209"/>
      <c r="BAP158" s="207"/>
      <c r="BAQ158" s="210"/>
      <c r="BAR158" s="209"/>
      <c r="BAS158" s="204"/>
      <c r="BAT158" s="204"/>
      <c r="BAU158" s="204"/>
      <c r="BAV158" s="199"/>
      <c r="BAW158" s="167"/>
      <c r="BAX158" s="199"/>
      <c r="BAY158" s="200"/>
      <c r="BAZ158" s="201"/>
      <c r="BBA158" s="202"/>
      <c r="BBB158" s="202"/>
      <c r="BBC158" s="202"/>
      <c r="BBD158" s="202"/>
      <c r="BBE158" s="203"/>
      <c r="BBF158" s="204"/>
      <c r="BBG158" s="204"/>
      <c r="BBH158" s="204"/>
      <c r="BBI158" s="205"/>
      <c r="BBJ158" s="206"/>
      <c r="BBK158" s="207"/>
      <c r="BBL158" s="207"/>
      <c r="BBM158" s="208"/>
      <c r="BBN158" s="209"/>
      <c r="BBO158" s="207"/>
      <c r="BBP158" s="210"/>
      <c r="BBQ158" s="209"/>
      <c r="BBR158" s="204"/>
      <c r="BBS158" s="204"/>
      <c r="BBT158" s="204"/>
      <c r="BBU158" s="199"/>
      <c r="BBV158" s="167"/>
      <c r="BBW158" s="199"/>
      <c r="BBX158" s="200"/>
      <c r="BBY158" s="201"/>
      <c r="BBZ158" s="202"/>
      <c r="BCA158" s="202"/>
      <c r="BCB158" s="202"/>
      <c r="BCC158" s="202"/>
      <c r="BCD158" s="203"/>
      <c r="BCE158" s="204"/>
      <c r="BCF158" s="204"/>
      <c r="BCG158" s="204"/>
      <c r="BCH158" s="205"/>
      <c r="BCI158" s="206"/>
      <c r="BCJ158" s="207"/>
      <c r="BCK158" s="207"/>
      <c r="BCL158" s="208"/>
      <c r="BCM158" s="209"/>
      <c r="BCN158" s="207"/>
      <c r="BCO158" s="210"/>
      <c r="BCP158" s="209"/>
      <c r="BCQ158" s="204"/>
      <c r="BCR158" s="204"/>
      <c r="BCS158" s="204"/>
      <c r="BCT158" s="199"/>
      <c r="BCU158" s="167"/>
      <c r="BCV158" s="199"/>
      <c r="BCW158" s="200"/>
      <c r="BCX158" s="201"/>
      <c r="BCY158" s="202"/>
      <c r="BCZ158" s="202"/>
      <c r="BDA158" s="202"/>
      <c r="BDB158" s="202"/>
      <c r="BDC158" s="203"/>
      <c r="BDD158" s="204"/>
      <c r="BDE158" s="204"/>
      <c r="BDF158" s="204"/>
      <c r="BDG158" s="205"/>
      <c r="BDH158" s="206"/>
      <c r="BDI158" s="207"/>
      <c r="BDJ158" s="207"/>
      <c r="BDK158" s="208"/>
      <c r="BDL158" s="209"/>
      <c r="BDM158" s="207"/>
      <c r="BDN158" s="210"/>
      <c r="BDO158" s="209"/>
      <c r="BDP158" s="204"/>
      <c r="BDQ158" s="204"/>
      <c r="BDR158" s="204"/>
      <c r="BDS158" s="199"/>
      <c r="BDT158" s="167"/>
      <c r="BDU158" s="199"/>
      <c r="BDV158" s="200"/>
      <c r="BDW158" s="201"/>
      <c r="BDX158" s="202"/>
      <c r="BDY158" s="202"/>
      <c r="BDZ158" s="202"/>
      <c r="BEA158" s="202"/>
      <c r="BEB158" s="203"/>
      <c r="BEC158" s="204"/>
      <c r="BED158" s="204"/>
      <c r="BEE158" s="204"/>
      <c r="BEF158" s="205"/>
      <c r="BEG158" s="206"/>
      <c r="BEH158" s="207"/>
      <c r="BEI158" s="207"/>
      <c r="BEJ158" s="208"/>
      <c r="BEK158" s="209"/>
      <c r="BEL158" s="207"/>
      <c r="BEM158" s="210"/>
      <c r="BEN158" s="209"/>
      <c r="BEO158" s="204"/>
      <c r="BEP158" s="204"/>
      <c r="BEQ158" s="204"/>
      <c r="BER158" s="199"/>
      <c r="BES158" s="167"/>
      <c r="BET158" s="199"/>
      <c r="BEU158" s="200"/>
      <c r="BEV158" s="201"/>
      <c r="BEW158" s="202"/>
      <c r="BEX158" s="202"/>
      <c r="BEY158" s="202"/>
      <c r="BEZ158" s="202"/>
      <c r="BFA158" s="203"/>
      <c r="BFB158" s="204"/>
      <c r="BFC158" s="204"/>
      <c r="BFD158" s="204"/>
      <c r="BFE158" s="205"/>
      <c r="BFF158" s="206"/>
      <c r="BFG158" s="207"/>
      <c r="BFH158" s="207"/>
      <c r="BFI158" s="208"/>
      <c r="BFJ158" s="209"/>
      <c r="BFK158" s="207"/>
      <c r="BFL158" s="210"/>
      <c r="BFM158" s="209"/>
      <c r="BFN158" s="204"/>
      <c r="BFO158" s="204"/>
      <c r="BFP158" s="204"/>
      <c r="BFQ158" s="199"/>
      <c r="BFR158" s="167"/>
      <c r="BFS158" s="199"/>
      <c r="BFT158" s="200"/>
      <c r="BFU158" s="201"/>
      <c r="BFV158" s="202"/>
      <c r="BFW158" s="202"/>
      <c r="BFX158" s="202"/>
      <c r="BFY158" s="202"/>
      <c r="BFZ158" s="203"/>
      <c r="BGA158" s="204"/>
      <c r="BGB158" s="204"/>
      <c r="BGC158" s="204"/>
      <c r="BGD158" s="205"/>
      <c r="BGE158" s="206"/>
      <c r="BGF158" s="207"/>
      <c r="BGG158" s="207"/>
      <c r="BGH158" s="208"/>
      <c r="BGI158" s="209"/>
      <c r="BGJ158" s="207"/>
      <c r="BGK158" s="210"/>
      <c r="BGL158" s="209"/>
      <c r="BGM158" s="204"/>
      <c r="BGN158" s="204"/>
      <c r="BGO158" s="204"/>
      <c r="BGP158" s="199"/>
      <c r="BGQ158" s="167"/>
      <c r="BGR158" s="199"/>
      <c r="BGS158" s="200"/>
      <c r="BGT158" s="201"/>
      <c r="BGU158" s="202"/>
      <c r="BGV158" s="202"/>
      <c r="BGW158" s="202"/>
      <c r="BGX158" s="202"/>
      <c r="BGY158" s="203"/>
      <c r="BGZ158" s="204"/>
      <c r="BHA158" s="204"/>
      <c r="BHB158" s="204"/>
      <c r="BHC158" s="205"/>
      <c r="BHD158" s="206"/>
      <c r="BHE158" s="207"/>
      <c r="BHF158" s="207"/>
      <c r="BHG158" s="208"/>
      <c r="BHH158" s="209"/>
      <c r="BHI158" s="207"/>
      <c r="BHJ158" s="210"/>
      <c r="BHK158" s="209"/>
      <c r="BHL158" s="204"/>
      <c r="BHM158" s="204"/>
      <c r="BHN158" s="204"/>
      <c r="BHO158" s="199"/>
      <c r="BHP158" s="167"/>
      <c r="BHQ158" s="199"/>
      <c r="BHR158" s="200"/>
      <c r="BHS158" s="201"/>
      <c r="BHT158" s="202"/>
      <c r="BHU158" s="202"/>
      <c r="BHV158" s="202"/>
      <c r="BHW158" s="202"/>
      <c r="BHX158" s="203"/>
      <c r="BHY158" s="204"/>
      <c r="BHZ158" s="204"/>
      <c r="BIA158" s="204"/>
      <c r="BIB158" s="205"/>
      <c r="BIC158" s="206"/>
      <c r="BID158" s="207"/>
      <c r="BIE158" s="207"/>
      <c r="BIF158" s="208"/>
      <c r="BIG158" s="209"/>
      <c r="BIH158" s="207"/>
      <c r="BII158" s="210"/>
      <c r="BIJ158" s="209"/>
      <c r="BIK158" s="204"/>
      <c r="BIL158" s="204"/>
      <c r="BIM158" s="204"/>
      <c r="BIN158" s="199"/>
      <c r="BIO158" s="167"/>
      <c r="BIP158" s="199"/>
      <c r="BIQ158" s="200"/>
      <c r="BIR158" s="201"/>
      <c r="BIS158" s="202"/>
      <c r="BIT158" s="202"/>
      <c r="BIU158" s="202"/>
      <c r="BIV158" s="202"/>
      <c r="BIW158" s="203"/>
      <c r="BIX158" s="204"/>
      <c r="BIY158" s="204"/>
      <c r="BIZ158" s="204"/>
      <c r="BJA158" s="205"/>
      <c r="BJB158" s="206"/>
      <c r="BJC158" s="207"/>
      <c r="BJD158" s="207"/>
      <c r="BJE158" s="208"/>
      <c r="BJF158" s="209"/>
      <c r="BJG158" s="207"/>
      <c r="BJH158" s="210"/>
      <c r="BJI158" s="209"/>
      <c r="BJJ158" s="204"/>
      <c r="BJK158" s="204"/>
      <c r="BJL158" s="204"/>
      <c r="BJM158" s="199"/>
      <c r="BJN158" s="167"/>
      <c r="BJO158" s="199"/>
      <c r="BJP158" s="200"/>
      <c r="BJQ158" s="201"/>
      <c r="BJR158" s="202"/>
      <c r="BJS158" s="202"/>
      <c r="BJT158" s="202"/>
      <c r="BJU158" s="202"/>
      <c r="BJV158" s="203"/>
      <c r="BJW158" s="204"/>
      <c r="BJX158" s="204"/>
      <c r="BJY158" s="204"/>
      <c r="BJZ158" s="205"/>
      <c r="BKA158" s="206"/>
      <c r="BKB158" s="207"/>
      <c r="BKC158" s="207"/>
      <c r="BKD158" s="208"/>
      <c r="BKE158" s="209"/>
      <c r="BKF158" s="207"/>
      <c r="BKG158" s="210"/>
      <c r="BKH158" s="209"/>
      <c r="BKI158" s="204"/>
      <c r="BKJ158" s="204"/>
      <c r="BKK158" s="204"/>
      <c r="BKL158" s="199"/>
      <c r="BKM158" s="167"/>
      <c r="BKN158" s="199"/>
      <c r="BKO158" s="200"/>
      <c r="BKP158" s="201"/>
      <c r="BKQ158" s="202"/>
      <c r="BKR158" s="202"/>
      <c r="BKS158" s="202"/>
      <c r="BKT158" s="202"/>
      <c r="BKU158" s="203"/>
      <c r="BKV158" s="204"/>
      <c r="BKW158" s="204"/>
      <c r="BKX158" s="204"/>
      <c r="BKY158" s="205"/>
      <c r="BKZ158" s="206"/>
      <c r="BLA158" s="207"/>
      <c r="BLB158" s="207"/>
      <c r="BLC158" s="208"/>
      <c r="BLD158" s="209"/>
      <c r="BLE158" s="207"/>
      <c r="BLF158" s="210"/>
      <c r="BLG158" s="209"/>
      <c r="BLH158" s="204"/>
      <c r="BLI158" s="204"/>
      <c r="BLJ158" s="204"/>
      <c r="BLK158" s="199"/>
      <c r="BLL158" s="167"/>
      <c r="BLM158" s="199"/>
      <c r="BLN158" s="200"/>
      <c r="BLO158" s="201"/>
      <c r="BLP158" s="202"/>
      <c r="BLQ158" s="202"/>
      <c r="BLR158" s="202"/>
      <c r="BLS158" s="202"/>
      <c r="BLT158" s="203"/>
      <c r="BLU158" s="204"/>
      <c r="BLV158" s="204"/>
      <c r="BLW158" s="204"/>
      <c r="BLX158" s="205"/>
      <c r="BLY158" s="206"/>
      <c r="BLZ158" s="207"/>
      <c r="BMA158" s="207"/>
      <c r="BMB158" s="208"/>
      <c r="BMC158" s="209"/>
      <c r="BMD158" s="207"/>
      <c r="BME158" s="210"/>
      <c r="BMF158" s="209"/>
      <c r="BMG158" s="204"/>
      <c r="BMH158" s="204"/>
      <c r="BMI158" s="204"/>
      <c r="BMJ158" s="199"/>
      <c r="BMK158" s="167"/>
      <c r="BML158" s="199"/>
      <c r="BMM158" s="200"/>
      <c r="BMN158" s="201"/>
      <c r="BMO158" s="202"/>
      <c r="BMP158" s="202"/>
      <c r="BMQ158" s="202"/>
      <c r="BMR158" s="202"/>
      <c r="BMS158" s="203"/>
      <c r="BMT158" s="204"/>
      <c r="BMU158" s="204"/>
      <c r="BMV158" s="204"/>
      <c r="BMW158" s="205"/>
      <c r="BMX158" s="206"/>
      <c r="BMY158" s="207"/>
      <c r="BMZ158" s="207"/>
      <c r="BNA158" s="208"/>
      <c r="BNB158" s="209"/>
      <c r="BNC158" s="207"/>
      <c r="BND158" s="210"/>
      <c r="BNE158" s="209"/>
      <c r="BNF158" s="204"/>
      <c r="BNG158" s="204"/>
      <c r="BNH158" s="204"/>
      <c r="BNI158" s="199"/>
      <c r="BNJ158" s="167"/>
      <c r="BNK158" s="199"/>
      <c r="BNL158" s="200"/>
      <c r="BNM158" s="201"/>
      <c r="BNN158" s="202"/>
      <c r="BNO158" s="202"/>
      <c r="BNP158" s="202"/>
      <c r="BNQ158" s="202"/>
      <c r="BNR158" s="203"/>
      <c r="BNS158" s="204"/>
      <c r="BNT158" s="204"/>
      <c r="BNU158" s="204"/>
      <c r="BNV158" s="205"/>
      <c r="BNW158" s="206"/>
      <c r="BNX158" s="207"/>
      <c r="BNY158" s="207"/>
      <c r="BNZ158" s="208"/>
      <c r="BOA158" s="209"/>
      <c r="BOB158" s="207"/>
      <c r="BOC158" s="210"/>
      <c r="BOD158" s="209"/>
      <c r="BOE158" s="204"/>
      <c r="BOF158" s="204"/>
      <c r="BOG158" s="204"/>
      <c r="BOH158" s="199"/>
      <c r="BOI158" s="167"/>
      <c r="BOJ158" s="199"/>
      <c r="BOK158" s="200"/>
      <c r="BOL158" s="201"/>
      <c r="BOM158" s="202"/>
      <c r="BON158" s="202"/>
      <c r="BOO158" s="202"/>
      <c r="BOP158" s="202"/>
      <c r="BOQ158" s="203"/>
      <c r="BOR158" s="204"/>
      <c r="BOS158" s="204"/>
      <c r="BOT158" s="204"/>
      <c r="BOU158" s="205"/>
      <c r="BOV158" s="206"/>
      <c r="BOW158" s="207"/>
      <c r="BOX158" s="207"/>
      <c r="BOY158" s="208"/>
      <c r="BOZ158" s="209"/>
      <c r="BPA158" s="207"/>
      <c r="BPB158" s="210"/>
      <c r="BPC158" s="209"/>
      <c r="BPD158" s="204"/>
      <c r="BPE158" s="204"/>
      <c r="BPF158" s="204"/>
      <c r="BPG158" s="199"/>
      <c r="BPH158" s="167"/>
      <c r="BPI158" s="199"/>
      <c r="BPJ158" s="200"/>
      <c r="BPK158" s="201"/>
      <c r="BPL158" s="202"/>
      <c r="BPM158" s="202"/>
      <c r="BPN158" s="202"/>
      <c r="BPO158" s="202"/>
      <c r="BPP158" s="203"/>
      <c r="BPQ158" s="204"/>
      <c r="BPR158" s="204"/>
      <c r="BPS158" s="204"/>
      <c r="BPT158" s="205"/>
      <c r="BPU158" s="206"/>
      <c r="BPV158" s="207"/>
      <c r="BPW158" s="207"/>
      <c r="BPX158" s="208"/>
      <c r="BPY158" s="209"/>
      <c r="BPZ158" s="207"/>
      <c r="BQA158" s="210"/>
      <c r="BQB158" s="209"/>
      <c r="BQC158" s="204"/>
      <c r="BQD158" s="204"/>
      <c r="BQE158" s="204"/>
      <c r="BQF158" s="199"/>
      <c r="BQG158" s="167"/>
      <c r="BQH158" s="199"/>
      <c r="BQI158" s="200"/>
      <c r="BQJ158" s="201"/>
      <c r="BQK158" s="202"/>
      <c r="BQL158" s="202"/>
      <c r="BQM158" s="202"/>
      <c r="BQN158" s="202"/>
      <c r="BQO158" s="203"/>
      <c r="BQP158" s="204"/>
      <c r="BQQ158" s="204"/>
      <c r="BQR158" s="204"/>
      <c r="BQS158" s="205"/>
      <c r="BQT158" s="206"/>
      <c r="BQU158" s="207"/>
      <c r="BQV158" s="207"/>
      <c r="BQW158" s="208"/>
      <c r="BQX158" s="209"/>
      <c r="BQY158" s="207"/>
      <c r="BQZ158" s="210"/>
      <c r="BRA158" s="209"/>
      <c r="BRB158" s="204"/>
      <c r="BRC158" s="204"/>
      <c r="BRD158" s="204"/>
      <c r="BRE158" s="199"/>
      <c r="BRF158" s="167"/>
      <c r="BRG158" s="199"/>
      <c r="BRH158" s="200"/>
      <c r="BRI158" s="201"/>
      <c r="BRJ158" s="202"/>
      <c r="BRK158" s="202"/>
      <c r="BRL158" s="202"/>
      <c r="BRM158" s="202"/>
      <c r="BRN158" s="203"/>
      <c r="BRO158" s="204"/>
      <c r="BRP158" s="204"/>
      <c r="BRQ158" s="204"/>
      <c r="BRR158" s="205"/>
      <c r="BRS158" s="206"/>
      <c r="BRT158" s="207"/>
      <c r="BRU158" s="207"/>
      <c r="BRV158" s="208"/>
      <c r="BRW158" s="209"/>
      <c r="BRX158" s="207"/>
      <c r="BRY158" s="210"/>
      <c r="BRZ158" s="209"/>
      <c r="BSA158" s="204"/>
      <c r="BSB158" s="204"/>
      <c r="BSC158" s="204"/>
      <c r="BSD158" s="199"/>
      <c r="BSE158" s="167"/>
      <c r="BSF158" s="199"/>
      <c r="BSG158" s="200"/>
      <c r="BSH158" s="201"/>
      <c r="BSI158" s="202"/>
      <c r="BSJ158" s="202"/>
      <c r="BSK158" s="202"/>
      <c r="BSL158" s="202"/>
      <c r="BSM158" s="203"/>
      <c r="BSN158" s="204"/>
      <c r="BSO158" s="204"/>
      <c r="BSP158" s="204"/>
      <c r="BSQ158" s="205"/>
      <c r="BSR158" s="206"/>
      <c r="BSS158" s="207"/>
      <c r="BST158" s="207"/>
      <c r="BSU158" s="208"/>
      <c r="BSV158" s="209"/>
      <c r="BSW158" s="207"/>
      <c r="BSX158" s="210"/>
      <c r="BSY158" s="209"/>
      <c r="BSZ158" s="204"/>
      <c r="BTA158" s="204"/>
      <c r="BTB158" s="204"/>
      <c r="BTC158" s="199"/>
      <c r="BTD158" s="167"/>
      <c r="BTE158" s="199"/>
      <c r="BTF158" s="200"/>
      <c r="BTG158" s="201"/>
      <c r="BTH158" s="202"/>
      <c r="BTI158" s="202"/>
      <c r="BTJ158" s="202"/>
      <c r="BTK158" s="202"/>
      <c r="BTL158" s="203"/>
      <c r="BTM158" s="204"/>
      <c r="BTN158" s="204"/>
      <c r="BTO158" s="204"/>
      <c r="BTP158" s="205"/>
      <c r="BTQ158" s="206"/>
      <c r="BTR158" s="207"/>
      <c r="BTS158" s="207"/>
      <c r="BTT158" s="208"/>
      <c r="BTU158" s="209"/>
      <c r="BTV158" s="207"/>
      <c r="BTW158" s="210"/>
      <c r="BTX158" s="209"/>
      <c r="BTY158" s="204"/>
      <c r="BTZ158" s="204"/>
      <c r="BUA158" s="204"/>
      <c r="BUB158" s="199"/>
      <c r="BUC158" s="167"/>
      <c r="BUD158" s="199"/>
      <c r="BUE158" s="200"/>
      <c r="BUF158" s="201"/>
      <c r="BUG158" s="202"/>
      <c r="BUH158" s="202"/>
      <c r="BUI158" s="202"/>
      <c r="BUJ158" s="202"/>
      <c r="BUK158" s="203"/>
      <c r="BUL158" s="204"/>
      <c r="BUM158" s="204"/>
      <c r="BUN158" s="204"/>
      <c r="BUO158" s="205"/>
      <c r="BUP158" s="206"/>
      <c r="BUQ158" s="207"/>
      <c r="BUR158" s="207"/>
      <c r="BUS158" s="208"/>
      <c r="BUT158" s="209"/>
      <c r="BUU158" s="207"/>
      <c r="BUV158" s="210"/>
      <c r="BUW158" s="209"/>
      <c r="BUX158" s="204"/>
      <c r="BUY158" s="204"/>
      <c r="BUZ158" s="204"/>
      <c r="BVA158" s="199"/>
      <c r="BVB158" s="167"/>
      <c r="BVC158" s="199"/>
      <c r="BVD158" s="200"/>
      <c r="BVE158" s="201"/>
      <c r="BVF158" s="202"/>
      <c r="BVG158" s="202"/>
      <c r="BVH158" s="202"/>
      <c r="BVI158" s="202"/>
      <c r="BVJ158" s="203"/>
      <c r="BVK158" s="204"/>
      <c r="BVL158" s="204"/>
      <c r="BVM158" s="204"/>
      <c r="BVN158" s="205"/>
      <c r="BVO158" s="206"/>
      <c r="BVP158" s="207"/>
      <c r="BVQ158" s="207"/>
      <c r="BVR158" s="208"/>
      <c r="BVS158" s="209"/>
      <c r="BVT158" s="207"/>
      <c r="BVU158" s="210"/>
      <c r="BVV158" s="209"/>
      <c r="BVW158" s="204"/>
      <c r="BVX158" s="204"/>
      <c r="BVY158" s="204"/>
      <c r="BVZ158" s="199"/>
      <c r="BWA158" s="167"/>
      <c r="BWB158" s="199"/>
      <c r="BWC158" s="200"/>
      <c r="BWD158" s="201"/>
      <c r="BWE158" s="202"/>
      <c r="BWF158" s="202"/>
      <c r="BWG158" s="202"/>
      <c r="BWH158" s="202"/>
      <c r="BWI158" s="203"/>
      <c r="BWJ158" s="204"/>
      <c r="BWK158" s="204"/>
      <c r="BWL158" s="204"/>
      <c r="BWM158" s="205"/>
      <c r="BWN158" s="206"/>
      <c r="BWO158" s="207"/>
      <c r="BWP158" s="207"/>
      <c r="BWQ158" s="208"/>
      <c r="BWR158" s="209"/>
      <c r="BWS158" s="207"/>
      <c r="BWT158" s="210"/>
      <c r="BWU158" s="209"/>
      <c r="BWV158" s="204"/>
      <c r="BWW158" s="204"/>
      <c r="BWX158" s="204"/>
      <c r="BWY158" s="199"/>
      <c r="BWZ158" s="167"/>
      <c r="BXA158" s="199"/>
      <c r="BXB158" s="200"/>
      <c r="BXC158" s="201"/>
      <c r="BXD158" s="202"/>
      <c r="BXE158" s="202"/>
      <c r="BXF158" s="202"/>
      <c r="BXG158" s="202"/>
      <c r="BXH158" s="203"/>
      <c r="BXI158" s="204"/>
      <c r="BXJ158" s="204"/>
      <c r="BXK158" s="204"/>
      <c r="BXL158" s="205"/>
      <c r="BXM158" s="206"/>
      <c r="BXN158" s="207"/>
      <c r="BXO158" s="207"/>
      <c r="BXP158" s="208"/>
      <c r="BXQ158" s="209"/>
      <c r="BXR158" s="207"/>
      <c r="BXS158" s="210"/>
      <c r="BXT158" s="209"/>
      <c r="BXU158" s="204"/>
      <c r="BXV158" s="204"/>
      <c r="BXW158" s="204"/>
      <c r="BXX158" s="199"/>
      <c r="BXY158" s="167"/>
      <c r="BXZ158" s="199"/>
      <c r="BYA158" s="200"/>
      <c r="BYB158" s="201"/>
      <c r="BYC158" s="202"/>
      <c r="BYD158" s="202"/>
      <c r="BYE158" s="202"/>
      <c r="BYF158" s="202"/>
      <c r="BYG158" s="203"/>
      <c r="BYH158" s="204"/>
      <c r="BYI158" s="204"/>
      <c r="BYJ158" s="204"/>
      <c r="BYK158" s="205"/>
      <c r="BYL158" s="206"/>
      <c r="BYM158" s="207"/>
      <c r="BYN158" s="207"/>
      <c r="BYO158" s="208"/>
      <c r="BYP158" s="209"/>
      <c r="BYQ158" s="207"/>
      <c r="BYR158" s="210"/>
      <c r="BYS158" s="209"/>
      <c r="BYT158" s="204"/>
      <c r="BYU158" s="204"/>
      <c r="BYV158" s="204"/>
      <c r="BYW158" s="199"/>
      <c r="BYX158" s="167"/>
      <c r="BYY158" s="199"/>
      <c r="BYZ158" s="200"/>
      <c r="BZA158" s="201"/>
      <c r="BZB158" s="202"/>
      <c r="BZC158" s="202"/>
      <c r="BZD158" s="202"/>
      <c r="BZE158" s="202"/>
      <c r="BZF158" s="203"/>
      <c r="BZG158" s="204"/>
      <c r="BZH158" s="204"/>
      <c r="BZI158" s="204"/>
      <c r="BZJ158" s="205"/>
      <c r="BZK158" s="206"/>
      <c r="BZL158" s="207"/>
      <c r="BZM158" s="207"/>
      <c r="BZN158" s="208"/>
      <c r="BZO158" s="209"/>
      <c r="BZP158" s="207"/>
      <c r="BZQ158" s="210"/>
      <c r="BZR158" s="209"/>
      <c r="BZS158" s="204"/>
      <c r="BZT158" s="204"/>
      <c r="BZU158" s="204"/>
      <c r="BZV158" s="199"/>
      <c r="BZW158" s="167"/>
      <c r="BZX158" s="199"/>
      <c r="BZY158" s="200"/>
      <c r="BZZ158" s="201"/>
      <c r="CAA158" s="202"/>
      <c r="CAB158" s="202"/>
      <c r="CAC158" s="202"/>
      <c r="CAD158" s="202"/>
      <c r="CAE158" s="203"/>
      <c r="CAF158" s="204"/>
      <c r="CAG158" s="204"/>
      <c r="CAH158" s="204"/>
      <c r="CAI158" s="205"/>
      <c r="CAJ158" s="206"/>
      <c r="CAK158" s="207"/>
      <c r="CAL158" s="207"/>
      <c r="CAM158" s="208"/>
      <c r="CAN158" s="209"/>
      <c r="CAO158" s="207"/>
      <c r="CAP158" s="210"/>
      <c r="CAQ158" s="209"/>
      <c r="CAR158" s="204"/>
      <c r="CAS158" s="204"/>
      <c r="CAT158" s="204"/>
      <c r="CAU158" s="199"/>
      <c r="CAV158" s="167"/>
      <c r="CAW158" s="199"/>
      <c r="CAX158" s="200"/>
      <c r="CAY158" s="201"/>
      <c r="CAZ158" s="202"/>
      <c r="CBA158" s="202"/>
      <c r="CBB158" s="202"/>
      <c r="CBC158" s="202"/>
      <c r="CBD158" s="203"/>
      <c r="CBE158" s="204"/>
      <c r="CBF158" s="204"/>
      <c r="CBG158" s="204"/>
      <c r="CBH158" s="205"/>
      <c r="CBI158" s="206"/>
      <c r="CBJ158" s="207"/>
      <c r="CBK158" s="207"/>
      <c r="CBL158" s="208"/>
      <c r="CBM158" s="209"/>
      <c r="CBN158" s="207"/>
      <c r="CBO158" s="210"/>
      <c r="CBP158" s="209"/>
      <c r="CBQ158" s="204"/>
      <c r="CBR158" s="204"/>
      <c r="CBS158" s="204"/>
      <c r="CBT158" s="199"/>
      <c r="CBU158" s="167"/>
      <c r="CBV158" s="199"/>
      <c r="CBW158" s="200"/>
      <c r="CBX158" s="201"/>
      <c r="CBY158" s="202"/>
      <c r="CBZ158" s="202"/>
      <c r="CCA158" s="202"/>
      <c r="CCB158" s="202"/>
      <c r="CCC158" s="203"/>
      <c r="CCD158" s="204"/>
      <c r="CCE158" s="204"/>
      <c r="CCF158" s="204"/>
      <c r="CCG158" s="205"/>
      <c r="CCH158" s="206"/>
      <c r="CCI158" s="207"/>
      <c r="CCJ158" s="207"/>
      <c r="CCK158" s="208"/>
      <c r="CCL158" s="209"/>
      <c r="CCM158" s="207"/>
      <c r="CCN158" s="210"/>
      <c r="CCO158" s="209"/>
      <c r="CCP158" s="204"/>
      <c r="CCQ158" s="204"/>
      <c r="CCR158" s="204"/>
      <c r="CCS158" s="199"/>
      <c r="CCT158" s="167"/>
      <c r="CCU158" s="199"/>
      <c r="CCV158" s="200"/>
      <c r="CCW158" s="201"/>
      <c r="CCX158" s="202"/>
      <c r="CCY158" s="202"/>
      <c r="CCZ158" s="202"/>
      <c r="CDA158" s="202"/>
      <c r="CDB158" s="203"/>
      <c r="CDC158" s="204"/>
      <c r="CDD158" s="204"/>
      <c r="CDE158" s="204"/>
      <c r="CDF158" s="205"/>
      <c r="CDG158" s="206"/>
      <c r="CDH158" s="207"/>
      <c r="CDI158" s="207"/>
      <c r="CDJ158" s="208"/>
      <c r="CDK158" s="209"/>
      <c r="CDL158" s="207"/>
      <c r="CDM158" s="210"/>
      <c r="CDN158" s="209"/>
      <c r="CDO158" s="204"/>
      <c r="CDP158" s="204"/>
      <c r="CDQ158" s="204"/>
      <c r="CDR158" s="199"/>
      <c r="CDS158" s="167"/>
      <c r="CDT158" s="199"/>
      <c r="CDU158" s="200"/>
      <c r="CDV158" s="201"/>
      <c r="CDW158" s="202"/>
      <c r="CDX158" s="202"/>
      <c r="CDY158" s="202"/>
      <c r="CDZ158" s="202"/>
      <c r="CEA158" s="203"/>
      <c r="CEB158" s="204"/>
      <c r="CEC158" s="204"/>
      <c r="CED158" s="204"/>
      <c r="CEE158" s="205"/>
      <c r="CEF158" s="206"/>
      <c r="CEG158" s="207"/>
      <c r="CEH158" s="207"/>
      <c r="CEI158" s="208"/>
      <c r="CEJ158" s="209"/>
      <c r="CEK158" s="207"/>
      <c r="CEL158" s="210"/>
      <c r="CEM158" s="209"/>
      <c r="CEN158" s="204"/>
      <c r="CEO158" s="204"/>
      <c r="CEP158" s="204"/>
      <c r="CEQ158" s="199"/>
      <c r="CER158" s="167"/>
      <c r="CES158" s="199"/>
      <c r="CET158" s="200"/>
      <c r="CEU158" s="201"/>
      <c r="CEV158" s="202"/>
      <c r="CEW158" s="202"/>
      <c r="CEX158" s="202"/>
      <c r="CEY158" s="202"/>
      <c r="CEZ158" s="203"/>
      <c r="CFA158" s="204"/>
      <c r="CFB158" s="204"/>
      <c r="CFC158" s="204"/>
      <c r="CFD158" s="205"/>
      <c r="CFE158" s="206"/>
      <c r="CFF158" s="207"/>
      <c r="CFG158" s="207"/>
      <c r="CFH158" s="208"/>
      <c r="CFI158" s="209"/>
      <c r="CFJ158" s="207"/>
      <c r="CFK158" s="210"/>
      <c r="CFL158" s="209"/>
      <c r="CFM158" s="204"/>
      <c r="CFN158" s="204"/>
      <c r="CFO158" s="204"/>
      <c r="CFP158" s="199"/>
      <c r="CFQ158" s="167"/>
      <c r="CFR158" s="199"/>
      <c r="CFS158" s="200"/>
      <c r="CFT158" s="201"/>
      <c r="CFU158" s="202"/>
      <c r="CFV158" s="202"/>
      <c r="CFW158" s="202"/>
      <c r="CFX158" s="202"/>
      <c r="CFY158" s="203"/>
      <c r="CFZ158" s="204"/>
      <c r="CGA158" s="204"/>
      <c r="CGB158" s="204"/>
      <c r="CGC158" s="205"/>
      <c r="CGD158" s="206"/>
      <c r="CGE158" s="207"/>
      <c r="CGF158" s="207"/>
      <c r="CGG158" s="208"/>
      <c r="CGH158" s="209"/>
      <c r="CGI158" s="207"/>
      <c r="CGJ158" s="210"/>
      <c r="CGK158" s="209"/>
      <c r="CGL158" s="204"/>
      <c r="CGM158" s="204"/>
      <c r="CGN158" s="204"/>
      <c r="CGO158" s="199"/>
      <c r="CGP158" s="167"/>
      <c r="CGQ158" s="199"/>
      <c r="CGR158" s="200"/>
      <c r="CGS158" s="201"/>
      <c r="CGT158" s="202"/>
      <c r="CGU158" s="202"/>
      <c r="CGV158" s="202"/>
      <c r="CGW158" s="202"/>
      <c r="CGX158" s="203"/>
      <c r="CGY158" s="204"/>
      <c r="CGZ158" s="204"/>
      <c r="CHA158" s="204"/>
      <c r="CHB158" s="205"/>
      <c r="CHC158" s="206"/>
      <c r="CHD158" s="207"/>
      <c r="CHE158" s="207"/>
      <c r="CHF158" s="208"/>
      <c r="CHG158" s="209"/>
      <c r="CHH158" s="207"/>
      <c r="CHI158" s="210"/>
      <c r="CHJ158" s="209"/>
      <c r="CHK158" s="204"/>
      <c r="CHL158" s="204"/>
      <c r="CHM158" s="204"/>
      <c r="CHN158" s="199"/>
      <c r="CHO158" s="167"/>
      <c r="CHP158" s="199"/>
      <c r="CHQ158" s="200"/>
      <c r="CHR158" s="201"/>
      <c r="CHS158" s="202"/>
      <c r="CHT158" s="202"/>
      <c r="CHU158" s="202"/>
      <c r="CHV158" s="202"/>
      <c r="CHW158" s="203"/>
      <c r="CHX158" s="204"/>
      <c r="CHY158" s="204"/>
      <c r="CHZ158" s="204"/>
      <c r="CIA158" s="205"/>
      <c r="CIB158" s="206"/>
      <c r="CIC158" s="207"/>
      <c r="CID158" s="207"/>
      <c r="CIE158" s="208"/>
      <c r="CIF158" s="209"/>
      <c r="CIG158" s="207"/>
      <c r="CIH158" s="210"/>
      <c r="CII158" s="209"/>
      <c r="CIJ158" s="204"/>
      <c r="CIK158" s="204"/>
      <c r="CIL158" s="204"/>
      <c r="CIM158" s="199"/>
      <c r="CIN158" s="167"/>
      <c r="CIO158" s="199"/>
      <c r="CIP158" s="200"/>
      <c r="CIQ158" s="201"/>
      <c r="CIR158" s="202"/>
      <c r="CIS158" s="202"/>
      <c r="CIT158" s="202"/>
      <c r="CIU158" s="202"/>
      <c r="CIV158" s="203"/>
      <c r="CIW158" s="204"/>
      <c r="CIX158" s="204"/>
      <c r="CIY158" s="204"/>
      <c r="CIZ158" s="205"/>
      <c r="CJA158" s="206"/>
      <c r="CJB158" s="207"/>
      <c r="CJC158" s="207"/>
      <c r="CJD158" s="208"/>
      <c r="CJE158" s="209"/>
      <c r="CJF158" s="207"/>
      <c r="CJG158" s="210"/>
      <c r="CJH158" s="209"/>
      <c r="CJI158" s="204"/>
      <c r="CJJ158" s="204"/>
      <c r="CJK158" s="204"/>
      <c r="CJL158" s="199"/>
      <c r="CJM158" s="167"/>
      <c r="CJN158" s="199"/>
      <c r="CJO158" s="200"/>
      <c r="CJP158" s="201"/>
      <c r="CJQ158" s="202"/>
      <c r="CJR158" s="202"/>
      <c r="CJS158" s="202"/>
      <c r="CJT158" s="202"/>
      <c r="CJU158" s="203"/>
      <c r="CJV158" s="204"/>
      <c r="CJW158" s="204"/>
      <c r="CJX158" s="204"/>
      <c r="CJY158" s="205"/>
      <c r="CJZ158" s="206"/>
      <c r="CKA158" s="207"/>
      <c r="CKB158" s="207"/>
      <c r="CKC158" s="208"/>
      <c r="CKD158" s="209"/>
      <c r="CKE158" s="207"/>
      <c r="CKF158" s="210"/>
      <c r="CKG158" s="209"/>
      <c r="CKH158" s="204"/>
      <c r="CKI158" s="204"/>
      <c r="CKJ158" s="204"/>
      <c r="CKK158" s="199"/>
      <c r="CKL158" s="167"/>
      <c r="CKM158" s="199"/>
      <c r="CKN158" s="200"/>
      <c r="CKO158" s="201"/>
      <c r="CKP158" s="202"/>
      <c r="CKQ158" s="202"/>
      <c r="CKR158" s="202"/>
      <c r="CKS158" s="202"/>
      <c r="CKT158" s="203"/>
      <c r="CKU158" s="204"/>
      <c r="CKV158" s="204"/>
      <c r="CKW158" s="204"/>
      <c r="CKX158" s="205"/>
      <c r="CKY158" s="206"/>
      <c r="CKZ158" s="207"/>
      <c r="CLA158" s="207"/>
      <c r="CLB158" s="208"/>
      <c r="CLC158" s="209"/>
      <c r="CLD158" s="207"/>
      <c r="CLE158" s="210"/>
      <c r="CLF158" s="209"/>
      <c r="CLG158" s="204"/>
      <c r="CLH158" s="204"/>
      <c r="CLI158" s="204"/>
      <c r="CLJ158" s="199"/>
      <c r="CLK158" s="167"/>
      <c r="CLL158" s="199"/>
      <c r="CLM158" s="200"/>
      <c r="CLN158" s="201"/>
      <c r="CLO158" s="202"/>
      <c r="CLP158" s="202"/>
      <c r="CLQ158" s="202"/>
      <c r="CLR158" s="202"/>
      <c r="CLS158" s="203"/>
      <c r="CLT158" s="204"/>
      <c r="CLU158" s="204"/>
      <c r="CLV158" s="204"/>
      <c r="CLW158" s="205"/>
      <c r="CLX158" s="206"/>
      <c r="CLY158" s="207"/>
      <c r="CLZ158" s="207"/>
      <c r="CMA158" s="208"/>
      <c r="CMB158" s="209"/>
      <c r="CMC158" s="207"/>
      <c r="CMD158" s="210"/>
      <c r="CME158" s="209"/>
      <c r="CMF158" s="204"/>
      <c r="CMG158" s="204"/>
      <c r="CMH158" s="204"/>
      <c r="CMI158" s="199"/>
      <c r="CMJ158" s="167"/>
      <c r="CMK158" s="199"/>
      <c r="CML158" s="200"/>
      <c r="CMM158" s="201"/>
      <c r="CMN158" s="202"/>
      <c r="CMO158" s="202"/>
      <c r="CMP158" s="202"/>
      <c r="CMQ158" s="202"/>
      <c r="CMR158" s="203"/>
      <c r="CMS158" s="204"/>
      <c r="CMT158" s="204"/>
      <c r="CMU158" s="204"/>
      <c r="CMV158" s="205"/>
      <c r="CMW158" s="206"/>
      <c r="CMX158" s="207"/>
      <c r="CMY158" s="207"/>
      <c r="CMZ158" s="208"/>
      <c r="CNA158" s="209"/>
      <c r="CNB158" s="207"/>
      <c r="CNC158" s="210"/>
      <c r="CND158" s="209"/>
      <c r="CNE158" s="204"/>
      <c r="CNF158" s="204"/>
      <c r="CNG158" s="204"/>
      <c r="CNH158" s="199"/>
      <c r="CNI158" s="167"/>
      <c r="CNJ158" s="199"/>
      <c r="CNK158" s="200"/>
      <c r="CNL158" s="201"/>
      <c r="CNM158" s="202"/>
      <c r="CNN158" s="202"/>
      <c r="CNO158" s="202"/>
      <c r="CNP158" s="202"/>
      <c r="CNQ158" s="203"/>
      <c r="CNR158" s="204"/>
      <c r="CNS158" s="204"/>
      <c r="CNT158" s="204"/>
      <c r="CNU158" s="205"/>
      <c r="CNV158" s="206"/>
      <c r="CNW158" s="207"/>
      <c r="CNX158" s="207"/>
      <c r="CNY158" s="208"/>
      <c r="CNZ158" s="209"/>
      <c r="COA158" s="207"/>
      <c r="COB158" s="210"/>
      <c r="COC158" s="209"/>
      <c r="COD158" s="204"/>
      <c r="COE158" s="204"/>
      <c r="COF158" s="204"/>
      <c r="COG158" s="199"/>
      <c r="COH158" s="167"/>
      <c r="COI158" s="199"/>
      <c r="COJ158" s="200"/>
      <c r="COK158" s="201"/>
      <c r="COL158" s="202"/>
      <c r="COM158" s="202"/>
      <c r="CON158" s="202"/>
      <c r="COO158" s="202"/>
      <c r="COP158" s="203"/>
      <c r="COQ158" s="204"/>
      <c r="COR158" s="204"/>
      <c r="COS158" s="204"/>
      <c r="COT158" s="205"/>
      <c r="COU158" s="206"/>
      <c r="COV158" s="207"/>
      <c r="COW158" s="207"/>
      <c r="COX158" s="208"/>
      <c r="COY158" s="209"/>
      <c r="COZ158" s="207"/>
      <c r="CPA158" s="210"/>
      <c r="CPB158" s="209"/>
      <c r="CPC158" s="204"/>
      <c r="CPD158" s="204"/>
      <c r="CPE158" s="204"/>
      <c r="CPF158" s="199"/>
      <c r="CPG158" s="167"/>
      <c r="CPH158" s="199"/>
      <c r="CPI158" s="200"/>
      <c r="CPJ158" s="201"/>
      <c r="CPK158" s="202"/>
      <c r="CPL158" s="202"/>
      <c r="CPM158" s="202"/>
      <c r="CPN158" s="202"/>
      <c r="CPO158" s="203"/>
      <c r="CPP158" s="204"/>
      <c r="CPQ158" s="204"/>
      <c r="CPR158" s="204"/>
      <c r="CPS158" s="205"/>
      <c r="CPT158" s="206"/>
      <c r="CPU158" s="207"/>
      <c r="CPV158" s="207"/>
      <c r="CPW158" s="208"/>
      <c r="CPX158" s="209"/>
      <c r="CPY158" s="207"/>
      <c r="CPZ158" s="210"/>
      <c r="CQA158" s="209"/>
      <c r="CQB158" s="204"/>
      <c r="CQC158" s="204"/>
      <c r="CQD158" s="204"/>
      <c r="CQE158" s="199"/>
      <c r="CQF158" s="167"/>
      <c r="CQG158" s="199"/>
      <c r="CQH158" s="200"/>
      <c r="CQI158" s="201"/>
      <c r="CQJ158" s="202"/>
      <c r="CQK158" s="202"/>
      <c r="CQL158" s="202"/>
      <c r="CQM158" s="202"/>
      <c r="CQN158" s="203"/>
      <c r="CQO158" s="204"/>
      <c r="CQP158" s="204"/>
      <c r="CQQ158" s="204"/>
      <c r="CQR158" s="205"/>
      <c r="CQS158" s="206"/>
      <c r="CQT158" s="207"/>
      <c r="CQU158" s="207"/>
      <c r="CQV158" s="208"/>
      <c r="CQW158" s="209"/>
      <c r="CQX158" s="207"/>
      <c r="CQY158" s="210"/>
      <c r="CQZ158" s="209"/>
      <c r="CRA158" s="204"/>
      <c r="CRB158" s="204"/>
      <c r="CRC158" s="204"/>
      <c r="CRD158" s="199"/>
      <c r="CRE158" s="167"/>
      <c r="CRF158" s="199"/>
      <c r="CRG158" s="200"/>
      <c r="CRH158" s="201"/>
      <c r="CRI158" s="202"/>
      <c r="CRJ158" s="202"/>
      <c r="CRK158" s="202"/>
      <c r="CRL158" s="202"/>
      <c r="CRM158" s="203"/>
      <c r="CRN158" s="204"/>
      <c r="CRO158" s="204"/>
      <c r="CRP158" s="204"/>
      <c r="CRQ158" s="205"/>
      <c r="CRR158" s="206"/>
      <c r="CRS158" s="207"/>
      <c r="CRT158" s="207"/>
      <c r="CRU158" s="208"/>
      <c r="CRV158" s="209"/>
      <c r="CRW158" s="207"/>
      <c r="CRX158" s="210"/>
      <c r="CRY158" s="209"/>
      <c r="CRZ158" s="204"/>
      <c r="CSA158" s="204"/>
      <c r="CSB158" s="204"/>
      <c r="CSC158" s="199"/>
      <c r="CSD158" s="167"/>
      <c r="CSE158" s="199"/>
      <c r="CSF158" s="200"/>
      <c r="CSG158" s="201"/>
      <c r="CSH158" s="202"/>
      <c r="CSI158" s="202"/>
      <c r="CSJ158" s="202"/>
      <c r="CSK158" s="202"/>
      <c r="CSL158" s="203"/>
      <c r="CSM158" s="204"/>
      <c r="CSN158" s="204"/>
      <c r="CSO158" s="204"/>
      <c r="CSP158" s="205"/>
      <c r="CSQ158" s="206"/>
      <c r="CSR158" s="207"/>
      <c r="CSS158" s="207"/>
      <c r="CST158" s="208"/>
      <c r="CSU158" s="209"/>
      <c r="CSV158" s="207"/>
      <c r="CSW158" s="210"/>
      <c r="CSX158" s="209"/>
      <c r="CSY158" s="204"/>
      <c r="CSZ158" s="204"/>
      <c r="CTA158" s="204"/>
      <c r="CTB158" s="199"/>
      <c r="CTC158" s="167"/>
      <c r="CTD158" s="199"/>
      <c r="CTE158" s="200"/>
      <c r="CTF158" s="201"/>
      <c r="CTG158" s="202"/>
      <c r="CTH158" s="202"/>
      <c r="CTI158" s="202"/>
      <c r="CTJ158" s="202"/>
      <c r="CTK158" s="203"/>
      <c r="CTL158" s="204"/>
      <c r="CTM158" s="204"/>
      <c r="CTN158" s="204"/>
      <c r="CTO158" s="205"/>
      <c r="CTP158" s="206"/>
      <c r="CTQ158" s="207"/>
      <c r="CTR158" s="207"/>
      <c r="CTS158" s="208"/>
      <c r="CTT158" s="209"/>
      <c r="CTU158" s="207"/>
      <c r="CTV158" s="210"/>
      <c r="CTW158" s="209"/>
      <c r="CTX158" s="204"/>
      <c r="CTY158" s="204"/>
      <c r="CTZ158" s="204"/>
      <c r="CUA158" s="199"/>
      <c r="CUB158" s="167"/>
      <c r="CUC158" s="199"/>
      <c r="CUD158" s="200"/>
      <c r="CUE158" s="201"/>
      <c r="CUF158" s="202"/>
      <c r="CUG158" s="202"/>
      <c r="CUH158" s="202"/>
      <c r="CUI158" s="202"/>
      <c r="CUJ158" s="203"/>
      <c r="CUK158" s="204"/>
      <c r="CUL158" s="204"/>
      <c r="CUM158" s="204"/>
      <c r="CUN158" s="205"/>
      <c r="CUO158" s="206"/>
      <c r="CUP158" s="207"/>
      <c r="CUQ158" s="207"/>
      <c r="CUR158" s="208"/>
      <c r="CUS158" s="209"/>
      <c r="CUT158" s="207"/>
      <c r="CUU158" s="210"/>
      <c r="CUV158" s="209"/>
      <c r="CUW158" s="204"/>
      <c r="CUX158" s="204"/>
      <c r="CUY158" s="204"/>
      <c r="CUZ158" s="199"/>
      <c r="CVA158" s="167"/>
      <c r="CVB158" s="199"/>
      <c r="CVC158" s="200"/>
      <c r="CVD158" s="201"/>
      <c r="CVE158" s="202"/>
      <c r="CVF158" s="202"/>
      <c r="CVG158" s="202"/>
      <c r="CVH158" s="202"/>
      <c r="CVI158" s="203"/>
      <c r="CVJ158" s="204"/>
      <c r="CVK158" s="204"/>
      <c r="CVL158" s="204"/>
      <c r="CVM158" s="205"/>
      <c r="CVN158" s="206"/>
      <c r="CVO158" s="207"/>
      <c r="CVP158" s="207"/>
      <c r="CVQ158" s="208"/>
      <c r="CVR158" s="209"/>
      <c r="CVS158" s="207"/>
      <c r="CVT158" s="210"/>
      <c r="CVU158" s="209"/>
      <c r="CVV158" s="204"/>
      <c r="CVW158" s="204"/>
      <c r="CVX158" s="204"/>
      <c r="CVY158" s="199"/>
      <c r="CVZ158" s="167"/>
      <c r="CWA158" s="199"/>
      <c r="CWB158" s="200"/>
      <c r="CWC158" s="201"/>
      <c r="CWD158" s="202"/>
      <c r="CWE158" s="202"/>
      <c r="CWF158" s="202"/>
      <c r="CWG158" s="202"/>
      <c r="CWH158" s="203"/>
      <c r="CWI158" s="204"/>
      <c r="CWJ158" s="204"/>
      <c r="CWK158" s="204"/>
      <c r="CWL158" s="205"/>
      <c r="CWM158" s="206"/>
      <c r="CWN158" s="207"/>
      <c r="CWO158" s="207"/>
      <c r="CWP158" s="208"/>
      <c r="CWQ158" s="209"/>
      <c r="CWR158" s="207"/>
      <c r="CWS158" s="210"/>
      <c r="CWT158" s="209"/>
      <c r="CWU158" s="204"/>
      <c r="CWV158" s="204"/>
      <c r="CWW158" s="204"/>
      <c r="CWX158" s="199"/>
      <c r="CWY158" s="167"/>
      <c r="CWZ158" s="199"/>
      <c r="CXA158" s="200"/>
      <c r="CXB158" s="201"/>
      <c r="CXC158" s="202"/>
      <c r="CXD158" s="202"/>
      <c r="CXE158" s="202"/>
      <c r="CXF158" s="202"/>
      <c r="CXG158" s="203"/>
      <c r="CXH158" s="204"/>
      <c r="CXI158" s="204"/>
      <c r="CXJ158" s="204"/>
      <c r="CXK158" s="205"/>
      <c r="CXL158" s="206"/>
      <c r="CXM158" s="207"/>
      <c r="CXN158" s="207"/>
      <c r="CXO158" s="208"/>
      <c r="CXP158" s="209"/>
      <c r="CXQ158" s="207"/>
      <c r="CXR158" s="210"/>
      <c r="CXS158" s="209"/>
      <c r="CXT158" s="204"/>
      <c r="CXU158" s="204"/>
      <c r="CXV158" s="204"/>
      <c r="CXW158" s="199"/>
      <c r="CXX158" s="167"/>
      <c r="CXY158" s="199"/>
      <c r="CXZ158" s="200"/>
      <c r="CYA158" s="201"/>
      <c r="CYB158" s="202"/>
      <c r="CYC158" s="202"/>
      <c r="CYD158" s="202"/>
      <c r="CYE158" s="202"/>
      <c r="CYF158" s="203"/>
      <c r="CYG158" s="204"/>
      <c r="CYH158" s="204"/>
      <c r="CYI158" s="204"/>
      <c r="CYJ158" s="205"/>
      <c r="CYK158" s="206"/>
      <c r="CYL158" s="207"/>
      <c r="CYM158" s="207"/>
      <c r="CYN158" s="208"/>
      <c r="CYO158" s="209"/>
      <c r="CYP158" s="207"/>
      <c r="CYQ158" s="210"/>
      <c r="CYR158" s="209"/>
      <c r="CYS158" s="204"/>
      <c r="CYT158" s="204"/>
      <c r="CYU158" s="204"/>
      <c r="CYV158" s="199"/>
      <c r="CYW158" s="167"/>
      <c r="CYX158" s="199"/>
      <c r="CYY158" s="200"/>
      <c r="CYZ158" s="201"/>
      <c r="CZA158" s="202"/>
      <c r="CZB158" s="202"/>
      <c r="CZC158" s="202"/>
      <c r="CZD158" s="202"/>
      <c r="CZE158" s="203"/>
      <c r="CZF158" s="204"/>
      <c r="CZG158" s="204"/>
      <c r="CZH158" s="204"/>
      <c r="CZI158" s="205"/>
      <c r="CZJ158" s="206"/>
      <c r="CZK158" s="207"/>
      <c r="CZL158" s="207"/>
      <c r="CZM158" s="208"/>
      <c r="CZN158" s="209"/>
      <c r="CZO158" s="207"/>
      <c r="CZP158" s="210"/>
      <c r="CZQ158" s="209"/>
      <c r="CZR158" s="204"/>
      <c r="CZS158" s="204"/>
      <c r="CZT158" s="204"/>
      <c r="CZU158" s="199"/>
      <c r="CZV158" s="167"/>
      <c r="CZW158" s="199"/>
      <c r="CZX158" s="200"/>
      <c r="CZY158" s="201"/>
      <c r="CZZ158" s="202"/>
      <c r="DAA158" s="202"/>
      <c r="DAB158" s="202"/>
      <c r="DAC158" s="202"/>
      <c r="DAD158" s="203"/>
      <c r="DAE158" s="204"/>
      <c r="DAF158" s="204"/>
      <c r="DAG158" s="204"/>
      <c r="DAH158" s="205"/>
      <c r="DAI158" s="206"/>
      <c r="DAJ158" s="207"/>
      <c r="DAK158" s="207"/>
      <c r="DAL158" s="208"/>
      <c r="DAM158" s="209"/>
      <c r="DAN158" s="207"/>
      <c r="DAO158" s="210"/>
      <c r="DAP158" s="209"/>
      <c r="DAQ158" s="204"/>
      <c r="DAR158" s="204"/>
      <c r="DAS158" s="204"/>
      <c r="DAT158" s="199"/>
      <c r="DAU158" s="167"/>
      <c r="DAV158" s="199"/>
      <c r="DAW158" s="200"/>
      <c r="DAX158" s="201"/>
      <c r="DAY158" s="202"/>
      <c r="DAZ158" s="202"/>
      <c r="DBA158" s="202"/>
      <c r="DBB158" s="202"/>
      <c r="DBC158" s="203"/>
      <c r="DBD158" s="204"/>
      <c r="DBE158" s="204"/>
      <c r="DBF158" s="204"/>
      <c r="DBG158" s="205"/>
      <c r="DBH158" s="206"/>
      <c r="DBI158" s="207"/>
      <c r="DBJ158" s="207"/>
      <c r="DBK158" s="208"/>
      <c r="DBL158" s="209"/>
      <c r="DBM158" s="207"/>
      <c r="DBN158" s="210"/>
      <c r="DBO158" s="209"/>
      <c r="DBP158" s="204"/>
      <c r="DBQ158" s="204"/>
      <c r="DBR158" s="204"/>
      <c r="DBS158" s="199"/>
      <c r="DBT158" s="167"/>
      <c r="DBU158" s="199"/>
      <c r="DBV158" s="200"/>
      <c r="DBW158" s="201"/>
      <c r="DBX158" s="202"/>
      <c r="DBY158" s="202"/>
      <c r="DBZ158" s="202"/>
      <c r="DCA158" s="202"/>
      <c r="DCB158" s="203"/>
      <c r="DCC158" s="204"/>
      <c r="DCD158" s="204"/>
      <c r="DCE158" s="204"/>
      <c r="DCF158" s="205"/>
      <c r="DCG158" s="206"/>
      <c r="DCH158" s="207"/>
      <c r="DCI158" s="207"/>
      <c r="DCJ158" s="208"/>
      <c r="DCK158" s="209"/>
      <c r="DCL158" s="207"/>
      <c r="DCM158" s="210"/>
      <c r="DCN158" s="209"/>
      <c r="DCO158" s="204"/>
      <c r="DCP158" s="204"/>
      <c r="DCQ158" s="204"/>
      <c r="DCR158" s="199"/>
      <c r="DCS158" s="167"/>
      <c r="DCT158" s="199"/>
      <c r="DCU158" s="200"/>
      <c r="DCV158" s="201"/>
      <c r="DCW158" s="202"/>
      <c r="DCX158" s="202"/>
      <c r="DCY158" s="202"/>
      <c r="DCZ158" s="202"/>
      <c r="DDA158" s="203"/>
      <c r="DDB158" s="204"/>
      <c r="DDC158" s="204"/>
      <c r="DDD158" s="204"/>
      <c r="DDE158" s="205"/>
      <c r="DDF158" s="206"/>
      <c r="DDG158" s="207"/>
      <c r="DDH158" s="207"/>
      <c r="DDI158" s="208"/>
      <c r="DDJ158" s="209"/>
      <c r="DDK158" s="207"/>
      <c r="DDL158" s="210"/>
      <c r="DDM158" s="209"/>
      <c r="DDN158" s="204"/>
      <c r="DDO158" s="204"/>
      <c r="DDP158" s="204"/>
      <c r="DDQ158" s="199"/>
      <c r="DDR158" s="167"/>
      <c r="DDS158" s="199"/>
      <c r="DDT158" s="200"/>
      <c r="DDU158" s="201"/>
      <c r="DDV158" s="202"/>
      <c r="DDW158" s="202"/>
      <c r="DDX158" s="202"/>
      <c r="DDY158" s="202"/>
      <c r="DDZ158" s="203"/>
      <c r="DEA158" s="204"/>
      <c r="DEB158" s="204"/>
      <c r="DEC158" s="204"/>
      <c r="DED158" s="205"/>
      <c r="DEE158" s="206"/>
      <c r="DEF158" s="207"/>
      <c r="DEG158" s="207"/>
      <c r="DEH158" s="208"/>
      <c r="DEI158" s="209"/>
      <c r="DEJ158" s="207"/>
      <c r="DEK158" s="210"/>
      <c r="DEL158" s="209"/>
      <c r="DEM158" s="204"/>
      <c r="DEN158" s="204"/>
      <c r="DEO158" s="204"/>
      <c r="DEP158" s="199"/>
      <c r="DEQ158" s="167"/>
      <c r="DER158" s="199"/>
      <c r="DES158" s="200"/>
      <c r="DET158" s="201"/>
      <c r="DEU158" s="202"/>
      <c r="DEV158" s="202"/>
      <c r="DEW158" s="202"/>
      <c r="DEX158" s="202"/>
      <c r="DEY158" s="203"/>
      <c r="DEZ158" s="204"/>
      <c r="DFA158" s="204"/>
      <c r="DFB158" s="204"/>
      <c r="DFC158" s="205"/>
      <c r="DFD158" s="206"/>
      <c r="DFE158" s="207"/>
      <c r="DFF158" s="207"/>
      <c r="DFG158" s="208"/>
      <c r="DFH158" s="209"/>
      <c r="DFI158" s="207"/>
      <c r="DFJ158" s="210"/>
      <c r="DFK158" s="209"/>
      <c r="DFL158" s="204"/>
      <c r="DFM158" s="204"/>
      <c r="DFN158" s="204"/>
      <c r="DFO158" s="199"/>
      <c r="DFP158" s="167"/>
      <c r="DFQ158" s="199"/>
      <c r="DFR158" s="200"/>
      <c r="DFS158" s="201"/>
      <c r="DFT158" s="202"/>
      <c r="DFU158" s="202"/>
      <c r="DFV158" s="202"/>
      <c r="DFW158" s="202"/>
      <c r="DFX158" s="203"/>
      <c r="DFY158" s="204"/>
      <c r="DFZ158" s="204"/>
      <c r="DGA158" s="204"/>
      <c r="DGB158" s="205"/>
      <c r="DGC158" s="206"/>
      <c r="DGD158" s="207"/>
      <c r="DGE158" s="207"/>
      <c r="DGF158" s="208"/>
      <c r="DGG158" s="209"/>
      <c r="DGH158" s="207"/>
      <c r="DGI158" s="210"/>
      <c r="DGJ158" s="209"/>
      <c r="DGK158" s="204"/>
      <c r="DGL158" s="204"/>
      <c r="DGM158" s="204"/>
      <c r="DGN158" s="199"/>
      <c r="DGO158" s="167"/>
      <c r="DGP158" s="199"/>
      <c r="DGQ158" s="200"/>
      <c r="DGR158" s="201"/>
      <c r="DGS158" s="202"/>
      <c r="DGT158" s="202"/>
      <c r="DGU158" s="202"/>
      <c r="DGV158" s="202"/>
      <c r="DGW158" s="203"/>
      <c r="DGX158" s="204"/>
      <c r="DGY158" s="204"/>
      <c r="DGZ158" s="204"/>
      <c r="DHA158" s="205"/>
      <c r="DHB158" s="206"/>
      <c r="DHC158" s="207"/>
      <c r="DHD158" s="207"/>
      <c r="DHE158" s="208"/>
      <c r="DHF158" s="209"/>
      <c r="DHG158" s="207"/>
      <c r="DHH158" s="210"/>
      <c r="DHI158" s="209"/>
      <c r="DHJ158" s="204"/>
      <c r="DHK158" s="204"/>
      <c r="DHL158" s="204"/>
      <c r="DHM158" s="199"/>
      <c r="DHN158" s="167"/>
      <c r="DHO158" s="199"/>
      <c r="DHP158" s="200"/>
      <c r="DHQ158" s="201"/>
      <c r="DHR158" s="202"/>
      <c r="DHS158" s="202"/>
      <c r="DHT158" s="202"/>
      <c r="DHU158" s="202"/>
      <c r="DHV158" s="203"/>
      <c r="DHW158" s="204"/>
      <c r="DHX158" s="204"/>
      <c r="DHY158" s="204"/>
      <c r="DHZ158" s="205"/>
      <c r="DIA158" s="206"/>
      <c r="DIB158" s="207"/>
      <c r="DIC158" s="207"/>
      <c r="DID158" s="208"/>
      <c r="DIE158" s="209"/>
      <c r="DIF158" s="207"/>
      <c r="DIG158" s="210"/>
      <c r="DIH158" s="209"/>
      <c r="DII158" s="204"/>
      <c r="DIJ158" s="204"/>
      <c r="DIK158" s="204"/>
      <c r="DIL158" s="199"/>
      <c r="DIM158" s="167"/>
      <c r="DIN158" s="199"/>
      <c r="DIO158" s="200"/>
      <c r="DIP158" s="201"/>
      <c r="DIQ158" s="202"/>
      <c r="DIR158" s="202"/>
      <c r="DIS158" s="202"/>
      <c r="DIT158" s="202"/>
      <c r="DIU158" s="203"/>
      <c r="DIV158" s="204"/>
      <c r="DIW158" s="204"/>
      <c r="DIX158" s="204"/>
      <c r="DIY158" s="205"/>
      <c r="DIZ158" s="206"/>
      <c r="DJA158" s="207"/>
      <c r="DJB158" s="207"/>
      <c r="DJC158" s="208"/>
      <c r="DJD158" s="209"/>
      <c r="DJE158" s="207"/>
      <c r="DJF158" s="210"/>
      <c r="DJG158" s="209"/>
      <c r="DJH158" s="204"/>
      <c r="DJI158" s="204"/>
      <c r="DJJ158" s="204"/>
      <c r="DJK158" s="199"/>
      <c r="DJL158" s="167"/>
      <c r="DJM158" s="199"/>
      <c r="DJN158" s="200"/>
      <c r="DJO158" s="201"/>
      <c r="DJP158" s="202"/>
      <c r="DJQ158" s="202"/>
      <c r="DJR158" s="202"/>
      <c r="DJS158" s="202"/>
      <c r="DJT158" s="203"/>
      <c r="DJU158" s="204"/>
      <c r="DJV158" s="204"/>
      <c r="DJW158" s="204"/>
      <c r="DJX158" s="205"/>
      <c r="DJY158" s="206"/>
      <c r="DJZ158" s="207"/>
      <c r="DKA158" s="207"/>
      <c r="DKB158" s="208"/>
      <c r="DKC158" s="209"/>
      <c r="DKD158" s="207"/>
      <c r="DKE158" s="210"/>
      <c r="DKF158" s="209"/>
      <c r="DKG158" s="204"/>
      <c r="DKH158" s="204"/>
      <c r="DKI158" s="204"/>
      <c r="DKJ158" s="199"/>
      <c r="DKK158" s="167"/>
      <c r="DKL158" s="199"/>
      <c r="DKM158" s="200"/>
      <c r="DKN158" s="201"/>
      <c r="DKO158" s="202"/>
      <c r="DKP158" s="202"/>
      <c r="DKQ158" s="202"/>
      <c r="DKR158" s="202"/>
      <c r="DKS158" s="203"/>
      <c r="DKT158" s="204"/>
      <c r="DKU158" s="204"/>
      <c r="DKV158" s="204"/>
      <c r="DKW158" s="205"/>
      <c r="DKX158" s="206"/>
      <c r="DKY158" s="207"/>
      <c r="DKZ158" s="207"/>
      <c r="DLA158" s="208"/>
      <c r="DLB158" s="209"/>
      <c r="DLC158" s="207"/>
      <c r="DLD158" s="210"/>
      <c r="DLE158" s="209"/>
      <c r="DLF158" s="204"/>
      <c r="DLG158" s="204"/>
      <c r="DLH158" s="204"/>
      <c r="DLI158" s="199"/>
      <c r="DLJ158" s="167"/>
      <c r="DLK158" s="199"/>
      <c r="DLL158" s="200"/>
      <c r="DLM158" s="201"/>
      <c r="DLN158" s="202"/>
      <c r="DLO158" s="202"/>
      <c r="DLP158" s="202"/>
      <c r="DLQ158" s="202"/>
      <c r="DLR158" s="203"/>
      <c r="DLS158" s="204"/>
      <c r="DLT158" s="204"/>
      <c r="DLU158" s="204"/>
      <c r="DLV158" s="205"/>
      <c r="DLW158" s="206"/>
      <c r="DLX158" s="207"/>
      <c r="DLY158" s="207"/>
      <c r="DLZ158" s="208"/>
      <c r="DMA158" s="209"/>
      <c r="DMB158" s="207"/>
      <c r="DMC158" s="210"/>
      <c r="DMD158" s="209"/>
      <c r="DME158" s="204"/>
      <c r="DMF158" s="204"/>
      <c r="DMG158" s="204"/>
      <c r="DMH158" s="199"/>
      <c r="DMI158" s="167"/>
      <c r="DMJ158" s="199"/>
      <c r="DMK158" s="200"/>
      <c r="DML158" s="201"/>
      <c r="DMM158" s="202"/>
      <c r="DMN158" s="202"/>
      <c r="DMO158" s="202"/>
      <c r="DMP158" s="202"/>
      <c r="DMQ158" s="203"/>
      <c r="DMR158" s="204"/>
      <c r="DMS158" s="204"/>
      <c r="DMT158" s="204"/>
      <c r="DMU158" s="205"/>
      <c r="DMV158" s="206"/>
      <c r="DMW158" s="207"/>
      <c r="DMX158" s="207"/>
      <c r="DMY158" s="208"/>
      <c r="DMZ158" s="209"/>
      <c r="DNA158" s="207"/>
      <c r="DNB158" s="210"/>
      <c r="DNC158" s="209"/>
      <c r="DND158" s="204"/>
      <c r="DNE158" s="204"/>
      <c r="DNF158" s="204"/>
      <c r="DNG158" s="199"/>
      <c r="DNH158" s="167"/>
      <c r="DNI158" s="199"/>
      <c r="DNJ158" s="200"/>
      <c r="DNK158" s="201"/>
      <c r="DNL158" s="202"/>
      <c r="DNM158" s="202"/>
      <c r="DNN158" s="202"/>
      <c r="DNO158" s="202"/>
      <c r="DNP158" s="203"/>
      <c r="DNQ158" s="204"/>
      <c r="DNR158" s="204"/>
      <c r="DNS158" s="204"/>
      <c r="DNT158" s="205"/>
      <c r="DNU158" s="206"/>
      <c r="DNV158" s="207"/>
      <c r="DNW158" s="207"/>
      <c r="DNX158" s="208"/>
      <c r="DNY158" s="209"/>
      <c r="DNZ158" s="207"/>
      <c r="DOA158" s="210"/>
      <c r="DOB158" s="209"/>
      <c r="DOC158" s="204"/>
      <c r="DOD158" s="204"/>
      <c r="DOE158" s="204"/>
      <c r="DOF158" s="199"/>
      <c r="DOG158" s="167"/>
      <c r="DOH158" s="199"/>
      <c r="DOI158" s="200"/>
      <c r="DOJ158" s="201"/>
      <c r="DOK158" s="202"/>
      <c r="DOL158" s="202"/>
      <c r="DOM158" s="202"/>
      <c r="DON158" s="202"/>
      <c r="DOO158" s="203"/>
      <c r="DOP158" s="204"/>
      <c r="DOQ158" s="204"/>
      <c r="DOR158" s="204"/>
      <c r="DOS158" s="205"/>
      <c r="DOT158" s="206"/>
      <c r="DOU158" s="207"/>
      <c r="DOV158" s="207"/>
      <c r="DOW158" s="208"/>
      <c r="DOX158" s="209"/>
      <c r="DOY158" s="207"/>
      <c r="DOZ158" s="210"/>
      <c r="DPA158" s="209"/>
      <c r="DPB158" s="204"/>
      <c r="DPC158" s="204"/>
      <c r="DPD158" s="204"/>
      <c r="DPE158" s="199"/>
      <c r="DPF158" s="167"/>
      <c r="DPG158" s="199"/>
      <c r="DPH158" s="200"/>
      <c r="DPI158" s="201"/>
      <c r="DPJ158" s="202"/>
      <c r="DPK158" s="202"/>
      <c r="DPL158" s="202"/>
      <c r="DPM158" s="202"/>
      <c r="DPN158" s="203"/>
      <c r="DPO158" s="204"/>
      <c r="DPP158" s="204"/>
      <c r="DPQ158" s="204"/>
      <c r="DPR158" s="205"/>
      <c r="DPS158" s="206"/>
      <c r="DPT158" s="207"/>
      <c r="DPU158" s="207"/>
      <c r="DPV158" s="208"/>
      <c r="DPW158" s="209"/>
      <c r="DPX158" s="207"/>
      <c r="DPY158" s="210"/>
      <c r="DPZ158" s="209"/>
      <c r="DQA158" s="204"/>
      <c r="DQB158" s="204"/>
      <c r="DQC158" s="204"/>
      <c r="DQD158" s="199"/>
      <c r="DQE158" s="167"/>
      <c r="DQF158" s="199"/>
      <c r="DQG158" s="200"/>
      <c r="DQH158" s="201"/>
      <c r="DQI158" s="202"/>
      <c r="DQJ158" s="202"/>
      <c r="DQK158" s="202"/>
      <c r="DQL158" s="202"/>
      <c r="DQM158" s="203"/>
      <c r="DQN158" s="204"/>
      <c r="DQO158" s="204"/>
      <c r="DQP158" s="204"/>
      <c r="DQQ158" s="205"/>
      <c r="DQR158" s="206"/>
      <c r="DQS158" s="207"/>
      <c r="DQT158" s="207"/>
      <c r="DQU158" s="208"/>
      <c r="DQV158" s="209"/>
      <c r="DQW158" s="207"/>
      <c r="DQX158" s="210"/>
      <c r="DQY158" s="209"/>
      <c r="DQZ158" s="204"/>
      <c r="DRA158" s="204"/>
      <c r="DRB158" s="204"/>
      <c r="DRC158" s="199"/>
      <c r="DRD158" s="167"/>
      <c r="DRE158" s="199"/>
      <c r="DRF158" s="200"/>
      <c r="DRG158" s="201"/>
      <c r="DRH158" s="202"/>
      <c r="DRI158" s="202"/>
      <c r="DRJ158" s="202"/>
      <c r="DRK158" s="202"/>
      <c r="DRL158" s="203"/>
      <c r="DRM158" s="204"/>
      <c r="DRN158" s="204"/>
      <c r="DRO158" s="204"/>
      <c r="DRP158" s="205"/>
      <c r="DRQ158" s="206"/>
      <c r="DRR158" s="207"/>
      <c r="DRS158" s="207"/>
      <c r="DRT158" s="208"/>
      <c r="DRU158" s="209"/>
      <c r="DRV158" s="207"/>
      <c r="DRW158" s="210"/>
      <c r="DRX158" s="209"/>
      <c r="DRY158" s="204"/>
      <c r="DRZ158" s="204"/>
      <c r="DSA158" s="204"/>
      <c r="DSB158" s="199"/>
      <c r="DSC158" s="167"/>
      <c r="DSD158" s="199"/>
      <c r="DSE158" s="200"/>
      <c r="DSF158" s="201"/>
      <c r="DSG158" s="202"/>
      <c r="DSH158" s="202"/>
      <c r="DSI158" s="202"/>
      <c r="DSJ158" s="202"/>
      <c r="DSK158" s="203"/>
      <c r="DSL158" s="204"/>
      <c r="DSM158" s="204"/>
      <c r="DSN158" s="204"/>
      <c r="DSO158" s="205"/>
      <c r="DSP158" s="206"/>
      <c r="DSQ158" s="207"/>
      <c r="DSR158" s="207"/>
      <c r="DSS158" s="208"/>
      <c r="DST158" s="209"/>
      <c r="DSU158" s="207"/>
      <c r="DSV158" s="210"/>
      <c r="DSW158" s="209"/>
      <c r="DSX158" s="204"/>
      <c r="DSY158" s="204"/>
      <c r="DSZ158" s="204"/>
      <c r="DTA158" s="199"/>
      <c r="DTB158" s="167"/>
      <c r="DTC158" s="199"/>
      <c r="DTD158" s="200"/>
      <c r="DTE158" s="201"/>
      <c r="DTF158" s="202"/>
      <c r="DTG158" s="202"/>
      <c r="DTH158" s="202"/>
      <c r="DTI158" s="202"/>
      <c r="DTJ158" s="203"/>
      <c r="DTK158" s="204"/>
      <c r="DTL158" s="204"/>
      <c r="DTM158" s="204"/>
      <c r="DTN158" s="205"/>
      <c r="DTO158" s="206"/>
      <c r="DTP158" s="207"/>
      <c r="DTQ158" s="207"/>
      <c r="DTR158" s="208"/>
      <c r="DTS158" s="209"/>
      <c r="DTT158" s="207"/>
      <c r="DTU158" s="210"/>
      <c r="DTV158" s="209"/>
      <c r="DTW158" s="204"/>
      <c r="DTX158" s="204"/>
      <c r="DTY158" s="204"/>
      <c r="DTZ158" s="199"/>
      <c r="DUA158" s="167"/>
      <c r="DUB158" s="199"/>
      <c r="DUC158" s="200"/>
      <c r="DUD158" s="201"/>
      <c r="DUE158" s="202"/>
      <c r="DUF158" s="202"/>
      <c r="DUG158" s="202"/>
      <c r="DUH158" s="202"/>
      <c r="DUI158" s="203"/>
      <c r="DUJ158" s="204"/>
      <c r="DUK158" s="204"/>
      <c r="DUL158" s="204"/>
      <c r="DUM158" s="205"/>
      <c r="DUN158" s="206"/>
      <c r="DUO158" s="207"/>
      <c r="DUP158" s="207"/>
      <c r="DUQ158" s="208"/>
      <c r="DUR158" s="209"/>
      <c r="DUS158" s="207"/>
      <c r="DUT158" s="210"/>
      <c r="DUU158" s="209"/>
      <c r="DUV158" s="204"/>
      <c r="DUW158" s="204"/>
      <c r="DUX158" s="204"/>
      <c r="DUY158" s="199"/>
      <c r="DUZ158" s="167"/>
      <c r="DVA158" s="199"/>
      <c r="DVB158" s="200"/>
      <c r="DVC158" s="201"/>
      <c r="DVD158" s="202"/>
      <c r="DVE158" s="202"/>
      <c r="DVF158" s="202"/>
      <c r="DVG158" s="202"/>
      <c r="DVH158" s="203"/>
      <c r="DVI158" s="204"/>
      <c r="DVJ158" s="204"/>
      <c r="DVK158" s="204"/>
      <c r="DVL158" s="205"/>
      <c r="DVM158" s="206"/>
      <c r="DVN158" s="207"/>
      <c r="DVO158" s="207"/>
      <c r="DVP158" s="208"/>
      <c r="DVQ158" s="209"/>
      <c r="DVR158" s="207"/>
      <c r="DVS158" s="210"/>
      <c r="DVT158" s="209"/>
      <c r="DVU158" s="204"/>
      <c r="DVV158" s="204"/>
      <c r="DVW158" s="204"/>
      <c r="DVX158" s="199"/>
      <c r="DVY158" s="167"/>
      <c r="DVZ158" s="199"/>
      <c r="DWA158" s="200"/>
      <c r="DWB158" s="201"/>
      <c r="DWC158" s="202"/>
      <c r="DWD158" s="202"/>
      <c r="DWE158" s="202"/>
      <c r="DWF158" s="202"/>
      <c r="DWG158" s="203"/>
      <c r="DWH158" s="204"/>
      <c r="DWI158" s="204"/>
      <c r="DWJ158" s="204"/>
      <c r="DWK158" s="205"/>
      <c r="DWL158" s="206"/>
      <c r="DWM158" s="207"/>
      <c r="DWN158" s="207"/>
      <c r="DWO158" s="208"/>
      <c r="DWP158" s="209"/>
      <c r="DWQ158" s="207"/>
      <c r="DWR158" s="210"/>
      <c r="DWS158" s="209"/>
      <c r="DWT158" s="204"/>
      <c r="DWU158" s="204"/>
      <c r="DWV158" s="204"/>
      <c r="DWW158" s="199"/>
      <c r="DWX158" s="167"/>
      <c r="DWY158" s="199"/>
      <c r="DWZ158" s="200"/>
      <c r="DXA158" s="201"/>
      <c r="DXB158" s="202"/>
      <c r="DXC158" s="202"/>
      <c r="DXD158" s="202"/>
      <c r="DXE158" s="202"/>
      <c r="DXF158" s="203"/>
      <c r="DXG158" s="204"/>
      <c r="DXH158" s="204"/>
      <c r="DXI158" s="204"/>
      <c r="DXJ158" s="205"/>
      <c r="DXK158" s="206"/>
      <c r="DXL158" s="207"/>
      <c r="DXM158" s="207"/>
      <c r="DXN158" s="208"/>
      <c r="DXO158" s="209"/>
      <c r="DXP158" s="207"/>
      <c r="DXQ158" s="210"/>
      <c r="DXR158" s="209"/>
      <c r="DXS158" s="204"/>
      <c r="DXT158" s="204"/>
      <c r="DXU158" s="204"/>
      <c r="DXV158" s="199"/>
      <c r="DXW158" s="167"/>
      <c r="DXX158" s="199"/>
      <c r="DXY158" s="200"/>
      <c r="DXZ158" s="201"/>
      <c r="DYA158" s="202"/>
      <c r="DYB158" s="202"/>
      <c r="DYC158" s="202"/>
      <c r="DYD158" s="202"/>
      <c r="DYE158" s="203"/>
      <c r="DYF158" s="204"/>
      <c r="DYG158" s="204"/>
      <c r="DYH158" s="204"/>
      <c r="DYI158" s="205"/>
      <c r="DYJ158" s="206"/>
      <c r="DYK158" s="207"/>
      <c r="DYL158" s="207"/>
      <c r="DYM158" s="208"/>
      <c r="DYN158" s="209"/>
      <c r="DYO158" s="207"/>
      <c r="DYP158" s="210"/>
      <c r="DYQ158" s="209"/>
      <c r="DYR158" s="204"/>
      <c r="DYS158" s="204"/>
      <c r="DYT158" s="204"/>
      <c r="DYU158" s="199"/>
      <c r="DYV158" s="167"/>
      <c r="DYW158" s="199"/>
      <c r="DYX158" s="200"/>
      <c r="DYY158" s="201"/>
      <c r="DYZ158" s="202"/>
      <c r="DZA158" s="202"/>
      <c r="DZB158" s="202"/>
      <c r="DZC158" s="202"/>
      <c r="DZD158" s="203"/>
      <c r="DZE158" s="204"/>
      <c r="DZF158" s="204"/>
      <c r="DZG158" s="204"/>
      <c r="DZH158" s="205"/>
      <c r="DZI158" s="206"/>
      <c r="DZJ158" s="207"/>
      <c r="DZK158" s="207"/>
      <c r="DZL158" s="208"/>
      <c r="DZM158" s="209"/>
      <c r="DZN158" s="207"/>
      <c r="DZO158" s="210"/>
      <c r="DZP158" s="209"/>
      <c r="DZQ158" s="204"/>
      <c r="DZR158" s="204"/>
      <c r="DZS158" s="204"/>
      <c r="DZT158" s="199"/>
      <c r="DZU158" s="167"/>
      <c r="DZV158" s="199"/>
      <c r="DZW158" s="200"/>
      <c r="DZX158" s="201"/>
      <c r="DZY158" s="202"/>
      <c r="DZZ158" s="202"/>
      <c r="EAA158" s="202"/>
      <c r="EAB158" s="202"/>
      <c r="EAC158" s="203"/>
      <c r="EAD158" s="204"/>
      <c r="EAE158" s="204"/>
      <c r="EAF158" s="204"/>
      <c r="EAG158" s="205"/>
      <c r="EAH158" s="206"/>
      <c r="EAI158" s="207"/>
      <c r="EAJ158" s="207"/>
      <c r="EAK158" s="208"/>
      <c r="EAL158" s="209"/>
      <c r="EAM158" s="207"/>
      <c r="EAN158" s="210"/>
      <c r="EAO158" s="209"/>
      <c r="EAP158" s="204"/>
      <c r="EAQ158" s="204"/>
      <c r="EAR158" s="204"/>
      <c r="EAS158" s="199"/>
      <c r="EAT158" s="167"/>
      <c r="EAU158" s="199"/>
      <c r="EAV158" s="200"/>
      <c r="EAW158" s="201"/>
      <c r="EAX158" s="202"/>
      <c r="EAY158" s="202"/>
      <c r="EAZ158" s="202"/>
      <c r="EBA158" s="202"/>
      <c r="EBB158" s="203"/>
      <c r="EBC158" s="204"/>
      <c r="EBD158" s="204"/>
      <c r="EBE158" s="204"/>
      <c r="EBF158" s="205"/>
      <c r="EBG158" s="206"/>
      <c r="EBH158" s="207"/>
      <c r="EBI158" s="207"/>
      <c r="EBJ158" s="208"/>
      <c r="EBK158" s="209"/>
      <c r="EBL158" s="207"/>
      <c r="EBM158" s="210"/>
      <c r="EBN158" s="209"/>
      <c r="EBO158" s="204"/>
      <c r="EBP158" s="204"/>
      <c r="EBQ158" s="204"/>
      <c r="EBR158" s="199"/>
      <c r="EBS158" s="167"/>
      <c r="EBT158" s="199"/>
      <c r="EBU158" s="200"/>
      <c r="EBV158" s="201"/>
      <c r="EBW158" s="202"/>
      <c r="EBX158" s="202"/>
      <c r="EBY158" s="202"/>
      <c r="EBZ158" s="202"/>
      <c r="ECA158" s="203"/>
      <c r="ECB158" s="204"/>
      <c r="ECC158" s="204"/>
      <c r="ECD158" s="204"/>
      <c r="ECE158" s="205"/>
      <c r="ECF158" s="206"/>
      <c r="ECG158" s="207"/>
      <c r="ECH158" s="207"/>
      <c r="ECI158" s="208"/>
      <c r="ECJ158" s="209"/>
      <c r="ECK158" s="207"/>
      <c r="ECL158" s="210"/>
      <c r="ECM158" s="209"/>
      <c r="ECN158" s="204"/>
      <c r="ECO158" s="204"/>
      <c r="ECP158" s="204"/>
      <c r="ECQ158" s="199"/>
      <c r="ECR158" s="167"/>
      <c r="ECS158" s="199"/>
      <c r="ECT158" s="200"/>
      <c r="ECU158" s="201"/>
      <c r="ECV158" s="202"/>
      <c r="ECW158" s="202"/>
      <c r="ECX158" s="202"/>
      <c r="ECY158" s="202"/>
      <c r="ECZ158" s="203"/>
      <c r="EDA158" s="204"/>
      <c r="EDB158" s="204"/>
      <c r="EDC158" s="204"/>
      <c r="EDD158" s="205"/>
      <c r="EDE158" s="206"/>
      <c r="EDF158" s="207"/>
      <c r="EDG158" s="207"/>
      <c r="EDH158" s="208"/>
      <c r="EDI158" s="209"/>
      <c r="EDJ158" s="207"/>
      <c r="EDK158" s="210"/>
      <c r="EDL158" s="209"/>
      <c r="EDM158" s="204"/>
      <c r="EDN158" s="204"/>
      <c r="EDO158" s="204"/>
      <c r="EDP158" s="199"/>
      <c r="EDQ158" s="167"/>
      <c r="EDR158" s="199"/>
      <c r="EDS158" s="200"/>
      <c r="EDT158" s="201"/>
      <c r="EDU158" s="202"/>
      <c r="EDV158" s="202"/>
      <c r="EDW158" s="202"/>
      <c r="EDX158" s="202"/>
      <c r="EDY158" s="203"/>
      <c r="EDZ158" s="204"/>
      <c r="EEA158" s="204"/>
      <c r="EEB158" s="204"/>
      <c r="EEC158" s="205"/>
      <c r="EED158" s="206"/>
      <c r="EEE158" s="207"/>
      <c r="EEF158" s="207"/>
      <c r="EEG158" s="208"/>
      <c r="EEH158" s="209"/>
      <c r="EEI158" s="207"/>
      <c r="EEJ158" s="210"/>
      <c r="EEK158" s="209"/>
      <c r="EEL158" s="204"/>
      <c r="EEM158" s="204"/>
      <c r="EEN158" s="204"/>
      <c r="EEO158" s="199"/>
      <c r="EEP158" s="167"/>
      <c r="EEQ158" s="199"/>
      <c r="EER158" s="200"/>
      <c r="EES158" s="201"/>
      <c r="EET158" s="202"/>
      <c r="EEU158" s="202"/>
      <c r="EEV158" s="202"/>
      <c r="EEW158" s="202"/>
      <c r="EEX158" s="203"/>
      <c r="EEY158" s="204"/>
      <c r="EEZ158" s="204"/>
      <c r="EFA158" s="204"/>
      <c r="EFB158" s="205"/>
      <c r="EFC158" s="206"/>
      <c r="EFD158" s="207"/>
      <c r="EFE158" s="207"/>
      <c r="EFF158" s="208"/>
      <c r="EFG158" s="209"/>
      <c r="EFH158" s="207"/>
      <c r="EFI158" s="210"/>
      <c r="EFJ158" s="209"/>
      <c r="EFK158" s="204"/>
      <c r="EFL158" s="204"/>
      <c r="EFM158" s="204"/>
      <c r="EFN158" s="199"/>
      <c r="EFO158" s="167"/>
      <c r="EFP158" s="199"/>
      <c r="EFQ158" s="200"/>
      <c r="EFR158" s="201"/>
      <c r="EFS158" s="202"/>
      <c r="EFT158" s="202"/>
      <c r="EFU158" s="202"/>
      <c r="EFV158" s="202"/>
      <c r="EFW158" s="203"/>
      <c r="EFX158" s="204"/>
      <c r="EFY158" s="204"/>
      <c r="EFZ158" s="204"/>
      <c r="EGA158" s="205"/>
      <c r="EGB158" s="206"/>
      <c r="EGC158" s="207"/>
      <c r="EGD158" s="207"/>
      <c r="EGE158" s="208"/>
      <c r="EGF158" s="209"/>
      <c r="EGG158" s="207"/>
      <c r="EGH158" s="210"/>
      <c r="EGI158" s="209"/>
      <c r="EGJ158" s="204"/>
      <c r="EGK158" s="204"/>
      <c r="EGL158" s="204"/>
      <c r="EGM158" s="199"/>
      <c r="EGN158" s="167"/>
      <c r="EGO158" s="199"/>
      <c r="EGP158" s="200"/>
      <c r="EGQ158" s="201"/>
      <c r="EGR158" s="202"/>
      <c r="EGS158" s="202"/>
      <c r="EGT158" s="202"/>
      <c r="EGU158" s="202"/>
      <c r="EGV158" s="203"/>
      <c r="EGW158" s="204"/>
      <c r="EGX158" s="204"/>
      <c r="EGY158" s="204"/>
      <c r="EGZ158" s="205"/>
      <c r="EHA158" s="206"/>
      <c r="EHB158" s="207"/>
      <c r="EHC158" s="207"/>
      <c r="EHD158" s="208"/>
      <c r="EHE158" s="209"/>
      <c r="EHF158" s="207"/>
      <c r="EHG158" s="210"/>
      <c r="EHH158" s="209"/>
      <c r="EHI158" s="204"/>
      <c r="EHJ158" s="204"/>
      <c r="EHK158" s="204"/>
      <c r="EHL158" s="199"/>
      <c r="EHM158" s="167"/>
      <c r="EHN158" s="199"/>
      <c r="EHO158" s="200"/>
      <c r="EHP158" s="201"/>
      <c r="EHQ158" s="202"/>
      <c r="EHR158" s="202"/>
      <c r="EHS158" s="202"/>
      <c r="EHT158" s="202"/>
      <c r="EHU158" s="203"/>
      <c r="EHV158" s="204"/>
      <c r="EHW158" s="204"/>
      <c r="EHX158" s="204"/>
      <c r="EHY158" s="205"/>
      <c r="EHZ158" s="206"/>
      <c r="EIA158" s="207"/>
      <c r="EIB158" s="207"/>
      <c r="EIC158" s="208"/>
      <c r="EID158" s="209"/>
      <c r="EIE158" s="207"/>
      <c r="EIF158" s="210"/>
      <c r="EIG158" s="209"/>
      <c r="EIH158" s="204"/>
      <c r="EII158" s="204"/>
      <c r="EIJ158" s="204"/>
      <c r="EIK158" s="199"/>
      <c r="EIL158" s="167"/>
      <c r="EIM158" s="199"/>
      <c r="EIN158" s="200"/>
      <c r="EIO158" s="201"/>
      <c r="EIP158" s="202"/>
      <c r="EIQ158" s="202"/>
      <c r="EIR158" s="202"/>
      <c r="EIS158" s="202"/>
      <c r="EIT158" s="203"/>
      <c r="EIU158" s="204"/>
      <c r="EIV158" s="204"/>
      <c r="EIW158" s="204"/>
      <c r="EIX158" s="205"/>
      <c r="EIY158" s="206"/>
      <c r="EIZ158" s="207"/>
      <c r="EJA158" s="207"/>
      <c r="EJB158" s="208"/>
      <c r="EJC158" s="209"/>
      <c r="EJD158" s="207"/>
      <c r="EJE158" s="210"/>
      <c r="EJF158" s="209"/>
      <c r="EJG158" s="204"/>
      <c r="EJH158" s="204"/>
      <c r="EJI158" s="204"/>
      <c r="EJJ158" s="199"/>
      <c r="EJK158" s="167"/>
      <c r="EJL158" s="199"/>
      <c r="EJM158" s="200"/>
      <c r="EJN158" s="201"/>
      <c r="EJO158" s="202"/>
      <c r="EJP158" s="202"/>
      <c r="EJQ158" s="202"/>
      <c r="EJR158" s="202"/>
      <c r="EJS158" s="203"/>
      <c r="EJT158" s="204"/>
      <c r="EJU158" s="204"/>
      <c r="EJV158" s="204"/>
      <c r="EJW158" s="205"/>
      <c r="EJX158" s="206"/>
      <c r="EJY158" s="207"/>
      <c r="EJZ158" s="207"/>
      <c r="EKA158" s="208"/>
      <c r="EKB158" s="209"/>
      <c r="EKC158" s="207"/>
      <c r="EKD158" s="210"/>
      <c r="EKE158" s="209"/>
      <c r="EKF158" s="204"/>
      <c r="EKG158" s="204"/>
      <c r="EKH158" s="204"/>
      <c r="EKI158" s="199"/>
      <c r="EKJ158" s="167"/>
      <c r="EKK158" s="199"/>
      <c r="EKL158" s="200"/>
      <c r="EKM158" s="201"/>
      <c r="EKN158" s="202"/>
      <c r="EKO158" s="202"/>
      <c r="EKP158" s="202"/>
      <c r="EKQ158" s="202"/>
      <c r="EKR158" s="203"/>
      <c r="EKS158" s="204"/>
      <c r="EKT158" s="204"/>
      <c r="EKU158" s="204"/>
      <c r="EKV158" s="205"/>
      <c r="EKW158" s="206"/>
      <c r="EKX158" s="207"/>
      <c r="EKY158" s="207"/>
      <c r="EKZ158" s="208"/>
      <c r="ELA158" s="209"/>
      <c r="ELB158" s="207"/>
      <c r="ELC158" s="210"/>
      <c r="ELD158" s="209"/>
      <c r="ELE158" s="204"/>
      <c r="ELF158" s="204"/>
      <c r="ELG158" s="204"/>
      <c r="ELH158" s="199"/>
      <c r="ELI158" s="167"/>
      <c r="ELJ158" s="199"/>
      <c r="ELK158" s="200"/>
      <c r="ELL158" s="201"/>
      <c r="ELM158" s="202"/>
      <c r="ELN158" s="202"/>
      <c r="ELO158" s="202"/>
      <c r="ELP158" s="202"/>
      <c r="ELQ158" s="203"/>
      <c r="ELR158" s="204"/>
      <c r="ELS158" s="204"/>
      <c r="ELT158" s="204"/>
      <c r="ELU158" s="205"/>
      <c r="ELV158" s="206"/>
      <c r="ELW158" s="207"/>
      <c r="ELX158" s="207"/>
      <c r="ELY158" s="208"/>
      <c r="ELZ158" s="209"/>
      <c r="EMA158" s="207"/>
      <c r="EMB158" s="210"/>
      <c r="EMC158" s="209"/>
      <c r="EMD158" s="204"/>
      <c r="EME158" s="204"/>
      <c r="EMF158" s="204"/>
      <c r="EMG158" s="199"/>
      <c r="EMH158" s="167"/>
      <c r="EMI158" s="199"/>
      <c r="EMJ158" s="200"/>
      <c r="EMK158" s="201"/>
      <c r="EML158" s="202"/>
      <c r="EMM158" s="202"/>
      <c r="EMN158" s="202"/>
      <c r="EMO158" s="202"/>
      <c r="EMP158" s="203"/>
      <c r="EMQ158" s="204"/>
      <c r="EMR158" s="204"/>
      <c r="EMS158" s="204"/>
      <c r="EMT158" s="205"/>
      <c r="EMU158" s="206"/>
      <c r="EMV158" s="207"/>
      <c r="EMW158" s="207"/>
      <c r="EMX158" s="208"/>
      <c r="EMY158" s="209"/>
      <c r="EMZ158" s="207"/>
      <c r="ENA158" s="210"/>
      <c r="ENB158" s="209"/>
      <c r="ENC158" s="204"/>
      <c r="END158" s="204"/>
      <c r="ENE158" s="204"/>
      <c r="ENF158" s="199"/>
      <c r="ENG158" s="167"/>
      <c r="ENH158" s="199"/>
      <c r="ENI158" s="200"/>
      <c r="ENJ158" s="201"/>
      <c r="ENK158" s="202"/>
      <c r="ENL158" s="202"/>
      <c r="ENM158" s="202"/>
      <c r="ENN158" s="202"/>
      <c r="ENO158" s="203"/>
      <c r="ENP158" s="204"/>
      <c r="ENQ158" s="204"/>
      <c r="ENR158" s="204"/>
      <c r="ENS158" s="205"/>
      <c r="ENT158" s="206"/>
      <c r="ENU158" s="207"/>
      <c r="ENV158" s="207"/>
      <c r="ENW158" s="208"/>
      <c r="ENX158" s="209"/>
      <c r="ENY158" s="207"/>
      <c r="ENZ158" s="210"/>
      <c r="EOA158" s="209"/>
      <c r="EOB158" s="204"/>
      <c r="EOC158" s="204"/>
      <c r="EOD158" s="204"/>
      <c r="EOE158" s="199"/>
      <c r="EOF158" s="167"/>
      <c r="EOG158" s="199"/>
      <c r="EOH158" s="200"/>
      <c r="EOI158" s="201"/>
      <c r="EOJ158" s="202"/>
      <c r="EOK158" s="202"/>
      <c r="EOL158" s="202"/>
      <c r="EOM158" s="202"/>
      <c r="EON158" s="203"/>
      <c r="EOO158" s="204"/>
      <c r="EOP158" s="204"/>
      <c r="EOQ158" s="204"/>
      <c r="EOR158" s="205"/>
      <c r="EOS158" s="206"/>
      <c r="EOT158" s="207"/>
      <c r="EOU158" s="207"/>
      <c r="EOV158" s="208"/>
      <c r="EOW158" s="209"/>
      <c r="EOX158" s="207"/>
      <c r="EOY158" s="210"/>
      <c r="EOZ158" s="209"/>
      <c r="EPA158" s="204"/>
      <c r="EPB158" s="204"/>
      <c r="EPC158" s="204"/>
      <c r="EPD158" s="199"/>
      <c r="EPE158" s="167"/>
      <c r="EPF158" s="199"/>
      <c r="EPG158" s="200"/>
      <c r="EPH158" s="201"/>
      <c r="EPI158" s="202"/>
      <c r="EPJ158" s="202"/>
      <c r="EPK158" s="202"/>
      <c r="EPL158" s="202"/>
      <c r="EPM158" s="203"/>
      <c r="EPN158" s="204"/>
      <c r="EPO158" s="204"/>
      <c r="EPP158" s="204"/>
      <c r="EPQ158" s="205"/>
      <c r="EPR158" s="206"/>
      <c r="EPS158" s="207"/>
      <c r="EPT158" s="207"/>
      <c r="EPU158" s="208"/>
      <c r="EPV158" s="209"/>
      <c r="EPW158" s="207"/>
      <c r="EPX158" s="210"/>
      <c r="EPY158" s="209"/>
      <c r="EPZ158" s="204"/>
      <c r="EQA158" s="204"/>
      <c r="EQB158" s="204"/>
      <c r="EQC158" s="199"/>
      <c r="EQD158" s="167"/>
      <c r="EQE158" s="199"/>
      <c r="EQF158" s="200"/>
      <c r="EQG158" s="201"/>
      <c r="EQH158" s="202"/>
      <c r="EQI158" s="202"/>
      <c r="EQJ158" s="202"/>
      <c r="EQK158" s="202"/>
      <c r="EQL158" s="203"/>
      <c r="EQM158" s="204"/>
      <c r="EQN158" s="204"/>
      <c r="EQO158" s="204"/>
      <c r="EQP158" s="205"/>
      <c r="EQQ158" s="206"/>
      <c r="EQR158" s="207"/>
      <c r="EQS158" s="207"/>
      <c r="EQT158" s="208"/>
      <c r="EQU158" s="209"/>
      <c r="EQV158" s="207"/>
      <c r="EQW158" s="210"/>
      <c r="EQX158" s="209"/>
      <c r="EQY158" s="204"/>
      <c r="EQZ158" s="204"/>
      <c r="ERA158" s="204"/>
      <c r="ERB158" s="199"/>
      <c r="ERC158" s="167"/>
      <c r="ERD158" s="199"/>
      <c r="ERE158" s="200"/>
      <c r="ERF158" s="201"/>
      <c r="ERG158" s="202"/>
      <c r="ERH158" s="202"/>
      <c r="ERI158" s="202"/>
      <c r="ERJ158" s="202"/>
      <c r="ERK158" s="203"/>
      <c r="ERL158" s="204"/>
      <c r="ERM158" s="204"/>
      <c r="ERN158" s="204"/>
      <c r="ERO158" s="205"/>
      <c r="ERP158" s="206"/>
      <c r="ERQ158" s="207"/>
      <c r="ERR158" s="207"/>
      <c r="ERS158" s="208"/>
      <c r="ERT158" s="209"/>
      <c r="ERU158" s="207"/>
      <c r="ERV158" s="210"/>
      <c r="ERW158" s="209"/>
      <c r="ERX158" s="204"/>
      <c r="ERY158" s="204"/>
      <c r="ERZ158" s="204"/>
      <c r="ESA158" s="199"/>
      <c r="ESB158" s="167"/>
      <c r="ESC158" s="199"/>
      <c r="ESD158" s="200"/>
      <c r="ESE158" s="201"/>
      <c r="ESF158" s="202"/>
      <c r="ESG158" s="202"/>
      <c r="ESH158" s="202"/>
      <c r="ESI158" s="202"/>
      <c r="ESJ158" s="203"/>
      <c r="ESK158" s="204"/>
      <c r="ESL158" s="204"/>
      <c r="ESM158" s="204"/>
      <c r="ESN158" s="205"/>
      <c r="ESO158" s="206"/>
      <c r="ESP158" s="207"/>
      <c r="ESQ158" s="207"/>
      <c r="ESR158" s="208"/>
      <c r="ESS158" s="209"/>
      <c r="EST158" s="207"/>
      <c r="ESU158" s="210"/>
      <c r="ESV158" s="209"/>
      <c r="ESW158" s="204"/>
      <c r="ESX158" s="204"/>
      <c r="ESY158" s="204"/>
      <c r="ESZ158" s="199"/>
      <c r="ETA158" s="167"/>
      <c r="ETB158" s="199"/>
      <c r="ETC158" s="200"/>
      <c r="ETD158" s="201"/>
      <c r="ETE158" s="202"/>
      <c r="ETF158" s="202"/>
      <c r="ETG158" s="202"/>
      <c r="ETH158" s="202"/>
      <c r="ETI158" s="203"/>
      <c r="ETJ158" s="204"/>
      <c r="ETK158" s="204"/>
      <c r="ETL158" s="204"/>
      <c r="ETM158" s="205"/>
      <c r="ETN158" s="206"/>
      <c r="ETO158" s="207"/>
      <c r="ETP158" s="207"/>
      <c r="ETQ158" s="208"/>
      <c r="ETR158" s="209"/>
      <c r="ETS158" s="207"/>
      <c r="ETT158" s="210"/>
      <c r="ETU158" s="209"/>
      <c r="ETV158" s="204"/>
      <c r="ETW158" s="204"/>
      <c r="ETX158" s="204"/>
      <c r="ETY158" s="199"/>
      <c r="ETZ158" s="167"/>
      <c r="EUA158" s="199"/>
      <c r="EUB158" s="200"/>
      <c r="EUC158" s="201"/>
      <c r="EUD158" s="202"/>
      <c r="EUE158" s="202"/>
      <c r="EUF158" s="202"/>
      <c r="EUG158" s="202"/>
      <c r="EUH158" s="203"/>
      <c r="EUI158" s="204"/>
      <c r="EUJ158" s="204"/>
      <c r="EUK158" s="204"/>
      <c r="EUL158" s="205"/>
      <c r="EUM158" s="206"/>
      <c r="EUN158" s="207"/>
      <c r="EUO158" s="207"/>
      <c r="EUP158" s="208"/>
      <c r="EUQ158" s="209"/>
      <c r="EUR158" s="207"/>
      <c r="EUS158" s="210"/>
      <c r="EUT158" s="209"/>
      <c r="EUU158" s="204"/>
      <c r="EUV158" s="204"/>
      <c r="EUW158" s="204"/>
      <c r="EUX158" s="199"/>
      <c r="EUY158" s="167"/>
      <c r="EUZ158" s="199"/>
      <c r="EVA158" s="200"/>
      <c r="EVB158" s="201"/>
      <c r="EVC158" s="202"/>
      <c r="EVD158" s="202"/>
      <c r="EVE158" s="202"/>
      <c r="EVF158" s="202"/>
      <c r="EVG158" s="203"/>
      <c r="EVH158" s="204"/>
      <c r="EVI158" s="204"/>
      <c r="EVJ158" s="204"/>
      <c r="EVK158" s="205"/>
      <c r="EVL158" s="206"/>
      <c r="EVM158" s="207"/>
      <c r="EVN158" s="207"/>
      <c r="EVO158" s="208"/>
      <c r="EVP158" s="209"/>
      <c r="EVQ158" s="207"/>
      <c r="EVR158" s="210"/>
      <c r="EVS158" s="209"/>
      <c r="EVT158" s="204"/>
      <c r="EVU158" s="204"/>
      <c r="EVV158" s="204"/>
      <c r="EVW158" s="199"/>
      <c r="EVX158" s="167"/>
      <c r="EVY158" s="199"/>
      <c r="EVZ158" s="200"/>
      <c r="EWA158" s="201"/>
      <c r="EWB158" s="202"/>
      <c r="EWC158" s="202"/>
      <c r="EWD158" s="202"/>
      <c r="EWE158" s="202"/>
      <c r="EWF158" s="203"/>
      <c r="EWG158" s="204"/>
      <c r="EWH158" s="204"/>
      <c r="EWI158" s="204"/>
      <c r="EWJ158" s="205"/>
      <c r="EWK158" s="206"/>
      <c r="EWL158" s="207"/>
      <c r="EWM158" s="207"/>
      <c r="EWN158" s="208"/>
      <c r="EWO158" s="209"/>
      <c r="EWP158" s="207"/>
      <c r="EWQ158" s="210"/>
      <c r="EWR158" s="209"/>
      <c r="EWS158" s="204"/>
      <c r="EWT158" s="204"/>
      <c r="EWU158" s="204"/>
      <c r="EWV158" s="199"/>
      <c r="EWW158" s="167"/>
      <c r="EWX158" s="199"/>
      <c r="EWY158" s="200"/>
      <c r="EWZ158" s="201"/>
      <c r="EXA158" s="202"/>
      <c r="EXB158" s="202"/>
      <c r="EXC158" s="202"/>
      <c r="EXD158" s="202"/>
      <c r="EXE158" s="203"/>
      <c r="EXF158" s="204"/>
      <c r="EXG158" s="204"/>
      <c r="EXH158" s="204"/>
      <c r="EXI158" s="205"/>
      <c r="EXJ158" s="206"/>
      <c r="EXK158" s="207"/>
      <c r="EXL158" s="207"/>
      <c r="EXM158" s="208"/>
      <c r="EXN158" s="209"/>
      <c r="EXO158" s="207"/>
      <c r="EXP158" s="210"/>
      <c r="EXQ158" s="209"/>
      <c r="EXR158" s="204"/>
      <c r="EXS158" s="204"/>
      <c r="EXT158" s="204"/>
      <c r="EXU158" s="199"/>
      <c r="EXV158" s="167"/>
      <c r="EXW158" s="199"/>
      <c r="EXX158" s="200"/>
      <c r="EXY158" s="201"/>
      <c r="EXZ158" s="202"/>
      <c r="EYA158" s="202"/>
      <c r="EYB158" s="202"/>
      <c r="EYC158" s="202"/>
      <c r="EYD158" s="203"/>
      <c r="EYE158" s="204"/>
      <c r="EYF158" s="204"/>
      <c r="EYG158" s="204"/>
      <c r="EYH158" s="205"/>
      <c r="EYI158" s="206"/>
      <c r="EYJ158" s="207"/>
      <c r="EYK158" s="207"/>
      <c r="EYL158" s="208"/>
      <c r="EYM158" s="209"/>
      <c r="EYN158" s="207"/>
      <c r="EYO158" s="210"/>
      <c r="EYP158" s="209"/>
      <c r="EYQ158" s="204"/>
      <c r="EYR158" s="204"/>
      <c r="EYS158" s="204"/>
      <c r="EYT158" s="199"/>
      <c r="EYU158" s="167"/>
      <c r="EYV158" s="199"/>
      <c r="EYW158" s="200"/>
      <c r="EYX158" s="201"/>
      <c r="EYY158" s="202"/>
      <c r="EYZ158" s="202"/>
      <c r="EZA158" s="202"/>
      <c r="EZB158" s="202"/>
      <c r="EZC158" s="203"/>
      <c r="EZD158" s="204"/>
      <c r="EZE158" s="204"/>
      <c r="EZF158" s="204"/>
      <c r="EZG158" s="205"/>
      <c r="EZH158" s="206"/>
      <c r="EZI158" s="207"/>
      <c r="EZJ158" s="207"/>
      <c r="EZK158" s="208"/>
      <c r="EZL158" s="209"/>
      <c r="EZM158" s="207"/>
      <c r="EZN158" s="210"/>
      <c r="EZO158" s="209"/>
      <c r="EZP158" s="204"/>
      <c r="EZQ158" s="204"/>
      <c r="EZR158" s="204"/>
      <c r="EZS158" s="199"/>
      <c r="EZT158" s="167"/>
      <c r="EZU158" s="199"/>
      <c r="EZV158" s="200"/>
      <c r="EZW158" s="201"/>
      <c r="EZX158" s="202"/>
      <c r="EZY158" s="202"/>
      <c r="EZZ158" s="202"/>
      <c r="FAA158" s="202"/>
      <c r="FAB158" s="203"/>
      <c r="FAC158" s="204"/>
      <c r="FAD158" s="204"/>
      <c r="FAE158" s="204"/>
      <c r="FAF158" s="205"/>
      <c r="FAG158" s="206"/>
      <c r="FAH158" s="207"/>
      <c r="FAI158" s="207"/>
      <c r="FAJ158" s="208"/>
      <c r="FAK158" s="209"/>
      <c r="FAL158" s="207"/>
      <c r="FAM158" s="210"/>
      <c r="FAN158" s="209"/>
      <c r="FAO158" s="204"/>
      <c r="FAP158" s="204"/>
      <c r="FAQ158" s="204"/>
      <c r="FAR158" s="199"/>
      <c r="FAS158" s="167"/>
      <c r="FAT158" s="199"/>
      <c r="FAU158" s="200"/>
      <c r="FAV158" s="201"/>
      <c r="FAW158" s="202"/>
      <c r="FAX158" s="202"/>
      <c r="FAY158" s="202"/>
      <c r="FAZ158" s="202"/>
      <c r="FBA158" s="203"/>
      <c r="FBB158" s="204"/>
      <c r="FBC158" s="204"/>
      <c r="FBD158" s="204"/>
      <c r="FBE158" s="205"/>
      <c r="FBF158" s="206"/>
      <c r="FBG158" s="207"/>
      <c r="FBH158" s="207"/>
      <c r="FBI158" s="208"/>
      <c r="FBJ158" s="209"/>
      <c r="FBK158" s="207"/>
      <c r="FBL158" s="210"/>
      <c r="FBM158" s="209"/>
      <c r="FBN158" s="204"/>
      <c r="FBO158" s="204"/>
      <c r="FBP158" s="204"/>
      <c r="FBQ158" s="199"/>
      <c r="FBR158" s="167"/>
      <c r="FBS158" s="199"/>
      <c r="FBT158" s="200"/>
      <c r="FBU158" s="201"/>
      <c r="FBV158" s="202"/>
      <c r="FBW158" s="202"/>
      <c r="FBX158" s="202"/>
      <c r="FBY158" s="202"/>
      <c r="FBZ158" s="203"/>
      <c r="FCA158" s="204"/>
      <c r="FCB158" s="204"/>
      <c r="FCC158" s="204"/>
      <c r="FCD158" s="205"/>
      <c r="FCE158" s="206"/>
      <c r="FCF158" s="207"/>
      <c r="FCG158" s="207"/>
      <c r="FCH158" s="208"/>
      <c r="FCI158" s="209"/>
      <c r="FCJ158" s="207"/>
      <c r="FCK158" s="210"/>
      <c r="FCL158" s="209"/>
      <c r="FCM158" s="204"/>
      <c r="FCN158" s="204"/>
      <c r="FCO158" s="204"/>
      <c r="FCP158" s="199"/>
      <c r="FCQ158" s="167"/>
      <c r="FCR158" s="199"/>
      <c r="FCS158" s="200"/>
      <c r="FCT158" s="201"/>
      <c r="FCU158" s="202"/>
      <c r="FCV158" s="202"/>
      <c r="FCW158" s="202"/>
      <c r="FCX158" s="202"/>
      <c r="FCY158" s="203"/>
      <c r="FCZ158" s="204"/>
      <c r="FDA158" s="204"/>
      <c r="FDB158" s="204"/>
      <c r="FDC158" s="205"/>
      <c r="FDD158" s="206"/>
      <c r="FDE158" s="207"/>
      <c r="FDF158" s="207"/>
      <c r="FDG158" s="208"/>
      <c r="FDH158" s="209"/>
      <c r="FDI158" s="207"/>
      <c r="FDJ158" s="210"/>
      <c r="FDK158" s="209"/>
      <c r="FDL158" s="204"/>
      <c r="FDM158" s="204"/>
      <c r="FDN158" s="204"/>
      <c r="FDO158" s="199"/>
      <c r="FDP158" s="167"/>
      <c r="FDQ158" s="199"/>
      <c r="FDR158" s="200"/>
      <c r="FDS158" s="201"/>
      <c r="FDT158" s="202"/>
      <c r="FDU158" s="202"/>
      <c r="FDV158" s="202"/>
      <c r="FDW158" s="202"/>
      <c r="FDX158" s="203"/>
      <c r="FDY158" s="204"/>
      <c r="FDZ158" s="204"/>
      <c r="FEA158" s="204"/>
      <c r="FEB158" s="205"/>
      <c r="FEC158" s="206"/>
      <c r="FED158" s="207"/>
      <c r="FEE158" s="207"/>
      <c r="FEF158" s="208"/>
      <c r="FEG158" s="209"/>
      <c r="FEH158" s="207"/>
      <c r="FEI158" s="210"/>
      <c r="FEJ158" s="209"/>
      <c r="FEK158" s="204"/>
      <c r="FEL158" s="204"/>
      <c r="FEM158" s="204"/>
      <c r="FEN158" s="199"/>
      <c r="FEO158" s="167"/>
      <c r="FEP158" s="199"/>
      <c r="FEQ158" s="200"/>
      <c r="FER158" s="201"/>
      <c r="FES158" s="202"/>
      <c r="FET158" s="202"/>
      <c r="FEU158" s="202"/>
      <c r="FEV158" s="202"/>
      <c r="FEW158" s="203"/>
      <c r="FEX158" s="204"/>
      <c r="FEY158" s="204"/>
      <c r="FEZ158" s="204"/>
      <c r="FFA158" s="205"/>
      <c r="FFB158" s="206"/>
      <c r="FFC158" s="207"/>
      <c r="FFD158" s="207"/>
      <c r="FFE158" s="208"/>
      <c r="FFF158" s="209"/>
      <c r="FFG158" s="207"/>
      <c r="FFH158" s="210"/>
      <c r="FFI158" s="209"/>
      <c r="FFJ158" s="204"/>
      <c r="FFK158" s="204"/>
      <c r="FFL158" s="204"/>
      <c r="FFM158" s="199"/>
      <c r="FFN158" s="167"/>
      <c r="FFO158" s="199"/>
      <c r="FFP158" s="200"/>
      <c r="FFQ158" s="201"/>
      <c r="FFR158" s="202"/>
      <c r="FFS158" s="202"/>
      <c r="FFT158" s="202"/>
      <c r="FFU158" s="202"/>
      <c r="FFV158" s="203"/>
      <c r="FFW158" s="204"/>
      <c r="FFX158" s="204"/>
      <c r="FFY158" s="204"/>
      <c r="FFZ158" s="205"/>
      <c r="FGA158" s="206"/>
      <c r="FGB158" s="207"/>
      <c r="FGC158" s="207"/>
      <c r="FGD158" s="208"/>
      <c r="FGE158" s="209"/>
      <c r="FGF158" s="207"/>
      <c r="FGG158" s="210"/>
      <c r="FGH158" s="209"/>
      <c r="FGI158" s="204"/>
      <c r="FGJ158" s="204"/>
      <c r="FGK158" s="204"/>
      <c r="FGL158" s="199"/>
      <c r="FGM158" s="167"/>
      <c r="FGN158" s="199"/>
      <c r="FGO158" s="200"/>
      <c r="FGP158" s="201"/>
      <c r="FGQ158" s="202"/>
      <c r="FGR158" s="202"/>
      <c r="FGS158" s="202"/>
      <c r="FGT158" s="202"/>
      <c r="FGU158" s="203"/>
      <c r="FGV158" s="204"/>
      <c r="FGW158" s="204"/>
      <c r="FGX158" s="204"/>
      <c r="FGY158" s="205"/>
      <c r="FGZ158" s="206"/>
      <c r="FHA158" s="207"/>
      <c r="FHB158" s="207"/>
      <c r="FHC158" s="208"/>
      <c r="FHD158" s="209"/>
      <c r="FHE158" s="207"/>
      <c r="FHF158" s="210"/>
      <c r="FHG158" s="209"/>
      <c r="FHH158" s="204"/>
      <c r="FHI158" s="204"/>
      <c r="FHJ158" s="204"/>
      <c r="FHK158" s="199"/>
      <c r="FHL158" s="167"/>
      <c r="FHM158" s="199"/>
      <c r="FHN158" s="200"/>
      <c r="FHO158" s="201"/>
      <c r="FHP158" s="202"/>
      <c r="FHQ158" s="202"/>
      <c r="FHR158" s="202"/>
      <c r="FHS158" s="202"/>
      <c r="FHT158" s="203"/>
      <c r="FHU158" s="204"/>
      <c r="FHV158" s="204"/>
      <c r="FHW158" s="204"/>
      <c r="FHX158" s="205"/>
      <c r="FHY158" s="206"/>
      <c r="FHZ158" s="207"/>
      <c r="FIA158" s="207"/>
      <c r="FIB158" s="208"/>
      <c r="FIC158" s="209"/>
      <c r="FID158" s="207"/>
      <c r="FIE158" s="210"/>
      <c r="FIF158" s="209"/>
      <c r="FIG158" s="204"/>
      <c r="FIH158" s="204"/>
      <c r="FII158" s="204"/>
      <c r="FIJ158" s="199"/>
      <c r="FIK158" s="167"/>
      <c r="FIL158" s="199"/>
      <c r="FIM158" s="200"/>
      <c r="FIN158" s="201"/>
      <c r="FIO158" s="202"/>
      <c r="FIP158" s="202"/>
      <c r="FIQ158" s="202"/>
      <c r="FIR158" s="202"/>
      <c r="FIS158" s="203"/>
      <c r="FIT158" s="204"/>
      <c r="FIU158" s="204"/>
      <c r="FIV158" s="204"/>
      <c r="FIW158" s="205"/>
      <c r="FIX158" s="206"/>
      <c r="FIY158" s="207"/>
      <c r="FIZ158" s="207"/>
      <c r="FJA158" s="208"/>
      <c r="FJB158" s="209"/>
      <c r="FJC158" s="207"/>
      <c r="FJD158" s="210"/>
      <c r="FJE158" s="209"/>
      <c r="FJF158" s="204"/>
      <c r="FJG158" s="204"/>
      <c r="FJH158" s="204"/>
      <c r="FJI158" s="199"/>
      <c r="FJJ158" s="167"/>
      <c r="FJK158" s="199"/>
      <c r="FJL158" s="200"/>
      <c r="FJM158" s="201"/>
      <c r="FJN158" s="202"/>
      <c r="FJO158" s="202"/>
      <c r="FJP158" s="202"/>
      <c r="FJQ158" s="202"/>
      <c r="FJR158" s="203"/>
      <c r="FJS158" s="204"/>
      <c r="FJT158" s="204"/>
      <c r="FJU158" s="204"/>
      <c r="FJV158" s="205"/>
      <c r="FJW158" s="206"/>
      <c r="FJX158" s="207"/>
      <c r="FJY158" s="207"/>
      <c r="FJZ158" s="208"/>
      <c r="FKA158" s="209"/>
      <c r="FKB158" s="207"/>
      <c r="FKC158" s="210"/>
      <c r="FKD158" s="209"/>
      <c r="FKE158" s="204"/>
      <c r="FKF158" s="204"/>
      <c r="FKG158" s="204"/>
      <c r="FKH158" s="199"/>
      <c r="FKI158" s="167"/>
      <c r="FKJ158" s="199"/>
      <c r="FKK158" s="200"/>
      <c r="FKL158" s="201"/>
      <c r="FKM158" s="202"/>
      <c r="FKN158" s="202"/>
      <c r="FKO158" s="202"/>
      <c r="FKP158" s="202"/>
      <c r="FKQ158" s="203"/>
      <c r="FKR158" s="204"/>
      <c r="FKS158" s="204"/>
      <c r="FKT158" s="204"/>
      <c r="FKU158" s="205"/>
      <c r="FKV158" s="206"/>
      <c r="FKW158" s="207"/>
      <c r="FKX158" s="207"/>
      <c r="FKY158" s="208"/>
      <c r="FKZ158" s="209"/>
      <c r="FLA158" s="207"/>
      <c r="FLB158" s="210"/>
      <c r="FLC158" s="209"/>
      <c r="FLD158" s="204"/>
      <c r="FLE158" s="204"/>
      <c r="FLF158" s="204"/>
      <c r="FLG158" s="199"/>
      <c r="FLH158" s="167"/>
      <c r="FLI158" s="199"/>
      <c r="FLJ158" s="200"/>
      <c r="FLK158" s="201"/>
      <c r="FLL158" s="202"/>
      <c r="FLM158" s="202"/>
      <c r="FLN158" s="202"/>
      <c r="FLO158" s="202"/>
      <c r="FLP158" s="203"/>
      <c r="FLQ158" s="204"/>
      <c r="FLR158" s="204"/>
      <c r="FLS158" s="204"/>
      <c r="FLT158" s="205"/>
      <c r="FLU158" s="206"/>
      <c r="FLV158" s="207"/>
      <c r="FLW158" s="207"/>
      <c r="FLX158" s="208"/>
      <c r="FLY158" s="209"/>
      <c r="FLZ158" s="207"/>
      <c r="FMA158" s="210"/>
      <c r="FMB158" s="209"/>
      <c r="FMC158" s="204"/>
      <c r="FMD158" s="204"/>
      <c r="FME158" s="204"/>
      <c r="FMF158" s="199"/>
      <c r="FMG158" s="167"/>
      <c r="FMH158" s="199"/>
      <c r="FMI158" s="200"/>
      <c r="FMJ158" s="201"/>
      <c r="FMK158" s="202"/>
      <c r="FML158" s="202"/>
      <c r="FMM158" s="202"/>
      <c r="FMN158" s="202"/>
      <c r="FMO158" s="203"/>
      <c r="FMP158" s="204"/>
      <c r="FMQ158" s="204"/>
      <c r="FMR158" s="204"/>
      <c r="FMS158" s="205"/>
      <c r="FMT158" s="206"/>
      <c r="FMU158" s="207"/>
      <c r="FMV158" s="207"/>
      <c r="FMW158" s="208"/>
      <c r="FMX158" s="209"/>
      <c r="FMY158" s="207"/>
      <c r="FMZ158" s="210"/>
      <c r="FNA158" s="209"/>
      <c r="FNB158" s="204"/>
      <c r="FNC158" s="204"/>
      <c r="FND158" s="204"/>
      <c r="FNE158" s="199"/>
      <c r="FNF158" s="167"/>
      <c r="FNG158" s="199"/>
      <c r="FNH158" s="200"/>
      <c r="FNI158" s="201"/>
      <c r="FNJ158" s="202"/>
      <c r="FNK158" s="202"/>
      <c r="FNL158" s="202"/>
      <c r="FNM158" s="202"/>
      <c r="FNN158" s="203"/>
      <c r="FNO158" s="204"/>
      <c r="FNP158" s="204"/>
      <c r="FNQ158" s="204"/>
      <c r="FNR158" s="205"/>
      <c r="FNS158" s="206"/>
      <c r="FNT158" s="207"/>
      <c r="FNU158" s="207"/>
      <c r="FNV158" s="208"/>
      <c r="FNW158" s="209"/>
      <c r="FNX158" s="207"/>
      <c r="FNY158" s="210"/>
      <c r="FNZ158" s="209"/>
      <c r="FOA158" s="204"/>
      <c r="FOB158" s="204"/>
      <c r="FOC158" s="204"/>
      <c r="FOD158" s="199"/>
      <c r="FOE158" s="167"/>
      <c r="FOF158" s="199"/>
      <c r="FOG158" s="200"/>
      <c r="FOH158" s="201"/>
      <c r="FOI158" s="202"/>
      <c r="FOJ158" s="202"/>
      <c r="FOK158" s="202"/>
      <c r="FOL158" s="202"/>
      <c r="FOM158" s="203"/>
      <c r="FON158" s="204"/>
      <c r="FOO158" s="204"/>
      <c r="FOP158" s="204"/>
      <c r="FOQ158" s="205"/>
      <c r="FOR158" s="206"/>
      <c r="FOS158" s="207"/>
      <c r="FOT158" s="207"/>
      <c r="FOU158" s="208"/>
      <c r="FOV158" s="209"/>
      <c r="FOW158" s="207"/>
      <c r="FOX158" s="210"/>
      <c r="FOY158" s="209"/>
      <c r="FOZ158" s="204"/>
      <c r="FPA158" s="204"/>
      <c r="FPB158" s="204"/>
      <c r="FPC158" s="199"/>
      <c r="FPD158" s="167"/>
      <c r="FPE158" s="199"/>
      <c r="FPF158" s="200"/>
      <c r="FPG158" s="201"/>
      <c r="FPH158" s="202"/>
      <c r="FPI158" s="202"/>
      <c r="FPJ158" s="202"/>
      <c r="FPK158" s="202"/>
      <c r="FPL158" s="203"/>
      <c r="FPM158" s="204"/>
      <c r="FPN158" s="204"/>
      <c r="FPO158" s="204"/>
      <c r="FPP158" s="205"/>
      <c r="FPQ158" s="206"/>
      <c r="FPR158" s="207"/>
      <c r="FPS158" s="207"/>
      <c r="FPT158" s="208"/>
      <c r="FPU158" s="209"/>
      <c r="FPV158" s="207"/>
      <c r="FPW158" s="210"/>
      <c r="FPX158" s="209"/>
      <c r="FPY158" s="204"/>
      <c r="FPZ158" s="204"/>
      <c r="FQA158" s="204"/>
      <c r="FQB158" s="199"/>
      <c r="FQC158" s="167"/>
      <c r="FQD158" s="199"/>
      <c r="FQE158" s="200"/>
      <c r="FQF158" s="201"/>
      <c r="FQG158" s="202"/>
      <c r="FQH158" s="202"/>
      <c r="FQI158" s="202"/>
      <c r="FQJ158" s="202"/>
      <c r="FQK158" s="203"/>
      <c r="FQL158" s="204"/>
      <c r="FQM158" s="204"/>
      <c r="FQN158" s="204"/>
      <c r="FQO158" s="205"/>
      <c r="FQP158" s="206"/>
      <c r="FQQ158" s="207"/>
      <c r="FQR158" s="207"/>
      <c r="FQS158" s="208"/>
      <c r="FQT158" s="209"/>
      <c r="FQU158" s="207"/>
      <c r="FQV158" s="210"/>
      <c r="FQW158" s="209"/>
      <c r="FQX158" s="204"/>
      <c r="FQY158" s="204"/>
      <c r="FQZ158" s="204"/>
      <c r="FRA158" s="199"/>
      <c r="FRB158" s="167"/>
      <c r="FRC158" s="199"/>
      <c r="FRD158" s="200"/>
      <c r="FRE158" s="201"/>
      <c r="FRF158" s="202"/>
      <c r="FRG158" s="202"/>
      <c r="FRH158" s="202"/>
      <c r="FRI158" s="202"/>
      <c r="FRJ158" s="203"/>
      <c r="FRK158" s="204"/>
      <c r="FRL158" s="204"/>
      <c r="FRM158" s="204"/>
      <c r="FRN158" s="205"/>
      <c r="FRO158" s="206"/>
      <c r="FRP158" s="207"/>
      <c r="FRQ158" s="207"/>
      <c r="FRR158" s="208"/>
      <c r="FRS158" s="209"/>
      <c r="FRT158" s="207"/>
      <c r="FRU158" s="210"/>
      <c r="FRV158" s="209"/>
      <c r="FRW158" s="204"/>
      <c r="FRX158" s="204"/>
      <c r="FRY158" s="204"/>
      <c r="FRZ158" s="199"/>
      <c r="FSA158" s="167"/>
      <c r="FSB158" s="199"/>
      <c r="FSC158" s="200"/>
      <c r="FSD158" s="201"/>
      <c r="FSE158" s="202"/>
      <c r="FSF158" s="202"/>
      <c r="FSG158" s="202"/>
      <c r="FSH158" s="202"/>
      <c r="FSI158" s="203"/>
      <c r="FSJ158" s="204"/>
      <c r="FSK158" s="204"/>
      <c r="FSL158" s="204"/>
      <c r="FSM158" s="205"/>
      <c r="FSN158" s="206"/>
      <c r="FSO158" s="207"/>
      <c r="FSP158" s="207"/>
      <c r="FSQ158" s="208"/>
      <c r="FSR158" s="209"/>
      <c r="FSS158" s="207"/>
      <c r="FST158" s="210"/>
      <c r="FSU158" s="209"/>
      <c r="FSV158" s="204"/>
      <c r="FSW158" s="204"/>
      <c r="FSX158" s="204"/>
      <c r="FSY158" s="199"/>
      <c r="FSZ158" s="167"/>
      <c r="FTA158" s="199"/>
      <c r="FTB158" s="200"/>
      <c r="FTC158" s="201"/>
      <c r="FTD158" s="202"/>
      <c r="FTE158" s="202"/>
      <c r="FTF158" s="202"/>
      <c r="FTG158" s="202"/>
      <c r="FTH158" s="203"/>
      <c r="FTI158" s="204"/>
      <c r="FTJ158" s="204"/>
      <c r="FTK158" s="204"/>
      <c r="FTL158" s="205"/>
      <c r="FTM158" s="206"/>
      <c r="FTN158" s="207"/>
      <c r="FTO158" s="207"/>
      <c r="FTP158" s="208"/>
      <c r="FTQ158" s="209"/>
      <c r="FTR158" s="207"/>
      <c r="FTS158" s="210"/>
      <c r="FTT158" s="209"/>
      <c r="FTU158" s="204"/>
      <c r="FTV158" s="204"/>
      <c r="FTW158" s="204"/>
      <c r="FTX158" s="199"/>
      <c r="FTY158" s="167"/>
      <c r="FTZ158" s="199"/>
      <c r="FUA158" s="200"/>
      <c r="FUB158" s="201"/>
      <c r="FUC158" s="202"/>
      <c r="FUD158" s="202"/>
      <c r="FUE158" s="202"/>
      <c r="FUF158" s="202"/>
      <c r="FUG158" s="203"/>
      <c r="FUH158" s="204"/>
      <c r="FUI158" s="204"/>
      <c r="FUJ158" s="204"/>
      <c r="FUK158" s="205"/>
      <c r="FUL158" s="206"/>
      <c r="FUM158" s="207"/>
      <c r="FUN158" s="207"/>
      <c r="FUO158" s="208"/>
      <c r="FUP158" s="209"/>
      <c r="FUQ158" s="207"/>
      <c r="FUR158" s="210"/>
      <c r="FUS158" s="209"/>
      <c r="FUT158" s="204"/>
      <c r="FUU158" s="204"/>
      <c r="FUV158" s="204"/>
      <c r="FUW158" s="199"/>
      <c r="FUX158" s="167"/>
      <c r="FUY158" s="199"/>
      <c r="FUZ158" s="200"/>
      <c r="FVA158" s="201"/>
      <c r="FVB158" s="202"/>
      <c r="FVC158" s="202"/>
      <c r="FVD158" s="202"/>
      <c r="FVE158" s="202"/>
      <c r="FVF158" s="203"/>
      <c r="FVG158" s="204"/>
      <c r="FVH158" s="204"/>
      <c r="FVI158" s="204"/>
      <c r="FVJ158" s="205"/>
      <c r="FVK158" s="206"/>
      <c r="FVL158" s="207"/>
      <c r="FVM158" s="207"/>
      <c r="FVN158" s="208"/>
      <c r="FVO158" s="209"/>
      <c r="FVP158" s="207"/>
      <c r="FVQ158" s="210"/>
      <c r="FVR158" s="209"/>
      <c r="FVS158" s="204"/>
      <c r="FVT158" s="204"/>
      <c r="FVU158" s="204"/>
      <c r="FVV158" s="199"/>
      <c r="FVW158" s="167"/>
      <c r="FVX158" s="199"/>
      <c r="FVY158" s="200"/>
      <c r="FVZ158" s="201"/>
      <c r="FWA158" s="202"/>
      <c r="FWB158" s="202"/>
      <c r="FWC158" s="202"/>
      <c r="FWD158" s="202"/>
      <c r="FWE158" s="203"/>
      <c r="FWF158" s="204"/>
      <c r="FWG158" s="204"/>
      <c r="FWH158" s="204"/>
      <c r="FWI158" s="205"/>
      <c r="FWJ158" s="206"/>
      <c r="FWK158" s="207"/>
      <c r="FWL158" s="207"/>
      <c r="FWM158" s="208"/>
      <c r="FWN158" s="209"/>
      <c r="FWO158" s="207"/>
      <c r="FWP158" s="210"/>
      <c r="FWQ158" s="209"/>
      <c r="FWR158" s="204"/>
      <c r="FWS158" s="204"/>
      <c r="FWT158" s="204"/>
      <c r="FWU158" s="199"/>
      <c r="FWV158" s="167"/>
      <c r="FWW158" s="199"/>
      <c r="FWX158" s="200"/>
      <c r="FWY158" s="201"/>
      <c r="FWZ158" s="202"/>
      <c r="FXA158" s="202"/>
      <c r="FXB158" s="202"/>
      <c r="FXC158" s="202"/>
      <c r="FXD158" s="203"/>
      <c r="FXE158" s="204"/>
      <c r="FXF158" s="204"/>
      <c r="FXG158" s="204"/>
      <c r="FXH158" s="205"/>
      <c r="FXI158" s="206"/>
      <c r="FXJ158" s="207"/>
      <c r="FXK158" s="207"/>
      <c r="FXL158" s="208"/>
      <c r="FXM158" s="209"/>
      <c r="FXN158" s="207"/>
      <c r="FXO158" s="210"/>
      <c r="FXP158" s="209"/>
      <c r="FXQ158" s="204"/>
      <c r="FXR158" s="204"/>
      <c r="FXS158" s="204"/>
      <c r="FXT158" s="199"/>
      <c r="FXU158" s="167"/>
      <c r="FXV158" s="199"/>
      <c r="FXW158" s="200"/>
      <c r="FXX158" s="201"/>
      <c r="FXY158" s="202"/>
      <c r="FXZ158" s="202"/>
      <c r="FYA158" s="202"/>
      <c r="FYB158" s="202"/>
      <c r="FYC158" s="203"/>
      <c r="FYD158" s="204"/>
      <c r="FYE158" s="204"/>
      <c r="FYF158" s="204"/>
      <c r="FYG158" s="205"/>
      <c r="FYH158" s="206"/>
      <c r="FYI158" s="207"/>
      <c r="FYJ158" s="207"/>
      <c r="FYK158" s="208"/>
      <c r="FYL158" s="209"/>
      <c r="FYM158" s="207"/>
      <c r="FYN158" s="210"/>
      <c r="FYO158" s="209"/>
      <c r="FYP158" s="204"/>
      <c r="FYQ158" s="204"/>
      <c r="FYR158" s="204"/>
      <c r="FYS158" s="199"/>
      <c r="FYT158" s="167"/>
      <c r="FYU158" s="199"/>
      <c r="FYV158" s="200"/>
      <c r="FYW158" s="201"/>
      <c r="FYX158" s="202"/>
      <c r="FYY158" s="202"/>
      <c r="FYZ158" s="202"/>
      <c r="FZA158" s="202"/>
      <c r="FZB158" s="203"/>
      <c r="FZC158" s="204"/>
      <c r="FZD158" s="204"/>
      <c r="FZE158" s="204"/>
      <c r="FZF158" s="205"/>
      <c r="FZG158" s="206"/>
      <c r="FZH158" s="207"/>
      <c r="FZI158" s="207"/>
      <c r="FZJ158" s="208"/>
      <c r="FZK158" s="209"/>
      <c r="FZL158" s="207"/>
      <c r="FZM158" s="210"/>
      <c r="FZN158" s="209"/>
      <c r="FZO158" s="204"/>
      <c r="FZP158" s="204"/>
      <c r="FZQ158" s="204"/>
      <c r="FZR158" s="199"/>
      <c r="FZS158" s="167"/>
      <c r="FZT158" s="199"/>
      <c r="FZU158" s="200"/>
      <c r="FZV158" s="201"/>
      <c r="FZW158" s="202"/>
      <c r="FZX158" s="202"/>
      <c r="FZY158" s="202"/>
      <c r="FZZ158" s="202"/>
      <c r="GAA158" s="203"/>
      <c r="GAB158" s="204"/>
      <c r="GAC158" s="204"/>
      <c r="GAD158" s="204"/>
      <c r="GAE158" s="205"/>
      <c r="GAF158" s="206"/>
      <c r="GAG158" s="207"/>
      <c r="GAH158" s="207"/>
      <c r="GAI158" s="208"/>
      <c r="GAJ158" s="209"/>
      <c r="GAK158" s="207"/>
      <c r="GAL158" s="210"/>
      <c r="GAM158" s="209"/>
      <c r="GAN158" s="204"/>
      <c r="GAO158" s="204"/>
      <c r="GAP158" s="204"/>
      <c r="GAQ158" s="199"/>
      <c r="GAR158" s="167"/>
      <c r="GAS158" s="199"/>
      <c r="GAT158" s="200"/>
      <c r="GAU158" s="201"/>
      <c r="GAV158" s="202"/>
      <c r="GAW158" s="202"/>
      <c r="GAX158" s="202"/>
      <c r="GAY158" s="202"/>
      <c r="GAZ158" s="203"/>
      <c r="GBA158" s="204"/>
      <c r="GBB158" s="204"/>
      <c r="GBC158" s="204"/>
      <c r="GBD158" s="205"/>
      <c r="GBE158" s="206"/>
      <c r="GBF158" s="207"/>
      <c r="GBG158" s="207"/>
      <c r="GBH158" s="208"/>
      <c r="GBI158" s="209"/>
      <c r="GBJ158" s="207"/>
      <c r="GBK158" s="210"/>
      <c r="GBL158" s="209"/>
      <c r="GBM158" s="204"/>
      <c r="GBN158" s="204"/>
      <c r="GBO158" s="204"/>
      <c r="GBP158" s="199"/>
      <c r="GBQ158" s="167"/>
      <c r="GBR158" s="199"/>
      <c r="GBS158" s="200"/>
      <c r="GBT158" s="201"/>
      <c r="GBU158" s="202"/>
      <c r="GBV158" s="202"/>
      <c r="GBW158" s="202"/>
      <c r="GBX158" s="202"/>
      <c r="GBY158" s="203"/>
      <c r="GBZ158" s="204"/>
      <c r="GCA158" s="204"/>
      <c r="GCB158" s="204"/>
      <c r="GCC158" s="205"/>
      <c r="GCD158" s="206"/>
      <c r="GCE158" s="207"/>
      <c r="GCF158" s="207"/>
      <c r="GCG158" s="208"/>
      <c r="GCH158" s="209"/>
      <c r="GCI158" s="207"/>
      <c r="GCJ158" s="210"/>
      <c r="GCK158" s="209"/>
      <c r="GCL158" s="204"/>
      <c r="GCM158" s="204"/>
      <c r="GCN158" s="204"/>
      <c r="GCO158" s="199"/>
      <c r="GCP158" s="167"/>
      <c r="GCQ158" s="199"/>
      <c r="GCR158" s="200"/>
      <c r="GCS158" s="201"/>
      <c r="GCT158" s="202"/>
      <c r="GCU158" s="202"/>
      <c r="GCV158" s="202"/>
      <c r="GCW158" s="202"/>
      <c r="GCX158" s="203"/>
      <c r="GCY158" s="204"/>
      <c r="GCZ158" s="204"/>
      <c r="GDA158" s="204"/>
      <c r="GDB158" s="205"/>
      <c r="GDC158" s="206"/>
      <c r="GDD158" s="207"/>
      <c r="GDE158" s="207"/>
      <c r="GDF158" s="208"/>
      <c r="GDG158" s="209"/>
      <c r="GDH158" s="207"/>
      <c r="GDI158" s="210"/>
      <c r="GDJ158" s="209"/>
      <c r="GDK158" s="204"/>
      <c r="GDL158" s="204"/>
      <c r="GDM158" s="204"/>
      <c r="GDN158" s="199"/>
      <c r="GDO158" s="167"/>
      <c r="GDP158" s="199"/>
      <c r="GDQ158" s="200"/>
      <c r="GDR158" s="201"/>
      <c r="GDS158" s="202"/>
      <c r="GDT158" s="202"/>
      <c r="GDU158" s="202"/>
      <c r="GDV158" s="202"/>
      <c r="GDW158" s="203"/>
      <c r="GDX158" s="204"/>
      <c r="GDY158" s="204"/>
      <c r="GDZ158" s="204"/>
      <c r="GEA158" s="205"/>
      <c r="GEB158" s="206"/>
      <c r="GEC158" s="207"/>
      <c r="GED158" s="207"/>
      <c r="GEE158" s="208"/>
      <c r="GEF158" s="209"/>
      <c r="GEG158" s="207"/>
      <c r="GEH158" s="210"/>
      <c r="GEI158" s="209"/>
      <c r="GEJ158" s="204"/>
      <c r="GEK158" s="204"/>
      <c r="GEL158" s="204"/>
      <c r="GEM158" s="199"/>
      <c r="GEN158" s="167"/>
      <c r="GEO158" s="199"/>
      <c r="GEP158" s="200"/>
      <c r="GEQ158" s="201"/>
      <c r="GER158" s="202"/>
      <c r="GES158" s="202"/>
      <c r="GET158" s="202"/>
      <c r="GEU158" s="202"/>
      <c r="GEV158" s="203"/>
      <c r="GEW158" s="204"/>
      <c r="GEX158" s="204"/>
      <c r="GEY158" s="204"/>
      <c r="GEZ158" s="205"/>
      <c r="GFA158" s="206"/>
      <c r="GFB158" s="207"/>
      <c r="GFC158" s="207"/>
      <c r="GFD158" s="208"/>
      <c r="GFE158" s="209"/>
      <c r="GFF158" s="207"/>
      <c r="GFG158" s="210"/>
      <c r="GFH158" s="209"/>
      <c r="GFI158" s="204"/>
      <c r="GFJ158" s="204"/>
      <c r="GFK158" s="204"/>
      <c r="GFL158" s="199"/>
      <c r="GFM158" s="167"/>
      <c r="GFN158" s="199"/>
      <c r="GFO158" s="200"/>
      <c r="GFP158" s="201"/>
      <c r="GFQ158" s="202"/>
      <c r="GFR158" s="202"/>
      <c r="GFS158" s="202"/>
      <c r="GFT158" s="202"/>
      <c r="GFU158" s="203"/>
      <c r="GFV158" s="204"/>
      <c r="GFW158" s="204"/>
      <c r="GFX158" s="204"/>
      <c r="GFY158" s="205"/>
      <c r="GFZ158" s="206"/>
      <c r="GGA158" s="207"/>
      <c r="GGB158" s="207"/>
      <c r="GGC158" s="208"/>
      <c r="GGD158" s="209"/>
      <c r="GGE158" s="207"/>
      <c r="GGF158" s="210"/>
      <c r="GGG158" s="209"/>
      <c r="GGH158" s="204"/>
      <c r="GGI158" s="204"/>
      <c r="GGJ158" s="204"/>
      <c r="GGK158" s="199"/>
      <c r="GGL158" s="167"/>
      <c r="GGM158" s="199"/>
      <c r="GGN158" s="200"/>
      <c r="GGO158" s="201"/>
      <c r="GGP158" s="202"/>
      <c r="GGQ158" s="202"/>
      <c r="GGR158" s="202"/>
      <c r="GGS158" s="202"/>
      <c r="GGT158" s="203"/>
      <c r="GGU158" s="204"/>
      <c r="GGV158" s="204"/>
      <c r="GGW158" s="204"/>
      <c r="GGX158" s="205"/>
      <c r="GGY158" s="206"/>
      <c r="GGZ158" s="207"/>
      <c r="GHA158" s="207"/>
      <c r="GHB158" s="208"/>
      <c r="GHC158" s="209"/>
      <c r="GHD158" s="207"/>
      <c r="GHE158" s="210"/>
      <c r="GHF158" s="209"/>
      <c r="GHG158" s="204"/>
      <c r="GHH158" s="204"/>
      <c r="GHI158" s="204"/>
      <c r="GHJ158" s="199"/>
      <c r="GHK158" s="167"/>
      <c r="GHL158" s="199"/>
      <c r="GHM158" s="200"/>
      <c r="GHN158" s="201"/>
      <c r="GHO158" s="202"/>
      <c r="GHP158" s="202"/>
      <c r="GHQ158" s="202"/>
      <c r="GHR158" s="202"/>
      <c r="GHS158" s="203"/>
      <c r="GHT158" s="204"/>
      <c r="GHU158" s="204"/>
      <c r="GHV158" s="204"/>
      <c r="GHW158" s="205"/>
      <c r="GHX158" s="206"/>
      <c r="GHY158" s="207"/>
      <c r="GHZ158" s="207"/>
      <c r="GIA158" s="208"/>
      <c r="GIB158" s="209"/>
      <c r="GIC158" s="207"/>
      <c r="GID158" s="210"/>
      <c r="GIE158" s="209"/>
      <c r="GIF158" s="204"/>
      <c r="GIG158" s="204"/>
      <c r="GIH158" s="204"/>
      <c r="GII158" s="199"/>
      <c r="GIJ158" s="167"/>
      <c r="GIK158" s="199"/>
      <c r="GIL158" s="200"/>
      <c r="GIM158" s="201"/>
      <c r="GIN158" s="202"/>
      <c r="GIO158" s="202"/>
      <c r="GIP158" s="202"/>
      <c r="GIQ158" s="202"/>
      <c r="GIR158" s="203"/>
      <c r="GIS158" s="204"/>
      <c r="GIT158" s="204"/>
      <c r="GIU158" s="204"/>
      <c r="GIV158" s="205"/>
      <c r="GIW158" s="206"/>
      <c r="GIX158" s="207"/>
      <c r="GIY158" s="207"/>
      <c r="GIZ158" s="208"/>
      <c r="GJA158" s="209"/>
      <c r="GJB158" s="207"/>
      <c r="GJC158" s="210"/>
      <c r="GJD158" s="209"/>
      <c r="GJE158" s="204"/>
      <c r="GJF158" s="204"/>
      <c r="GJG158" s="204"/>
      <c r="GJH158" s="199"/>
      <c r="GJI158" s="167"/>
      <c r="GJJ158" s="199"/>
      <c r="GJK158" s="200"/>
      <c r="GJL158" s="201"/>
      <c r="GJM158" s="202"/>
      <c r="GJN158" s="202"/>
      <c r="GJO158" s="202"/>
      <c r="GJP158" s="202"/>
      <c r="GJQ158" s="203"/>
      <c r="GJR158" s="204"/>
      <c r="GJS158" s="204"/>
      <c r="GJT158" s="204"/>
      <c r="GJU158" s="205"/>
      <c r="GJV158" s="206"/>
      <c r="GJW158" s="207"/>
      <c r="GJX158" s="207"/>
      <c r="GJY158" s="208"/>
      <c r="GJZ158" s="209"/>
      <c r="GKA158" s="207"/>
      <c r="GKB158" s="210"/>
      <c r="GKC158" s="209"/>
      <c r="GKD158" s="204"/>
      <c r="GKE158" s="204"/>
      <c r="GKF158" s="204"/>
      <c r="GKG158" s="199"/>
      <c r="GKH158" s="167"/>
      <c r="GKI158" s="199"/>
      <c r="GKJ158" s="200"/>
      <c r="GKK158" s="201"/>
      <c r="GKL158" s="202"/>
      <c r="GKM158" s="202"/>
      <c r="GKN158" s="202"/>
      <c r="GKO158" s="202"/>
      <c r="GKP158" s="203"/>
      <c r="GKQ158" s="204"/>
      <c r="GKR158" s="204"/>
      <c r="GKS158" s="204"/>
      <c r="GKT158" s="205"/>
      <c r="GKU158" s="206"/>
      <c r="GKV158" s="207"/>
      <c r="GKW158" s="207"/>
      <c r="GKX158" s="208"/>
      <c r="GKY158" s="209"/>
      <c r="GKZ158" s="207"/>
      <c r="GLA158" s="210"/>
      <c r="GLB158" s="209"/>
      <c r="GLC158" s="204"/>
      <c r="GLD158" s="204"/>
      <c r="GLE158" s="204"/>
      <c r="GLF158" s="199"/>
      <c r="GLG158" s="167"/>
      <c r="GLH158" s="199"/>
      <c r="GLI158" s="200"/>
      <c r="GLJ158" s="201"/>
      <c r="GLK158" s="202"/>
      <c r="GLL158" s="202"/>
      <c r="GLM158" s="202"/>
      <c r="GLN158" s="202"/>
      <c r="GLO158" s="203"/>
      <c r="GLP158" s="204"/>
      <c r="GLQ158" s="204"/>
      <c r="GLR158" s="204"/>
      <c r="GLS158" s="205"/>
      <c r="GLT158" s="206"/>
      <c r="GLU158" s="207"/>
      <c r="GLV158" s="207"/>
      <c r="GLW158" s="208"/>
      <c r="GLX158" s="209"/>
      <c r="GLY158" s="207"/>
      <c r="GLZ158" s="210"/>
      <c r="GMA158" s="209"/>
      <c r="GMB158" s="204"/>
      <c r="GMC158" s="204"/>
      <c r="GMD158" s="204"/>
      <c r="GME158" s="199"/>
      <c r="GMF158" s="167"/>
      <c r="GMG158" s="199"/>
      <c r="GMH158" s="200"/>
      <c r="GMI158" s="201"/>
      <c r="GMJ158" s="202"/>
      <c r="GMK158" s="202"/>
      <c r="GML158" s="202"/>
      <c r="GMM158" s="202"/>
      <c r="GMN158" s="203"/>
      <c r="GMO158" s="204"/>
      <c r="GMP158" s="204"/>
      <c r="GMQ158" s="204"/>
      <c r="GMR158" s="205"/>
      <c r="GMS158" s="206"/>
      <c r="GMT158" s="207"/>
      <c r="GMU158" s="207"/>
      <c r="GMV158" s="208"/>
      <c r="GMW158" s="209"/>
      <c r="GMX158" s="207"/>
      <c r="GMY158" s="210"/>
      <c r="GMZ158" s="209"/>
      <c r="GNA158" s="204"/>
      <c r="GNB158" s="204"/>
      <c r="GNC158" s="204"/>
      <c r="GND158" s="199"/>
      <c r="GNE158" s="167"/>
      <c r="GNF158" s="199"/>
      <c r="GNG158" s="200"/>
      <c r="GNH158" s="201"/>
      <c r="GNI158" s="202"/>
      <c r="GNJ158" s="202"/>
      <c r="GNK158" s="202"/>
      <c r="GNL158" s="202"/>
      <c r="GNM158" s="203"/>
      <c r="GNN158" s="204"/>
      <c r="GNO158" s="204"/>
      <c r="GNP158" s="204"/>
      <c r="GNQ158" s="205"/>
      <c r="GNR158" s="206"/>
      <c r="GNS158" s="207"/>
      <c r="GNT158" s="207"/>
      <c r="GNU158" s="208"/>
      <c r="GNV158" s="209"/>
      <c r="GNW158" s="207"/>
      <c r="GNX158" s="210"/>
      <c r="GNY158" s="209"/>
      <c r="GNZ158" s="204"/>
      <c r="GOA158" s="204"/>
      <c r="GOB158" s="204"/>
      <c r="GOC158" s="199"/>
      <c r="GOD158" s="167"/>
      <c r="GOE158" s="199"/>
      <c r="GOF158" s="200"/>
      <c r="GOG158" s="201"/>
      <c r="GOH158" s="202"/>
      <c r="GOI158" s="202"/>
      <c r="GOJ158" s="202"/>
      <c r="GOK158" s="202"/>
      <c r="GOL158" s="203"/>
      <c r="GOM158" s="204"/>
      <c r="GON158" s="204"/>
      <c r="GOO158" s="204"/>
      <c r="GOP158" s="205"/>
      <c r="GOQ158" s="206"/>
      <c r="GOR158" s="207"/>
      <c r="GOS158" s="207"/>
      <c r="GOT158" s="208"/>
      <c r="GOU158" s="209"/>
      <c r="GOV158" s="207"/>
      <c r="GOW158" s="210"/>
      <c r="GOX158" s="209"/>
      <c r="GOY158" s="204"/>
      <c r="GOZ158" s="204"/>
      <c r="GPA158" s="204"/>
      <c r="GPB158" s="199"/>
      <c r="GPC158" s="167"/>
      <c r="GPD158" s="199"/>
      <c r="GPE158" s="200"/>
      <c r="GPF158" s="201"/>
      <c r="GPG158" s="202"/>
      <c r="GPH158" s="202"/>
      <c r="GPI158" s="202"/>
      <c r="GPJ158" s="202"/>
      <c r="GPK158" s="203"/>
      <c r="GPL158" s="204"/>
      <c r="GPM158" s="204"/>
      <c r="GPN158" s="204"/>
      <c r="GPO158" s="205"/>
      <c r="GPP158" s="206"/>
      <c r="GPQ158" s="207"/>
      <c r="GPR158" s="207"/>
      <c r="GPS158" s="208"/>
      <c r="GPT158" s="209"/>
      <c r="GPU158" s="207"/>
      <c r="GPV158" s="210"/>
      <c r="GPW158" s="209"/>
      <c r="GPX158" s="204"/>
      <c r="GPY158" s="204"/>
      <c r="GPZ158" s="204"/>
      <c r="GQA158" s="199"/>
      <c r="GQB158" s="167"/>
      <c r="GQC158" s="199"/>
      <c r="GQD158" s="200"/>
      <c r="GQE158" s="201"/>
      <c r="GQF158" s="202"/>
      <c r="GQG158" s="202"/>
      <c r="GQH158" s="202"/>
      <c r="GQI158" s="202"/>
      <c r="GQJ158" s="203"/>
      <c r="GQK158" s="204"/>
      <c r="GQL158" s="204"/>
      <c r="GQM158" s="204"/>
      <c r="GQN158" s="205"/>
      <c r="GQO158" s="206"/>
      <c r="GQP158" s="207"/>
      <c r="GQQ158" s="207"/>
      <c r="GQR158" s="208"/>
      <c r="GQS158" s="209"/>
      <c r="GQT158" s="207"/>
      <c r="GQU158" s="210"/>
      <c r="GQV158" s="209"/>
      <c r="GQW158" s="204"/>
      <c r="GQX158" s="204"/>
      <c r="GQY158" s="204"/>
      <c r="GQZ158" s="199"/>
      <c r="GRA158" s="167"/>
      <c r="GRB158" s="199"/>
      <c r="GRC158" s="200"/>
      <c r="GRD158" s="201"/>
      <c r="GRE158" s="202"/>
      <c r="GRF158" s="202"/>
      <c r="GRG158" s="202"/>
      <c r="GRH158" s="202"/>
      <c r="GRI158" s="203"/>
      <c r="GRJ158" s="204"/>
      <c r="GRK158" s="204"/>
      <c r="GRL158" s="204"/>
      <c r="GRM158" s="205"/>
      <c r="GRN158" s="206"/>
      <c r="GRO158" s="207"/>
      <c r="GRP158" s="207"/>
      <c r="GRQ158" s="208"/>
      <c r="GRR158" s="209"/>
      <c r="GRS158" s="207"/>
      <c r="GRT158" s="210"/>
      <c r="GRU158" s="209"/>
      <c r="GRV158" s="204"/>
      <c r="GRW158" s="204"/>
      <c r="GRX158" s="204"/>
      <c r="GRY158" s="199"/>
      <c r="GRZ158" s="167"/>
      <c r="GSA158" s="199"/>
      <c r="GSB158" s="200"/>
      <c r="GSC158" s="201"/>
      <c r="GSD158" s="202"/>
      <c r="GSE158" s="202"/>
      <c r="GSF158" s="202"/>
      <c r="GSG158" s="202"/>
      <c r="GSH158" s="203"/>
      <c r="GSI158" s="204"/>
      <c r="GSJ158" s="204"/>
      <c r="GSK158" s="204"/>
      <c r="GSL158" s="205"/>
      <c r="GSM158" s="206"/>
      <c r="GSN158" s="207"/>
      <c r="GSO158" s="207"/>
      <c r="GSP158" s="208"/>
      <c r="GSQ158" s="209"/>
      <c r="GSR158" s="207"/>
      <c r="GSS158" s="210"/>
      <c r="GST158" s="209"/>
      <c r="GSU158" s="204"/>
      <c r="GSV158" s="204"/>
      <c r="GSW158" s="204"/>
      <c r="GSX158" s="199"/>
      <c r="GSY158" s="167"/>
      <c r="GSZ158" s="199"/>
      <c r="GTA158" s="200"/>
      <c r="GTB158" s="201"/>
      <c r="GTC158" s="202"/>
      <c r="GTD158" s="202"/>
      <c r="GTE158" s="202"/>
      <c r="GTF158" s="202"/>
      <c r="GTG158" s="203"/>
      <c r="GTH158" s="204"/>
      <c r="GTI158" s="204"/>
      <c r="GTJ158" s="204"/>
      <c r="GTK158" s="205"/>
      <c r="GTL158" s="206"/>
      <c r="GTM158" s="207"/>
      <c r="GTN158" s="207"/>
      <c r="GTO158" s="208"/>
      <c r="GTP158" s="209"/>
      <c r="GTQ158" s="207"/>
      <c r="GTR158" s="210"/>
      <c r="GTS158" s="209"/>
      <c r="GTT158" s="204"/>
      <c r="GTU158" s="204"/>
      <c r="GTV158" s="204"/>
      <c r="GTW158" s="199"/>
      <c r="GTX158" s="167"/>
      <c r="GTY158" s="199"/>
      <c r="GTZ158" s="200"/>
      <c r="GUA158" s="201"/>
      <c r="GUB158" s="202"/>
      <c r="GUC158" s="202"/>
      <c r="GUD158" s="202"/>
      <c r="GUE158" s="202"/>
      <c r="GUF158" s="203"/>
      <c r="GUG158" s="204"/>
      <c r="GUH158" s="204"/>
      <c r="GUI158" s="204"/>
      <c r="GUJ158" s="205"/>
      <c r="GUK158" s="206"/>
      <c r="GUL158" s="207"/>
      <c r="GUM158" s="207"/>
      <c r="GUN158" s="208"/>
      <c r="GUO158" s="209"/>
      <c r="GUP158" s="207"/>
      <c r="GUQ158" s="210"/>
      <c r="GUR158" s="209"/>
      <c r="GUS158" s="204"/>
      <c r="GUT158" s="204"/>
      <c r="GUU158" s="204"/>
      <c r="GUV158" s="199"/>
      <c r="GUW158" s="167"/>
      <c r="GUX158" s="199"/>
      <c r="GUY158" s="200"/>
      <c r="GUZ158" s="201"/>
      <c r="GVA158" s="202"/>
      <c r="GVB158" s="202"/>
      <c r="GVC158" s="202"/>
      <c r="GVD158" s="202"/>
      <c r="GVE158" s="203"/>
      <c r="GVF158" s="204"/>
      <c r="GVG158" s="204"/>
      <c r="GVH158" s="204"/>
      <c r="GVI158" s="205"/>
      <c r="GVJ158" s="206"/>
      <c r="GVK158" s="207"/>
      <c r="GVL158" s="207"/>
      <c r="GVM158" s="208"/>
      <c r="GVN158" s="209"/>
      <c r="GVO158" s="207"/>
      <c r="GVP158" s="210"/>
      <c r="GVQ158" s="209"/>
      <c r="GVR158" s="204"/>
      <c r="GVS158" s="204"/>
      <c r="GVT158" s="204"/>
      <c r="GVU158" s="199"/>
      <c r="GVV158" s="167"/>
      <c r="GVW158" s="199"/>
      <c r="GVX158" s="200"/>
      <c r="GVY158" s="201"/>
      <c r="GVZ158" s="202"/>
      <c r="GWA158" s="202"/>
      <c r="GWB158" s="202"/>
      <c r="GWC158" s="202"/>
      <c r="GWD158" s="203"/>
      <c r="GWE158" s="204"/>
      <c r="GWF158" s="204"/>
      <c r="GWG158" s="204"/>
      <c r="GWH158" s="205"/>
      <c r="GWI158" s="206"/>
      <c r="GWJ158" s="207"/>
      <c r="GWK158" s="207"/>
      <c r="GWL158" s="208"/>
      <c r="GWM158" s="209"/>
      <c r="GWN158" s="207"/>
      <c r="GWO158" s="210"/>
      <c r="GWP158" s="209"/>
      <c r="GWQ158" s="204"/>
      <c r="GWR158" s="204"/>
      <c r="GWS158" s="204"/>
      <c r="GWT158" s="199"/>
      <c r="GWU158" s="167"/>
      <c r="GWV158" s="199"/>
      <c r="GWW158" s="200"/>
      <c r="GWX158" s="201"/>
      <c r="GWY158" s="202"/>
      <c r="GWZ158" s="202"/>
      <c r="GXA158" s="202"/>
      <c r="GXB158" s="202"/>
      <c r="GXC158" s="203"/>
      <c r="GXD158" s="204"/>
      <c r="GXE158" s="204"/>
      <c r="GXF158" s="204"/>
      <c r="GXG158" s="205"/>
      <c r="GXH158" s="206"/>
      <c r="GXI158" s="207"/>
      <c r="GXJ158" s="207"/>
      <c r="GXK158" s="208"/>
      <c r="GXL158" s="209"/>
      <c r="GXM158" s="207"/>
      <c r="GXN158" s="210"/>
      <c r="GXO158" s="209"/>
      <c r="GXP158" s="204"/>
      <c r="GXQ158" s="204"/>
      <c r="GXR158" s="204"/>
      <c r="GXS158" s="199"/>
      <c r="GXT158" s="167"/>
      <c r="GXU158" s="199"/>
      <c r="GXV158" s="200"/>
      <c r="GXW158" s="201"/>
      <c r="GXX158" s="202"/>
      <c r="GXY158" s="202"/>
      <c r="GXZ158" s="202"/>
      <c r="GYA158" s="202"/>
      <c r="GYB158" s="203"/>
      <c r="GYC158" s="204"/>
      <c r="GYD158" s="204"/>
      <c r="GYE158" s="204"/>
      <c r="GYF158" s="205"/>
      <c r="GYG158" s="206"/>
      <c r="GYH158" s="207"/>
      <c r="GYI158" s="207"/>
      <c r="GYJ158" s="208"/>
      <c r="GYK158" s="209"/>
      <c r="GYL158" s="207"/>
      <c r="GYM158" s="210"/>
      <c r="GYN158" s="209"/>
      <c r="GYO158" s="204"/>
      <c r="GYP158" s="204"/>
      <c r="GYQ158" s="204"/>
      <c r="GYR158" s="199"/>
      <c r="GYS158" s="167"/>
      <c r="GYT158" s="199"/>
      <c r="GYU158" s="200"/>
      <c r="GYV158" s="201"/>
      <c r="GYW158" s="202"/>
      <c r="GYX158" s="202"/>
      <c r="GYY158" s="202"/>
      <c r="GYZ158" s="202"/>
      <c r="GZA158" s="203"/>
      <c r="GZB158" s="204"/>
      <c r="GZC158" s="204"/>
      <c r="GZD158" s="204"/>
      <c r="GZE158" s="205"/>
      <c r="GZF158" s="206"/>
      <c r="GZG158" s="207"/>
      <c r="GZH158" s="207"/>
      <c r="GZI158" s="208"/>
      <c r="GZJ158" s="209"/>
      <c r="GZK158" s="207"/>
      <c r="GZL158" s="210"/>
      <c r="GZM158" s="209"/>
      <c r="GZN158" s="204"/>
      <c r="GZO158" s="204"/>
      <c r="GZP158" s="204"/>
      <c r="GZQ158" s="199"/>
      <c r="GZR158" s="167"/>
      <c r="GZS158" s="199"/>
      <c r="GZT158" s="200"/>
      <c r="GZU158" s="201"/>
      <c r="GZV158" s="202"/>
      <c r="GZW158" s="202"/>
      <c r="GZX158" s="202"/>
      <c r="GZY158" s="202"/>
      <c r="GZZ158" s="203"/>
      <c r="HAA158" s="204"/>
      <c r="HAB158" s="204"/>
      <c r="HAC158" s="204"/>
      <c r="HAD158" s="205"/>
      <c r="HAE158" s="206"/>
      <c r="HAF158" s="207"/>
      <c r="HAG158" s="207"/>
      <c r="HAH158" s="208"/>
      <c r="HAI158" s="209"/>
      <c r="HAJ158" s="207"/>
      <c r="HAK158" s="210"/>
      <c r="HAL158" s="209"/>
      <c r="HAM158" s="204"/>
      <c r="HAN158" s="204"/>
      <c r="HAO158" s="204"/>
      <c r="HAP158" s="199"/>
      <c r="HAQ158" s="167"/>
      <c r="HAR158" s="199"/>
      <c r="HAS158" s="200"/>
      <c r="HAT158" s="201"/>
      <c r="HAU158" s="202"/>
      <c r="HAV158" s="202"/>
      <c r="HAW158" s="202"/>
      <c r="HAX158" s="202"/>
      <c r="HAY158" s="203"/>
      <c r="HAZ158" s="204"/>
      <c r="HBA158" s="204"/>
      <c r="HBB158" s="204"/>
      <c r="HBC158" s="205"/>
      <c r="HBD158" s="206"/>
      <c r="HBE158" s="207"/>
      <c r="HBF158" s="207"/>
      <c r="HBG158" s="208"/>
      <c r="HBH158" s="209"/>
      <c r="HBI158" s="207"/>
      <c r="HBJ158" s="210"/>
      <c r="HBK158" s="209"/>
      <c r="HBL158" s="204"/>
      <c r="HBM158" s="204"/>
      <c r="HBN158" s="204"/>
      <c r="HBO158" s="199"/>
      <c r="HBP158" s="167"/>
      <c r="HBQ158" s="199"/>
      <c r="HBR158" s="200"/>
      <c r="HBS158" s="201"/>
      <c r="HBT158" s="202"/>
      <c r="HBU158" s="202"/>
      <c r="HBV158" s="202"/>
      <c r="HBW158" s="202"/>
      <c r="HBX158" s="203"/>
      <c r="HBY158" s="204"/>
      <c r="HBZ158" s="204"/>
      <c r="HCA158" s="204"/>
      <c r="HCB158" s="205"/>
      <c r="HCC158" s="206"/>
      <c r="HCD158" s="207"/>
      <c r="HCE158" s="207"/>
      <c r="HCF158" s="208"/>
      <c r="HCG158" s="209"/>
      <c r="HCH158" s="207"/>
      <c r="HCI158" s="210"/>
      <c r="HCJ158" s="209"/>
      <c r="HCK158" s="204"/>
      <c r="HCL158" s="204"/>
      <c r="HCM158" s="204"/>
      <c r="HCN158" s="199"/>
      <c r="HCO158" s="167"/>
      <c r="HCP158" s="199"/>
      <c r="HCQ158" s="200"/>
      <c r="HCR158" s="201"/>
      <c r="HCS158" s="202"/>
      <c r="HCT158" s="202"/>
      <c r="HCU158" s="202"/>
      <c r="HCV158" s="202"/>
      <c r="HCW158" s="203"/>
      <c r="HCX158" s="204"/>
      <c r="HCY158" s="204"/>
      <c r="HCZ158" s="204"/>
      <c r="HDA158" s="205"/>
      <c r="HDB158" s="206"/>
      <c r="HDC158" s="207"/>
      <c r="HDD158" s="207"/>
      <c r="HDE158" s="208"/>
      <c r="HDF158" s="209"/>
      <c r="HDG158" s="207"/>
      <c r="HDH158" s="210"/>
      <c r="HDI158" s="209"/>
      <c r="HDJ158" s="204"/>
      <c r="HDK158" s="204"/>
      <c r="HDL158" s="204"/>
      <c r="HDM158" s="199"/>
      <c r="HDN158" s="167"/>
      <c r="HDO158" s="199"/>
      <c r="HDP158" s="200"/>
      <c r="HDQ158" s="201"/>
      <c r="HDR158" s="202"/>
      <c r="HDS158" s="202"/>
      <c r="HDT158" s="202"/>
      <c r="HDU158" s="202"/>
      <c r="HDV158" s="203"/>
      <c r="HDW158" s="204"/>
      <c r="HDX158" s="204"/>
      <c r="HDY158" s="204"/>
      <c r="HDZ158" s="205"/>
      <c r="HEA158" s="206"/>
      <c r="HEB158" s="207"/>
      <c r="HEC158" s="207"/>
      <c r="HED158" s="208"/>
      <c r="HEE158" s="209"/>
      <c r="HEF158" s="207"/>
      <c r="HEG158" s="210"/>
      <c r="HEH158" s="209"/>
      <c r="HEI158" s="204"/>
      <c r="HEJ158" s="204"/>
      <c r="HEK158" s="204"/>
      <c r="HEL158" s="199"/>
      <c r="HEM158" s="167"/>
      <c r="HEN158" s="199"/>
      <c r="HEO158" s="200"/>
      <c r="HEP158" s="201"/>
      <c r="HEQ158" s="202"/>
      <c r="HER158" s="202"/>
      <c r="HES158" s="202"/>
      <c r="HET158" s="202"/>
      <c r="HEU158" s="203"/>
      <c r="HEV158" s="204"/>
      <c r="HEW158" s="204"/>
      <c r="HEX158" s="204"/>
      <c r="HEY158" s="205"/>
      <c r="HEZ158" s="206"/>
      <c r="HFA158" s="207"/>
      <c r="HFB158" s="207"/>
      <c r="HFC158" s="208"/>
      <c r="HFD158" s="209"/>
      <c r="HFE158" s="207"/>
      <c r="HFF158" s="210"/>
      <c r="HFG158" s="209"/>
      <c r="HFH158" s="204"/>
      <c r="HFI158" s="204"/>
      <c r="HFJ158" s="204"/>
      <c r="HFK158" s="199"/>
      <c r="HFL158" s="167"/>
      <c r="HFM158" s="199"/>
      <c r="HFN158" s="200"/>
      <c r="HFO158" s="201"/>
      <c r="HFP158" s="202"/>
      <c r="HFQ158" s="202"/>
      <c r="HFR158" s="202"/>
      <c r="HFS158" s="202"/>
      <c r="HFT158" s="203"/>
      <c r="HFU158" s="204"/>
      <c r="HFV158" s="204"/>
      <c r="HFW158" s="204"/>
      <c r="HFX158" s="205"/>
      <c r="HFY158" s="206"/>
      <c r="HFZ158" s="207"/>
      <c r="HGA158" s="207"/>
      <c r="HGB158" s="208"/>
      <c r="HGC158" s="209"/>
      <c r="HGD158" s="207"/>
      <c r="HGE158" s="210"/>
      <c r="HGF158" s="209"/>
      <c r="HGG158" s="204"/>
      <c r="HGH158" s="204"/>
      <c r="HGI158" s="204"/>
      <c r="HGJ158" s="199"/>
      <c r="HGK158" s="167"/>
      <c r="HGL158" s="199"/>
      <c r="HGM158" s="200"/>
      <c r="HGN158" s="201"/>
      <c r="HGO158" s="202"/>
      <c r="HGP158" s="202"/>
      <c r="HGQ158" s="202"/>
      <c r="HGR158" s="202"/>
      <c r="HGS158" s="203"/>
      <c r="HGT158" s="204"/>
      <c r="HGU158" s="204"/>
      <c r="HGV158" s="204"/>
      <c r="HGW158" s="205"/>
      <c r="HGX158" s="206"/>
      <c r="HGY158" s="207"/>
      <c r="HGZ158" s="207"/>
      <c r="HHA158" s="208"/>
      <c r="HHB158" s="209"/>
      <c r="HHC158" s="207"/>
      <c r="HHD158" s="210"/>
      <c r="HHE158" s="209"/>
      <c r="HHF158" s="204"/>
      <c r="HHG158" s="204"/>
      <c r="HHH158" s="204"/>
      <c r="HHI158" s="199"/>
      <c r="HHJ158" s="167"/>
      <c r="HHK158" s="199"/>
      <c r="HHL158" s="200"/>
      <c r="HHM158" s="201"/>
      <c r="HHN158" s="202"/>
      <c r="HHO158" s="202"/>
      <c r="HHP158" s="202"/>
      <c r="HHQ158" s="202"/>
      <c r="HHR158" s="203"/>
      <c r="HHS158" s="204"/>
      <c r="HHT158" s="204"/>
      <c r="HHU158" s="204"/>
      <c r="HHV158" s="205"/>
      <c r="HHW158" s="206"/>
      <c r="HHX158" s="207"/>
      <c r="HHY158" s="207"/>
      <c r="HHZ158" s="208"/>
      <c r="HIA158" s="209"/>
      <c r="HIB158" s="207"/>
      <c r="HIC158" s="210"/>
      <c r="HID158" s="209"/>
      <c r="HIE158" s="204"/>
      <c r="HIF158" s="204"/>
      <c r="HIG158" s="204"/>
      <c r="HIH158" s="199"/>
      <c r="HII158" s="167"/>
      <c r="HIJ158" s="199"/>
      <c r="HIK158" s="200"/>
      <c r="HIL158" s="201"/>
      <c r="HIM158" s="202"/>
      <c r="HIN158" s="202"/>
      <c r="HIO158" s="202"/>
      <c r="HIP158" s="202"/>
      <c r="HIQ158" s="203"/>
      <c r="HIR158" s="204"/>
      <c r="HIS158" s="204"/>
      <c r="HIT158" s="204"/>
      <c r="HIU158" s="205"/>
      <c r="HIV158" s="206"/>
      <c r="HIW158" s="207"/>
      <c r="HIX158" s="207"/>
      <c r="HIY158" s="208"/>
      <c r="HIZ158" s="209"/>
      <c r="HJA158" s="207"/>
      <c r="HJB158" s="210"/>
      <c r="HJC158" s="209"/>
      <c r="HJD158" s="204"/>
      <c r="HJE158" s="204"/>
      <c r="HJF158" s="204"/>
      <c r="HJG158" s="199"/>
      <c r="HJH158" s="167"/>
      <c r="HJI158" s="199"/>
      <c r="HJJ158" s="200"/>
      <c r="HJK158" s="201"/>
      <c r="HJL158" s="202"/>
      <c r="HJM158" s="202"/>
      <c r="HJN158" s="202"/>
      <c r="HJO158" s="202"/>
      <c r="HJP158" s="203"/>
      <c r="HJQ158" s="204"/>
      <c r="HJR158" s="204"/>
      <c r="HJS158" s="204"/>
      <c r="HJT158" s="205"/>
      <c r="HJU158" s="206"/>
      <c r="HJV158" s="207"/>
      <c r="HJW158" s="207"/>
      <c r="HJX158" s="208"/>
      <c r="HJY158" s="209"/>
      <c r="HJZ158" s="207"/>
      <c r="HKA158" s="210"/>
      <c r="HKB158" s="209"/>
      <c r="HKC158" s="204"/>
      <c r="HKD158" s="204"/>
      <c r="HKE158" s="204"/>
      <c r="HKF158" s="199"/>
      <c r="HKG158" s="167"/>
      <c r="HKH158" s="199"/>
      <c r="HKI158" s="200"/>
      <c r="HKJ158" s="201"/>
      <c r="HKK158" s="202"/>
      <c r="HKL158" s="202"/>
      <c r="HKM158" s="202"/>
      <c r="HKN158" s="202"/>
      <c r="HKO158" s="203"/>
      <c r="HKP158" s="204"/>
      <c r="HKQ158" s="204"/>
      <c r="HKR158" s="204"/>
      <c r="HKS158" s="205"/>
      <c r="HKT158" s="206"/>
      <c r="HKU158" s="207"/>
      <c r="HKV158" s="207"/>
      <c r="HKW158" s="208"/>
      <c r="HKX158" s="209"/>
      <c r="HKY158" s="207"/>
      <c r="HKZ158" s="210"/>
      <c r="HLA158" s="209"/>
      <c r="HLB158" s="204"/>
      <c r="HLC158" s="204"/>
      <c r="HLD158" s="204"/>
      <c r="HLE158" s="199"/>
      <c r="HLF158" s="167"/>
      <c r="HLG158" s="199"/>
      <c r="HLH158" s="200"/>
      <c r="HLI158" s="201"/>
      <c r="HLJ158" s="202"/>
      <c r="HLK158" s="202"/>
      <c r="HLL158" s="202"/>
      <c r="HLM158" s="202"/>
      <c r="HLN158" s="203"/>
      <c r="HLO158" s="204"/>
      <c r="HLP158" s="204"/>
      <c r="HLQ158" s="204"/>
      <c r="HLR158" s="205"/>
      <c r="HLS158" s="206"/>
      <c r="HLT158" s="207"/>
      <c r="HLU158" s="207"/>
      <c r="HLV158" s="208"/>
      <c r="HLW158" s="209"/>
      <c r="HLX158" s="207"/>
      <c r="HLY158" s="210"/>
      <c r="HLZ158" s="209"/>
      <c r="HMA158" s="204"/>
      <c r="HMB158" s="204"/>
      <c r="HMC158" s="204"/>
      <c r="HMD158" s="199"/>
      <c r="HME158" s="167"/>
      <c r="HMF158" s="199"/>
      <c r="HMG158" s="200"/>
      <c r="HMH158" s="201"/>
      <c r="HMI158" s="202"/>
      <c r="HMJ158" s="202"/>
      <c r="HMK158" s="202"/>
      <c r="HML158" s="202"/>
      <c r="HMM158" s="203"/>
      <c r="HMN158" s="204"/>
      <c r="HMO158" s="204"/>
      <c r="HMP158" s="204"/>
      <c r="HMQ158" s="205"/>
      <c r="HMR158" s="206"/>
      <c r="HMS158" s="207"/>
      <c r="HMT158" s="207"/>
      <c r="HMU158" s="208"/>
      <c r="HMV158" s="209"/>
      <c r="HMW158" s="207"/>
      <c r="HMX158" s="210"/>
      <c r="HMY158" s="209"/>
      <c r="HMZ158" s="204"/>
      <c r="HNA158" s="204"/>
      <c r="HNB158" s="204"/>
      <c r="HNC158" s="199"/>
      <c r="HND158" s="167"/>
      <c r="HNE158" s="199"/>
      <c r="HNF158" s="200"/>
      <c r="HNG158" s="201"/>
      <c r="HNH158" s="202"/>
      <c r="HNI158" s="202"/>
      <c r="HNJ158" s="202"/>
      <c r="HNK158" s="202"/>
      <c r="HNL158" s="203"/>
      <c r="HNM158" s="204"/>
      <c r="HNN158" s="204"/>
      <c r="HNO158" s="204"/>
      <c r="HNP158" s="205"/>
      <c r="HNQ158" s="206"/>
      <c r="HNR158" s="207"/>
      <c r="HNS158" s="207"/>
      <c r="HNT158" s="208"/>
      <c r="HNU158" s="209"/>
      <c r="HNV158" s="207"/>
      <c r="HNW158" s="210"/>
      <c r="HNX158" s="209"/>
      <c r="HNY158" s="204"/>
      <c r="HNZ158" s="204"/>
      <c r="HOA158" s="204"/>
      <c r="HOB158" s="199"/>
      <c r="HOC158" s="167"/>
      <c r="HOD158" s="199"/>
      <c r="HOE158" s="200"/>
      <c r="HOF158" s="201"/>
      <c r="HOG158" s="202"/>
      <c r="HOH158" s="202"/>
      <c r="HOI158" s="202"/>
      <c r="HOJ158" s="202"/>
      <c r="HOK158" s="203"/>
      <c r="HOL158" s="204"/>
      <c r="HOM158" s="204"/>
      <c r="HON158" s="204"/>
      <c r="HOO158" s="205"/>
      <c r="HOP158" s="206"/>
      <c r="HOQ158" s="207"/>
      <c r="HOR158" s="207"/>
      <c r="HOS158" s="208"/>
      <c r="HOT158" s="209"/>
      <c r="HOU158" s="207"/>
      <c r="HOV158" s="210"/>
      <c r="HOW158" s="209"/>
      <c r="HOX158" s="204"/>
      <c r="HOY158" s="204"/>
      <c r="HOZ158" s="204"/>
      <c r="HPA158" s="199"/>
      <c r="HPB158" s="167"/>
      <c r="HPC158" s="199"/>
      <c r="HPD158" s="200"/>
      <c r="HPE158" s="201"/>
      <c r="HPF158" s="202"/>
      <c r="HPG158" s="202"/>
      <c r="HPH158" s="202"/>
      <c r="HPI158" s="202"/>
      <c r="HPJ158" s="203"/>
      <c r="HPK158" s="204"/>
      <c r="HPL158" s="204"/>
      <c r="HPM158" s="204"/>
      <c r="HPN158" s="205"/>
      <c r="HPO158" s="206"/>
      <c r="HPP158" s="207"/>
      <c r="HPQ158" s="207"/>
      <c r="HPR158" s="208"/>
      <c r="HPS158" s="209"/>
      <c r="HPT158" s="207"/>
      <c r="HPU158" s="210"/>
      <c r="HPV158" s="209"/>
      <c r="HPW158" s="204"/>
      <c r="HPX158" s="204"/>
      <c r="HPY158" s="204"/>
      <c r="HPZ158" s="199"/>
      <c r="HQA158" s="167"/>
      <c r="HQB158" s="199"/>
      <c r="HQC158" s="200"/>
      <c r="HQD158" s="201"/>
      <c r="HQE158" s="202"/>
      <c r="HQF158" s="202"/>
      <c r="HQG158" s="202"/>
      <c r="HQH158" s="202"/>
      <c r="HQI158" s="203"/>
      <c r="HQJ158" s="204"/>
      <c r="HQK158" s="204"/>
      <c r="HQL158" s="204"/>
      <c r="HQM158" s="205"/>
      <c r="HQN158" s="206"/>
      <c r="HQO158" s="207"/>
      <c r="HQP158" s="207"/>
      <c r="HQQ158" s="208"/>
      <c r="HQR158" s="209"/>
      <c r="HQS158" s="207"/>
      <c r="HQT158" s="210"/>
      <c r="HQU158" s="209"/>
      <c r="HQV158" s="204"/>
      <c r="HQW158" s="204"/>
      <c r="HQX158" s="204"/>
      <c r="HQY158" s="199"/>
      <c r="HQZ158" s="167"/>
      <c r="HRA158" s="199"/>
      <c r="HRB158" s="200"/>
      <c r="HRC158" s="201"/>
      <c r="HRD158" s="202"/>
      <c r="HRE158" s="202"/>
      <c r="HRF158" s="202"/>
      <c r="HRG158" s="202"/>
      <c r="HRH158" s="203"/>
      <c r="HRI158" s="204"/>
      <c r="HRJ158" s="204"/>
      <c r="HRK158" s="204"/>
      <c r="HRL158" s="205"/>
      <c r="HRM158" s="206"/>
      <c r="HRN158" s="207"/>
      <c r="HRO158" s="207"/>
      <c r="HRP158" s="208"/>
      <c r="HRQ158" s="209"/>
      <c r="HRR158" s="207"/>
      <c r="HRS158" s="210"/>
      <c r="HRT158" s="209"/>
      <c r="HRU158" s="204"/>
      <c r="HRV158" s="204"/>
      <c r="HRW158" s="204"/>
      <c r="HRX158" s="199"/>
      <c r="HRY158" s="167"/>
      <c r="HRZ158" s="199"/>
      <c r="HSA158" s="200"/>
      <c r="HSB158" s="201"/>
      <c r="HSC158" s="202"/>
      <c r="HSD158" s="202"/>
      <c r="HSE158" s="202"/>
      <c r="HSF158" s="202"/>
      <c r="HSG158" s="203"/>
      <c r="HSH158" s="204"/>
      <c r="HSI158" s="204"/>
      <c r="HSJ158" s="204"/>
      <c r="HSK158" s="205"/>
      <c r="HSL158" s="206"/>
      <c r="HSM158" s="207"/>
      <c r="HSN158" s="207"/>
      <c r="HSO158" s="208"/>
      <c r="HSP158" s="209"/>
      <c r="HSQ158" s="207"/>
      <c r="HSR158" s="210"/>
      <c r="HSS158" s="209"/>
      <c r="HST158" s="204"/>
      <c r="HSU158" s="204"/>
      <c r="HSV158" s="204"/>
      <c r="HSW158" s="199"/>
      <c r="HSX158" s="167"/>
      <c r="HSY158" s="199"/>
      <c r="HSZ158" s="200"/>
      <c r="HTA158" s="201"/>
      <c r="HTB158" s="202"/>
      <c r="HTC158" s="202"/>
      <c r="HTD158" s="202"/>
      <c r="HTE158" s="202"/>
      <c r="HTF158" s="203"/>
      <c r="HTG158" s="204"/>
      <c r="HTH158" s="204"/>
      <c r="HTI158" s="204"/>
      <c r="HTJ158" s="205"/>
      <c r="HTK158" s="206"/>
      <c r="HTL158" s="207"/>
      <c r="HTM158" s="207"/>
      <c r="HTN158" s="208"/>
      <c r="HTO158" s="209"/>
      <c r="HTP158" s="207"/>
      <c r="HTQ158" s="210"/>
      <c r="HTR158" s="209"/>
      <c r="HTS158" s="204"/>
      <c r="HTT158" s="204"/>
      <c r="HTU158" s="204"/>
      <c r="HTV158" s="199"/>
      <c r="HTW158" s="167"/>
      <c r="HTX158" s="199"/>
      <c r="HTY158" s="200"/>
      <c r="HTZ158" s="201"/>
      <c r="HUA158" s="202"/>
      <c r="HUB158" s="202"/>
      <c r="HUC158" s="202"/>
      <c r="HUD158" s="202"/>
      <c r="HUE158" s="203"/>
      <c r="HUF158" s="204"/>
      <c r="HUG158" s="204"/>
      <c r="HUH158" s="204"/>
      <c r="HUI158" s="205"/>
      <c r="HUJ158" s="206"/>
      <c r="HUK158" s="207"/>
      <c r="HUL158" s="207"/>
      <c r="HUM158" s="208"/>
      <c r="HUN158" s="209"/>
      <c r="HUO158" s="207"/>
      <c r="HUP158" s="210"/>
      <c r="HUQ158" s="209"/>
      <c r="HUR158" s="204"/>
      <c r="HUS158" s="204"/>
      <c r="HUT158" s="204"/>
      <c r="HUU158" s="199"/>
      <c r="HUV158" s="167"/>
      <c r="HUW158" s="199"/>
      <c r="HUX158" s="200"/>
      <c r="HUY158" s="201"/>
      <c r="HUZ158" s="202"/>
      <c r="HVA158" s="202"/>
      <c r="HVB158" s="202"/>
      <c r="HVC158" s="202"/>
      <c r="HVD158" s="203"/>
      <c r="HVE158" s="204"/>
      <c r="HVF158" s="204"/>
      <c r="HVG158" s="204"/>
      <c r="HVH158" s="205"/>
      <c r="HVI158" s="206"/>
      <c r="HVJ158" s="207"/>
      <c r="HVK158" s="207"/>
      <c r="HVL158" s="208"/>
      <c r="HVM158" s="209"/>
      <c r="HVN158" s="207"/>
      <c r="HVO158" s="210"/>
      <c r="HVP158" s="209"/>
      <c r="HVQ158" s="204"/>
      <c r="HVR158" s="204"/>
      <c r="HVS158" s="204"/>
      <c r="HVT158" s="199"/>
      <c r="HVU158" s="167"/>
      <c r="HVV158" s="199"/>
      <c r="HVW158" s="200"/>
      <c r="HVX158" s="201"/>
      <c r="HVY158" s="202"/>
      <c r="HVZ158" s="202"/>
      <c r="HWA158" s="202"/>
      <c r="HWB158" s="202"/>
      <c r="HWC158" s="203"/>
      <c r="HWD158" s="204"/>
      <c r="HWE158" s="204"/>
      <c r="HWF158" s="204"/>
      <c r="HWG158" s="205"/>
      <c r="HWH158" s="206"/>
      <c r="HWI158" s="207"/>
      <c r="HWJ158" s="207"/>
      <c r="HWK158" s="208"/>
      <c r="HWL158" s="209"/>
      <c r="HWM158" s="207"/>
      <c r="HWN158" s="210"/>
      <c r="HWO158" s="209"/>
      <c r="HWP158" s="204"/>
      <c r="HWQ158" s="204"/>
      <c r="HWR158" s="204"/>
      <c r="HWS158" s="199"/>
      <c r="HWT158" s="167"/>
      <c r="HWU158" s="199"/>
      <c r="HWV158" s="200"/>
      <c r="HWW158" s="201"/>
      <c r="HWX158" s="202"/>
      <c r="HWY158" s="202"/>
      <c r="HWZ158" s="202"/>
      <c r="HXA158" s="202"/>
      <c r="HXB158" s="203"/>
      <c r="HXC158" s="204"/>
      <c r="HXD158" s="204"/>
      <c r="HXE158" s="204"/>
      <c r="HXF158" s="205"/>
      <c r="HXG158" s="206"/>
      <c r="HXH158" s="207"/>
      <c r="HXI158" s="207"/>
      <c r="HXJ158" s="208"/>
      <c r="HXK158" s="209"/>
      <c r="HXL158" s="207"/>
      <c r="HXM158" s="210"/>
      <c r="HXN158" s="209"/>
      <c r="HXO158" s="204"/>
      <c r="HXP158" s="204"/>
      <c r="HXQ158" s="204"/>
      <c r="HXR158" s="199"/>
      <c r="HXS158" s="167"/>
      <c r="HXT158" s="199"/>
      <c r="HXU158" s="200"/>
      <c r="HXV158" s="201"/>
      <c r="HXW158" s="202"/>
      <c r="HXX158" s="202"/>
      <c r="HXY158" s="202"/>
      <c r="HXZ158" s="202"/>
      <c r="HYA158" s="203"/>
      <c r="HYB158" s="204"/>
      <c r="HYC158" s="204"/>
      <c r="HYD158" s="204"/>
      <c r="HYE158" s="205"/>
      <c r="HYF158" s="206"/>
      <c r="HYG158" s="207"/>
      <c r="HYH158" s="207"/>
      <c r="HYI158" s="208"/>
      <c r="HYJ158" s="209"/>
      <c r="HYK158" s="207"/>
      <c r="HYL158" s="210"/>
      <c r="HYM158" s="209"/>
      <c r="HYN158" s="204"/>
      <c r="HYO158" s="204"/>
      <c r="HYP158" s="204"/>
      <c r="HYQ158" s="199"/>
      <c r="HYR158" s="167"/>
      <c r="HYS158" s="199"/>
      <c r="HYT158" s="200"/>
      <c r="HYU158" s="201"/>
      <c r="HYV158" s="202"/>
      <c r="HYW158" s="202"/>
      <c r="HYX158" s="202"/>
      <c r="HYY158" s="202"/>
      <c r="HYZ158" s="203"/>
      <c r="HZA158" s="204"/>
      <c r="HZB158" s="204"/>
      <c r="HZC158" s="204"/>
      <c r="HZD158" s="205"/>
      <c r="HZE158" s="206"/>
      <c r="HZF158" s="207"/>
      <c r="HZG158" s="207"/>
      <c r="HZH158" s="208"/>
      <c r="HZI158" s="209"/>
      <c r="HZJ158" s="207"/>
      <c r="HZK158" s="210"/>
      <c r="HZL158" s="209"/>
      <c r="HZM158" s="204"/>
      <c r="HZN158" s="204"/>
      <c r="HZO158" s="204"/>
      <c r="HZP158" s="199"/>
      <c r="HZQ158" s="167"/>
      <c r="HZR158" s="199"/>
      <c r="HZS158" s="200"/>
      <c r="HZT158" s="201"/>
      <c r="HZU158" s="202"/>
      <c r="HZV158" s="202"/>
      <c r="HZW158" s="202"/>
      <c r="HZX158" s="202"/>
      <c r="HZY158" s="203"/>
      <c r="HZZ158" s="204"/>
      <c r="IAA158" s="204"/>
      <c r="IAB158" s="204"/>
      <c r="IAC158" s="205"/>
      <c r="IAD158" s="206"/>
      <c r="IAE158" s="207"/>
      <c r="IAF158" s="207"/>
      <c r="IAG158" s="208"/>
      <c r="IAH158" s="209"/>
      <c r="IAI158" s="207"/>
      <c r="IAJ158" s="210"/>
      <c r="IAK158" s="209"/>
      <c r="IAL158" s="204"/>
      <c r="IAM158" s="204"/>
      <c r="IAN158" s="204"/>
      <c r="IAO158" s="199"/>
      <c r="IAP158" s="167"/>
      <c r="IAQ158" s="199"/>
      <c r="IAR158" s="200"/>
      <c r="IAS158" s="201"/>
      <c r="IAT158" s="202"/>
      <c r="IAU158" s="202"/>
      <c r="IAV158" s="202"/>
      <c r="IAW158" s="202"/>
      <c r="IAX158" s="203"/>
      <c r="IAY158" s="204"/>
      <c r="IAZ158" s="204"/>
      <c r="IBA158" s="204"/>
      <c r="IBB158" s="205"/>
      <c r="IBC158" s="206"/>
      <c r="IBD158" s="207"/>
      <c r="IBE158" s="207"/>
      <c r="IBF158" s="208"/>
      <c r="IBG158" s="209"/>
      <c r="IBH158" s="207"/>
      <c r="IBI158" s="210"/>
      <c r="IBJ158" s="209"/>
      <c r="IBK158" s="204"/>
      <c r="IBL158" s="204"/>
      <c r="IBM158" s="204"/>
      <c r="IBN158" s="199"/>
      <c r="IBO158" s="167"/>
      <c r="IBP158" s="199"/>
      <c r="IBQ158" s="200"/>
      <c r="IBR158" s="201"/>
      <c r="IBS158" s="202"/>
      <c r="IBT158" s="202"/>
      <c r="IBU158" s="202"/>
      <c r="IBV158" s="202"/>
      <c r="IBW158" s="203"/>
      <c r="IBX158" s="204"/>
      <c r="IBY158" s="204"/>
      <c r="IBZ158" s="204"/>
      <c r="ICA158" s="205"/>
      <c r="ICB158" s="206"/>
      <c r="ICC158" s="207"/>
      <c r="ICD158" s="207"/>
      <c r="ICE158" s="208"/>
      <c r="ICF158" s="209"/>
      <c r="ICG158" s="207"/>
      <c r="ICH158" s="210"/>
      <c r="ICI158" s="209"/>
      <c r="ICJ158" s="204"/>
      <c r="ICK158" s="204"/>
      <c r="ICL158" s="204"/>
      <c r="ICM158" s="199"/>
      <c r="ICN158" s="167"/>
      <c r="ICO158" s="199"/>
      <c r="ICP158" s="200"/>
      <c r="ICQ158" s="201"/>
      <c r="ICR158" s="202"/>
      <c r="ICS158" s="202"/>
      <c r="ICT158" s="202"/>
      <c r="ICU158" s="202"/>
      <c r="ICV158" s="203"/>
      <c r="ICW158" s="204"/>
      <c r="ICX158" s="204"/>
      <c r="ICY158" s="204"/>
      <c r="ICZ158" s="205"/>
      <c r="IDA158" s="206"/>
      <c r="IDB158" s="207"/>
      <c r="IDC158" s="207"/>
      <c r="IDD158" s="208"/>
      <c r="IDE158" s="209"/>
      <c r="IDF158" s="207"/>
      <c r="IDG158" s="210"/>
      <c r="IDH158" s="209"/>
      <c r="IDI158" s="204"/>
      <c r="IDJ158" s="204"/>
      <c r="IDK158" s="204"/>
      <c r="IDL158" s="199"/>
      <c r="IDM158" s="167"/>
      <c r="IDN158" s="199"/>
      <c r="IDO158" s="200"/>
      <c r="IDP158" s="201"/>
      <c r="IDQ158" s="202"/>
      <c r="IDR158" s="202"/>
      <c r="IDS158" s="202"/>
      <c r="IDT158" s="202"/>
      <c r="IDU158" s="203"/>
      <c r="IDV158" s="204"/>
      <c r="IDW158" s="204"/>
      <c r="IDX158" s="204"/>
      <c r="IDY158" s="205"/>
      <c r="IDZ158" s="206"/>
      <c r="IEA158" s="207"/>
      <c r="IEB158" s="207"/>
      <c r="IEC158" s="208"/>
      <c r="IED158" s="209"/>
      <c r="IEE158" s="207"/>
      <c r="IEF158" s="210"/>
      <c r="IEG158" s="209"/>
      <c r="IEH158" s="204"/>
      <c r="IEI158" s="204"/>
      <c r="IEJ158" s="204"/>
      <c r="IEK158" s="199"/>
      <c r="IEL158" s="167"/>
      <c r="IEM158" s="199"/>
      <c r="IEN158" s="200"/>
      <c r="IEO158" s="201"/>
      <c r="IEP158" s="202"/>
      <c r="IEQ158" s="202"/>
      <c r="IER158" s="202"/>
      <c r="IES158" s="202"/>
      <c r="IET158" s="203"/>
      <c r="IEU158" s="204"/>
      <c r="IEV158" s="204"/>
      <c r="IEW158" s="204"/>
      <c r="IEX158" s="205"/>
      <c r="IEY158" s="206"/>
      <c r="IEZ158" s="207"/>
      <c r="IFA158" s="207"/>
      <c r="IFB158" s="208"/>
      <c r="IFC158" s="209"/>
      <c r="IFD158" s="207"/>
      <c r="IFE158" s="210"/>
      <c r="IFF158" s="209"/>
      <c r="IFG158" s="204"/>
      <c r="IFH158" s="204"/>
      <c r="IFI158" s="204"/>
      <c r="IFJ158" s="199"/>
      <c r="IFK158" s="167"/>
      <c r="IFL158" s="199"/>
      <c r="IFM158" s="200"/>
      <c r="IFN158" s="201"/>
      <c r="IFO158" s="202"/>
      <c r="IFP158" s="202"/>
      <c r="IFQ158" s="202"/>
      <c r="IFR158" s="202"/>
      <c r="IFS158" s="203"/>
      <c r="IFT158" s="204"/>
      <c r="IFU158" s="204"/>
      <c r="IFV158" s="204"/>
      <c r="IFW158" s="205"/>
      <c r="IFX158" s="206"/>
      <c r="IFY158" s="207"/>
      <c r="IFZ158" s="207"/>
      <c r="IGA158" s="208"/>
      <c r="IGB158" s="209"/>
      <c r="IGC158" s="207"/>
      <c r="IGD158" s="210"/>
      <c r="IGE158" s="209"/>
      <c r="IGF158" s="204"/>
      <c r="IGG158" s="204"/>
      <c r="IGH158" s="204"/>
      <c r="IGI158" s="199"/>
      <c r="IGJ158" s="167"/>
      <c r="IGK158" s="199"/>
      <c r="IGL158" s="200"/>
      <c r="IGM158" s="201"/>
      <c r="IGN158" s="202"/>
      <c r="IGO158" s="202"/>
      <c r="IGP158" s="202"/>
      <c r="IGQ158" s="202"/>
      <c r="IGR158" s="203"/>
      <c r="IGS158" s="204"/>
      <c r="IGT158" s="204"/>
      <c r="IGU158" s="204"/>
      <c r="IGV158" s="205"/>
      <c r="IGW158" s="206"/>
      <c r="IGX158" s="207"/>
      <c r="IGY158" s="207"/>
      <c r="IGZ158" s="208"/>
      <c r="IHA158" s="209"/>
      <c r="IHB158" s="207"/>
      <c r="IHC158" s="210"/>
      <c r="IHD158" s="209"/>
      <c r="IHE158" s="204"/>
      <c r="IHF158" s="204"/>
      <c r="IHG158" s="204"/>
      <c r="IHH158" s="199"/>
      <c r="IHI158" s="167"/>
      <c r="IHJ158" s="199"/>
      <c r="IHK158" s="200"/>
      <c r="IHL158" s="201"/>
      <c r="IHM158" s="202"/>
      <c r="IHN158" s="202"/>
      <c r="IHO158" s="202"/>
      <c r="IHP158" s="202"/>
      <c r="IHQ158" s="203"/>
      <c r="IHR158" s="204"/>
      <c r="IHS158" s="204"/>
      <c r="IHT158" s="204"/>
      <c r="IHU158" s="205"/>
      <c r="IHV158" s="206"/>
      <c r="IHW158" s="207"/>
      <c r="IHX158" s="207"/>
      <c r="IHY158" s="208"/>
      <c r="IHZ158" s="209"/>
      <c r="IIA158" s="207"/>
      <c r="IIB158" s="210"/>
      <c r="IIC158" s="209"/>
      <c r="IID158" s="204"/>
      <c r="IIE158" s="204"/>
      <c r="IIF158" s="204"/>
      <c r="IIG158" s="199"/>
      <c r="IIH158" s="167"/>
      <c r="III158" s="199"/>
      <c r="IIJ158" s="200"/>
      <c r="IIK158" s="201"/>
      <c r="IIL158" s="202"/>
      <c r="IIM158" s="202"/>
      <c r="IIN158" s="202"/>
      <c r="IIO158" s="202"/>
      <c r="IIP158" s="203"/>
      <c r="IIQ158" s="204"/>
      <c r="IIR158" s="204"/>
      <c r="IIS158" s="204"/>
      <c r="IIT158" s="205"/>
      <c r="IIU158" s="206"/>
      <c r="IIV158" s="207"/>
      <c r="IIW158" s="207"/>
      <c r="IIX158" s="208"/>
      <c r="IIY158" s="209"/>
      <c r="IIZ158" s="207"/>
      <c r="IJA158" s="210"/>
      <c r="IJB158" s="209"/>
      <c r="IJC158" s="204"/>
      <c r="IJD158" s="204"/>
      <c r="IJE158" s="204"/>
      <c r="IJF158" s="199"/>
      <c r="IJG158" s="167"/>
      <c r="IJH158" s="199"/>
      <c r="IJI158" s="200"/>
      <c r="IJJ158" s="201"/>
      <c r="IJK158" s="202"/>
      <c r="IJL158" s="202"/>
      <c r="IJM158" s="202"/>
      <c r="IJN158" s="202"/>
      <c r="IJO158" s="203"/>
      <c r="IJP158" s="204"/>
      <c r="IJQ158" s="204"/>
      <c r="IJR158" s="204"/>
      <c r="IJS158" s="205"/>
      <c r="IJT158" s="206"/>
      <c r="IJU158" s="207"/>
      <c r="IJV158" s="207"/>
      <c r="IJW158" s="208"/>
      <c r="IJX158" s="209"/>
      <c r="IJY158" s="207"/>
      <c r="IJZ158" s="210"/>
      <c r="IKA158" s="209"/>
      <c r="IKB158" s="204"/>
      <c r="IKC158" s="204"/>
      <c r="IKD158" s="204"/>
      <c r="IKE158" s="199"/>
      <c r="IKF158" s="167"/>
      <c r="IKG158" s="199"/>
      <c r="IKH158" s="200"/>
      <c r="IKI158" s="201"/>
      <c r="IKJ158" s="202"/>
      <c r="IKK158" s="202"/>
      <c r="IKL158" s="202"/>
      <c r="IKM158" s="202"/>
      <c r="IKN158" s="203"/>
      <c r="IKO158" s="204"/>
      <c r="IKP158" s="204"/>
      <c r="IKQ158" s="204"/>
      <c r="IKR158" s="205"/>
      <c r="IKS158" s="206"/>
      <c r="IKT158" s="207"/>
      <c r="IKU158" s="207"/>
      <c r="IKV158" s="208"/>
      <c r="IKW158" s="209"/>
      <c r="IKX158" s="207"/>
      <c r="IKY158" s="210"/>
      <c r="IKZ158" s="209"/>
      <c r="ILA158" s="204"/>
      <c r="ILB158" s="204"/>
      <c r="ILC158" s="204"/>
      <c r="ILD158" s="199"/>
      <c r="ILE158" s="167"/>
      <c r="ILF158" s="199"/>
      <c r="ILG158" s="200"/>
      <c r="ILH158" s="201"/>
      <c r="ILI158" s="202"/>
      <c r="ILJ158" s="202"/>
      <c r="ILK158" s="202"/>
      <c r="ILL158" s="202"/>
      <c r="ILM158" s="203"/>
      <c r="ILN158" s="204"/>
      <c r="ILO158" s="204"/>
      <c r="ILP158" s="204"/>
      <c r="ILQ158" s="205"/>
      <c r="ILR158" s="206"/>
      <c r="ILS158" s="207"/>
      <c r="ILT158" s="207"/>
      <c r="ILU158" s="208"/>
      <c r="ILV158" s="209"/>
      <c r="ILW158" s="207"/>
      <c r="ILX158" s="210"/>
      <c r="ILY158" s="209"/>
      <c r="ILZ158" s="204"/>
      <c r="IMA158" s="204"/>
      <c r="IMB158" s="204"/>
      <c r="IMC158" s="199"/>
      <c r="IMD158" s="167"/>
      <c r="IME158" s="199"/>
      <c r="IMF158" s="200"/>
      <c r="IMG158" s="201"/>
      <c r="IMH158" s="202"/>
      <c r="IMI158" s="202"/>
      <c r="IMJ158" s="202"/>
      <c r="IMK158" s="202"/>
      <c r="IML158" s="203"/>
      <c r="IMM158" s="204"/>
      <c r="IMN158" s="204"/>
      <c r="IMO158" s="204"/>
      <c r="IMP158" s="205"/>
      <c r="IMQ158" s="206"/>
      <c r="IMR158" s="207"/>
      <c r="IMS158" s="207"/>
      <c r="IMT158" s="208"/>
      <c r="IMU158" s="209"/>
      <c r="IMV158" s="207"/>
      <c r="IMW158" s="210"/>
      <c r="IMX158" s="209"/>
      <c r="IMY158" s="204"/>
      <c r="IMZ158" s="204"/>
      <c r="INA158" s="204"/>
      <c r="INB158" s="199"/>
      <c r="INC158" s="167"/>
      <c r="IND158" s="199"/>
      <c r="INE158" s="200"/>
      <c r="INF158" s="201"/>
      <c r="ING158" s="202"/>
      <c r="INH158" s="202"/>
      <c r="INI158" s="202"/>
      <c r="INJ158" s="202"/>
      <c r="INK158" s="203"/>
      <c r="INL158" s="204"/>
      <c r="INM158" s="204"/>
      <c r="INN158" s="204"/>
      <c r="INO158" s="205"/>
      <c r="INP158" s="206"/>
      <c r="INQ158" s="207"/>
      <c r="INR158" s="207"/>
      <c r="INS158" s="208"/>
      <c r="INT158" s="209"/>
      <c r="INU158" s="207"/>
      <c r="INV158" s="210"/>
      <c r="INW158" s="209"/>
      <c r="INX158" s="204"/>
      <c r="INY158" s="204"/>
      <c r="INZ158" s="204"/>
      <c r="IOA158" s="199"/>
      <c r="IOB158" s="167"/>
      <c r="IOC158" s="199"/>
      <c r="IOD158" s="200"/>
      <c r="IOE158" s="201"/>
      <c r="IOF158" s="202"/>
      <c r="IOG158" s="202"/>
      <c r="IOH158" s="202"/>
      <c r="IOI158" s="202"/>
      <c r="IOJ158" s="203"/>
      <c r="IOK158" s="204"/>
      <c r="IOL158" s="204"/>
      <c r="IOM158" s="204"/>
      <c r="ION158" s="205"/>
      <c r="IOO158" s="206"/>
      <c r="IOP158" s="207"/>
      <c r="IOQ158" s="207"/>
      <c r="IOR158" s="208"/>
      <c r="IOS158" s="209"/>
      <c r="IOT158" s="207"/>
      <c r="IOU158" s="210"/>
      <c r="IOV158" s="209"/>
      <c r="IOW158" s="204"/>
      <c r="IOX158" s="204"/>
      <c r="IOY158" s="204"/>
      <c r="IOZ158" s="199"/>
      <c r="IPA158" s="167"/>
      <c r="IPB158" s="199"/>
      <c r="IPC158" s="200"/>
      <c r="IPD158" s="201"/>
      <c r="IPE158" s="202"/>
      <c r="IPF158" s="202"/>
      <c r="IPG158" s="202"/>
      <c r="IPH158" s="202"/>
      <c r="IPI158" s="203"/>
      <c r="IPJ158" s="204"/>
      <c r="IPK158" s="204"/>
      <c r="IPL158" s="204"/>
      <c r="IPM158" s="205"/>
      <c r="IPN158" s="206"/>
      <c r="IPO158" s="207"/>
      <c r="IPP158" s="207"/>
      <c r="IPQ158" s="208"/>
      <c r="IPR158" s="209"/>
      <c r="IPS158" s="207"/>
      <c r="IPT158" s="210"/>
      <c r="IPU158" s="209"/>
      <c r="IPV158" s="204"/>
      <c r="IPW158" s="204"/>
      <c r="IPX158" s="204"/>
      <c r="IPY158" s="199"/>
      <c r="IPZ158" s="167"/>
      <c r="IQA158" s="199"/>
      <c r="IQB158" s="200"/>
      <c r="IQC158" s="201"/>
      <c r="IQD158" s="202"/>
      <c r="IQE158" s="202"/>
      <c r="IQF158" s="202"/>
      <c r="IQG158" s="202"/>
      <c r="IQH158" s="203"/>
      <c r="IQI158" s="204"/>
      <c r="IQJ158" s="204"/>
      <c r="IQK158" s="204"/>
      <c r="IQL158" s="205"/>
      <c r="IQM158" s="206"/>
      <c r="IQN158" s="207"/>
      <c r="IQO158" s="207"/>
      <c r="IQP158" s="208"/>
      <c r="IQQ158" s="209"/>
      <c r="IQR158" s="207"/>
      <c r="IQS158" s="210"/>
      <c r="IQT158" s="209"/>
      <c r="IQU158" s="204"/>
      <c r="IQV158" s="204"/>
      <c r="IQW158" s="204"/>
      <c r="IQX158" s="199"/>
      <c r="IQY158" s="167"/>
      <c r="IQZ158" s="199"/>
      <c r="IRA158" s="200"/>
      <c r="IRB158" s="201"/>
      <c r="IRC158" s="202"/>
      <c r="IRD158" s="202"/>
      <c r="IRE158" s="202"/>
      <c r="IRF158" s="202"/>
      <c r="IRG158" s="203"/>
      <c r="IRH158" s="204"/>
      <c r="IRI158" s="204"/>
      <c r="IRJ158" s="204"/>
      <c r="IRK158" s="205"/>
      <c r="IRL158" s="206"/>
      <c r="IRM158" s="207"/>
      <c r="IRN158" s="207"/>
      <c r="IRO158" s="208"/>
      <c r="IRP158" s="209"/>
      <c r="IRQ158" s="207"/>
      <c r="IRR158" s="210"/>
      <c r="IRS158" s="209"/>
      <c r="IRT158" s="204"/>
      <c r="IRU158" s="204"/>
      <c r="IRV158" s="204"/>
      <c r="IRW158" s="199"/>
      <c r="IRX158" s="167"/>
      <c r="IRY158" s="199"/>
      <c r="IRZ158" s="200"/>
      <c r="ISA158" s="201"/>
      <c r="ISB158" s="202"/>
      <c r="ISC158" s="202"/>
      <c r="ISD158" s="202"/>
      <c r="ISE158" s="202"/>
      <c r="ISF158" s="203"/>
      <c r="ISG158" s="204"/>
      <c r="ISH158" s="204"/>
      <c r="ISI158" s="204"/>
      <c r="ISJ158" s="205"/>
      <c r="ISK158" s="206"/>
      <c r="ISL158" s="207"/>
      <c r="ISM158" s="207"/>
      <c r="ISN158" s="208"/>
      <c r="ISO158" s="209"/>
      <c r="ISP158" s="207"/>
      <c r="ISQ158" s="210"/>
      <c r="ISR158" s="209"/>
      <c r="ISS158" s="204"/>
      <c r="IST158" s="204"/>
      <c r="ISU158" s="204"/>
      <c r="ISV158" s="199"/>
      <c r="ISW158" s="167"/>
      <c r="ISX158" s="199"/>
      <c r="ISY158" s="200"/>
      <c r="ISZ158" s="201"/>
      <c r="ITA158" s="202"/>
      <c r="ITB158" s="202"/>
      <c r="ITC158" s="202"/>
      <c r="ITD158" s="202"/>
      <c r="ITE158" s="203"/>
      <c r="ITF158" s="204"/>
      <c r="ITG158" s="204"/>
      <c r="ITH158" s="204"/>
      <c r="ITI158" s="205"/>
      <c r="ITJ158" s="206"/>
      <c r="ITK158" s="207"/>
      <c r="ITL158" s="207"/>
      <c r="ITM158" s="208"/>
      <c r="ITN158" s="209"/>
      <c r="ITO158" s="207"/>
      <c r="ITP158" s="210"/>
      <c r="ITQ158" s="209"/>
      <c r="ITR158" s="204"/>
      <c r="ITS158" s="204"/>
      <c r="ITT158" s="204"/>
      <c r="ITU158" s="199"/>
      <c r="ITV158" s="167"/>
      <c r="ITW158" s="199"/>
      <c r="ITX158" s="200"/>
      <c r="ITY158" s="201"/>
      <c r="ITZ158" s="202"/>
      <c r="IUA158" s="202"/>
      <c r="IUB158" s="202"/>
      <c r="IUC158" s="202"/>
      <c r="IUD158" s="203"/>
      <c r="IUE158" s="204"/>
      <c r="IUF158" s="204"/>
      <c r="IUG158" s="204"/>
      <c r="IUH158" s="205"/>
      <c r="IUI158" s="206"/>
      <c r="IUJ158" s="207"/>
      <c r="IUK158" s="207"/>
      <c r="IUL158" s="208"/>
      <c r="IUM158" s="209"/>
      <c r="IUN158" s="207"/>
      <c r="IUO158" s="210"/>
      <c r="IUP158" s="209"/>
      <c r="IUQ158" s="204"/>
      <c r="IUR158" s="204"/>
      <c r="IUS158" s="204"/>
      <c r="IUT158" s="199"/>
      <c r="IUU158" s="167"/>
      <c r="IUV158" s="199"/>
      <c r="IUW158" s="200"/>
      <c r="IUX158" s="201"/>
      <c r="IUY158" s="202"/>
      <c r="IUZ158" s="202"/>
      <c r="IVA158" s="202"/>
      <c r="IVB158" s="202"/>
      <c r="IVC158" s="203"/>
      <c r="IVD158" s="204"/>
      <c r="IVE158" s="204"/>
      <c r="IVF158" s="204"/>
      <c r="IVG158" s="205"/>
      <c r="IVH158" s="206"/>
      <c r="IVI158" s="207"/>
      <c r="IVJ158" s="207"/>
      <c r="IVK158" s="208"/>
      <c r="IVL158" s="209"/>
      <c r="IVM158" s="207"/>
      <c r="IVN158" s="210"/>
      <c r="IVO158" s="209"/>
      <c r="IVP158" s="204"/>
      <c r="IVQ158" s="204"/>
      <c r="IVR158" s="204"/>
      <c r="IVS158" s="199"/>
      <c r="IVT158" s="167"/>
      <c r="IVU158" s="199"/>
      <c r="IVV158" s="200"/>
      <c r="IVW158" s="201"/>
      <c r="IVX158" s="202"/>
      <c r="IVY158" s="202"/>
      <c r="IVZ158" s="202"/>
      <c r="IWA158" s="202"/>
      <c r="IWB158" s="203"/>
      <c r="IWC158" s="204"/>
      <c r="IWD158" s="204"/>
      <c r="IWE158" s="204"/>
      <c r="IWF158" s="205"/>
      <c r="IWG158" s="206"/>
      <c r="IWH158" s="207"/>
      <c r="IWI158" s="207"/>
      <c r="IWJ158" s="208"/>
      <c r="IWK158" s="209"/>
      <c r="IWL158" s="207"/>
      <c r="IWM158" s="210"/>
      <c r="IWN158" s="209"/>
      <c r="IWO158" s="204"/>
      <c r="IWP158" s="204"/>
      <c r="IWQ158" s="204"/>
      <c r="IWR158" s="199"/>
      <c r="IWS158" s="167"/>
      <c r="IWT158" s="199"/>
      <c r="IWU158" s="200"/>
      <c r="IWV158" s="201"/>
      <c r="IWW158" s="202"/>
      <c r="IWX158" s="202"/>
      <c r="IWY158" s="202"/>
      <c r="IWZ158" s="202"/>
      <c r="IXA158" s="203"/>
      <c r="IXB158" s="204"/>
      <c r="IXC158" s="204"/>
      <c r="IXD158" s="204"/>
      <c r="IXE158" s="205"/>
      <c r="IXF158" s="206"/>
      <c r="IXG158" s="207"/>
      <c r="IXH158" s="207"/>
      <c r="IXI158" s="208"/>
      <c r="IXJ158" s="209"/>
      <c r="IXK158" s="207"/>
      <c r="IXL158" s="210"/>
      <c r="IXM158" s="209"/>
      <c r="IXN158" s="204"/>
      <c r="IXO158" s="204"/>
      <c r="IXP158" s="204"/>
      <c r="IXQ158" s="199"/>
      <c r="IXR158" s="167"/>
      <c r="IXS158" s="199"/>
      <c r="IXT158" s="200"/>
      <c r="IXU158" s="201"/>
      <c r="IXV158" s="202"/>
      <c r="IXW158" s="202"/>
      <c r="IXX158" s="202"/>
      <c r="IXY158" s="202"/>
      <c r="IXZ158" s="203"/>
      <c r="IYA158" s="204"/>
      <c r="IYB158" s="204"/>
      <c r="IYC158" s="204"/>
      <c r="IYD158" s="205"/>
      <c r="IYE158" s="206"/>
      <c r="IYF158" s="207"/>
      <c r="IYG158" s="207"/>
      <c r="IYH158" s="208"/>
      <c r="IYI158" s="209"/>
      <c r="IYJ158" s="207"/>
      <c r="IYK158" s="210"/>
      <c r="IYL158" s="209"/>
      <c r="IYM158" s="204"/>
      <c r="IYN158" s="204"/>
      <c r="IYO158" s="204"/>
      <c r="IYP158" s="199"/>
      <c r="IYQ158" s="167"/>
      <c r="IYR158" s="199"/>
      <c r="IYS158" s="200"/>
      <c r="IYT158" s="201"/>
      <c r="IYU158" s="202"/>
      <c r="IYV158" s="202"/>
      <c r="IYW158" s="202"/>
      <c r="IYX158" s="202"/>
      <c r="IYY158" s="203"/>
      <c r="IYZ158" s="204"/>
      <c r="IZA158" s="204"/>
      <c r="IZB158" s="204"/>
      <c r="IZC158" s="205"/>
      <c r="IZD158" s="206"/>
      <c r="IZE158" s="207"/>
      <c r="IZF158" s="207"/>
      <c r="IZG158" s="208"/>
      <c r="IZH158" s="209"/>
      <c r="IZI158" s="207"/>
      <c r="IZJ158" s="210"/>
      <c r="IZK158" s="209"/>
      <c r="IZL158" s="204"/>
      <c r="IZM158" s="204"/>
      <c r="IZN158" s="204"/>
      <c r="IZO158" s="199"/>
      <c r="IZP158" s="167"/>
      <c r="IZQ158" s="199"/>
      <c r="IZR158" s="200"/>
      <c r="IZS158" s="201"/>
      <c r="IZT158" s="202"/>
      <c r="IZU158" s="202"/>
      <c r="IZV158" s="202"/>
      <c r="IZW158" s="202"/>
      <c r="IZX158" s="203"/>
      <c r="IZY158" s="204"/>
      <c r="IZZ158" s="204"/>
      <c r="JAA158" s="204"/>
      <c r="JAB158" s="205"/>
      <c r="JAC158" s="206"/>
      <c r="JAD158" s="207"/>
      <c r="JAE158" s="207"/>
      <c r="JAF158" s="208"/>
      <c r="JAG158" s="209"/>
      <c r="JAH158" s="207"/>
      <c r="JAI158" s="210"/>
      <c r="JAJ158" s="209"/>
      <c r="JAK158" s="204"/>
      <c r="JAL158" s="204"/>
      <c r="JAM158" s="204"/>
      <c r="JAN158" s="199"/>
      <c r="JAO158" s="167"/>
      <c r="JAP158" s="199"/>
      <c r="JAQ158" s="200"/>
      <c r="JAR158" s="201"/>
      <c r="JAS158" s="202"/>
      <c r="JAT158" s="202"/>
      <c r="JAU158" s="202"/>
      <c r="JAV158" s="202"/>
      <c r="JAW158" s="203"/>
      <c r="JAX158" s="204"/>
      <c r="JAY158" s="204"/>
      <c r="JAZ158" s="204"/>
      <c r="JBA158" s="205"/>
      <c r="JBB158" s="206"/>
      <c r="JBC158" s="207"/>
      <c r="JBD158" s="207"/>
      <c r="JBE158" s="208"/>
      <c r="JBF158" s="209"/>
      <c r="JBG158" s="207"/>
      <c r="JBH158" s="210"/>
      <c r="JBI158" s="209"/>
      <c r="JBJ158" s="204"/>
      <c r="JBK158" s="204"/>
      <c r="JBL158" s="204"/>
      <c r="JBM158" s="199"/>
      <c r="JBN158" s="167"/>
      <c r="JBO158" s="199"/>
      <c r="JBP158" s="200"/>
      <c r="JBQ158" s="201"/>
      <c r="JBR158" s="202"/>
      <c r="JBS158" s="202"/>
      <c r="JBT158" s="202"/>
      <c r="JBU158" s="202"/>
      <c r="JBV158" s="203"/>
      <c r="JBW158" s="204"/>
      <c r="JBX158" s="204"/>
      <c r="JBY158" s="204"/>
      <c r="JBZ158" s="205"/>
      <c r="JCA158" s="206"/>
      <c r="JCB158" s="207"/>
      <c r="JCC158" s="207"/>
      <c r="JCD158" s="208"/>
      <c r="JCE158" s="209"/>
      <c r="JCF158" s="207"/>
      <c r="JCG158" s="210"/>
      <c r="JCH158" s="209"/>
      <c r="JCI158" s="204"/>
      <c r="JCJ158" s="204"/>
      <c r="JCK158" s="204"/>
      <c r="JCL158" s="199"/>
      <c r="JCM158" s="167"/>
      <c r="JCN158" s="199"/>
      <c r="JCO158" s="200"/>
      <c r="JCP158" s="201"/>
      <c r="JCQ158" s="202"/>
      <c r="JCR158" s="202"/>
      <c r="JCS158" s="202"/>
      <c r="JCT158" s="202"/>
      <c r="JCU158" s="203"/>
      <c r="JCV158" s="204"/>
      <c r="JCW158" s="204"/>
      <c r="JCX158" s="204"/>
      <c r="JCY158" s="205"/>
      <c r="JCZ158" s="206"/>
      <c r="JDA158" s="207"/>
      <c r="JDB158" s="207"/>
      <c r="JDC158" s="208"/>
      <c r="JDD158" s="209"/>
      <c r="JDE158" s="207"/>
      <c r="JDF158" s="210"/>
      <c r="JDG158" s="209"/>
      <c r="JDH158" s="204"/>
      <c r="JDI158" s="204"/>
      <c r="JDJ158" s="204"/>
      <c r="JDK158" s="199"/>
      <c r="JDL158" s="167"/>
      <c r="JDM158" s="199"/>
      <c r="JDN158" s="200"/>
      <c r="JDO158" s="201"/>
      <c r="JDP158" s="202"/>
      <c r="JDQ158" s="202"/>
      <c r="JDR158" s="202"/>
      <c r="JDS158" s="202"/>
      <c r="JDT158" s="203"/>
      <c r="JDU158" s="204"/>
      <c r="JDV158" s="204"/>
      <c r="JDW158" s="204"/>
      <c r="JDX158" s="205"/>
      <c r="JDY158" s="206"/>
      <c r="JDZ158" s="207"/>
      <c r="JEA158" s="207"/>
      <c r="JEB158" s="208"/>
      <c r="JEC158" s="209"/>
      <c r="JED158" s="207"/>
      <c r="JEE158" s="210"/>
      <c r="JEF158" s="209"/>
      <c r="JEG158" s="204"/>
      <c r="JEH158" s="204"/>
      <c r="JEI158" s="204"/>
      <c r="JEJ158" s="199"/>
      <c r="JEK158" s="167"/>
      <c r="JEL158" s="199"/>
      <c r="JEM158" s="200"/>
      <c r="JEN158" s="201"/>
      <c r="JEO158" s="202"/>
      <c r="JEP158" s="202"/>
      <c r="JEQ158" s="202"/>
      <c r="JER158" s="202"/>
      <c r="JES158" s="203"/>
      <c r="JET158" s="204"/>
      <c r="JEU158" s="204"/>
      <c r="JEV158" s="204"/>
      <c r="JEW158" s="205"/>
      <c r="JEX158" s="206"/>
      <c r="JEY158" s="207"/>
      <c r="JEZ158" s="207"/>
      <c r="JFA158" s="208"/>
      <c r="JFB158" s="209"/>
      <c r="JFC158" s="207"/>
      <c r="JFD158" s="210"/>
      <c r="JFE158" s="209"/>
      <c r="JFF158" s="204"/>
      <c r="JFG158" s="204"/>
      <c r="JFH158" s="204"/>
      <c r="JFI158" s="199"/>
      <c r="JFJ158" s="167"/>
      <c r="JFK158" s="199"/>
      <c r="JFL158" s="200"/>
      <c r="JFM158" s="201"/>
      <c r="JFN158" s="202"/>
      <c r="JFO158" s="202"/>
      <c r="JFP158" s="202"/>
      <c r="JFQ158" s="202"/>
      <c r="JFR158" s="203"/>
      <c r="JFS158" s="204"/>
      <c r="JFT158" s="204"/>
      <c r="JFU158" s="204"/>
      <c r="JFV158" s="205"/>
      <c r="JFW158" s="206"/>
      <c r="JFX158" s="207"/>
      <c r="JFY158" s="207"/>
      <c r="JFZ158" s="208"/>
      <c r="JGA158" s="209"/>
      <c r="JGB158" s="207"/>
      <c r="JGC158" s="210"/>
      <c r="JGD158" s="209"/>
      <c r="JGE158" s="204"/>
      <c r="JGF158" s="204"/>
      <c r="JGG158" s="204"/>
      <c r="JGH158" s="199"/>
      <c r="JGI158" s="167"/>
      <c r="JGJ158" s="199"/>
      <c r="JGK158" s="200"/>
      <c r="JGL158" s="201"/>
      <c r="JGM158" s="202"/>
      <c r="JGN158" s="202"/>
      <c r="JGO158" s="202"/>
      <c r="JGP158" s="202"/>
      <c r="JGQ158" s="203"/>
      <c r="JGR158" s="204"/>
      <c r="JGS158" s="204"/>
      <c r="JGT158" s="204"/>
      <c r="JGU158" s="205"/>
      <c r="JGV158" s="206"/>
      <c r="JGW158" s="207"/>
      <c r="JGX158" s="207"/>
      <c r="JGY158" s="208"/>
      <c r="JGZ158" s="209"/>
      <c r="JHA158" s="207"/>
      <c r="JHB158" s="210"/>
      <c r="JHC158" s="209"/>
      <c r="JHD158" s="204"/>
      <c r="JHE158" s="204"/>
      <c r="JHF158" s="204"/>
      <c r="JHG158" s="199"/>
      <c r="JHH158" s="167"/>
      <c r="JHI158" s="199"/>
      <c r="JHJ158" s="200"/>
      <c r="JHK158" s="201"/>
      <c r="JHL158" s="202"/>
      <c r="JHM158" s="202"/>
      <c r="JHN158" s="202"/>
      <c r="JHO158" s="202"/>
      <c r="JHP158" s="203"/>
      <c r="JHQ158" s="204"/>
      <c r="JHR158" s="204"/>
      <c r="JHS158" s="204"/>
      <c r="JHT158" s="205"/>
      <c r="JHU158" s="206"/>
      <c r="JHV158" s="207"/>
      <c r="JHW158" s="207"/>
      <c r="JHX158" s="208"/>
      <c r="JHY158" s="209"/>
      <c r="JHZ158" s="207"/>
      <c r="JIA158" s="210"/>
      <c r="JIB158" s="209"/>
      <c r="JIC158" s="204"/>
      <c r="JID158" s="204"/>
      <c r="JIE158" s="204"/>
      <c r="JIF158" s="199"/>
      <c r="JIG158" s="167"/>
      <c r="JIH158" s="199"/>
      <c r="JII158" s="200"/>
      <c r="JIJ158" s="201"/>
      <c r="JIK158" s="202"/>
      <c r="JIL158" s="202"/>
      <c r="JIM158" s="202"/>
      <c r="JIN158" s="202"/>
      <c r="JIO158" s="203"/>
      <c r="JIP158" s="204"/>
      <c r="JIQ158" s="204"/>
      <c r="JIR158" s="204"/>
      <c r="JIS158" s="205"/>
      <c r="JIT158" s="206"/>
      <c r="JIU158" s="207"/>
      <c r="JIV158" s="207"/>
      <c r="JIW158" s="208"/>
      <c r="JIX158" s="209"/>
      <c r="JIY158" s="207"/>
      <c r="JIZ158" s="210"/>
      <c r="JJA158" s="209"/>
      <c r="JJB158" s="204"/>
      <c r="JJC158" s="204"/>
      <c r="JJD158" s="204"/>
      <c r="JJE158" s="199"/>
      <c r="JJF158" s="167"/>
      <c r="JJG158" s="199"/>
      <c r="JJH158" s="200"/>
      <c r="JJI158" s="201"/>
      <c r="JJJ158" s="202"/>
      <c r="JJK158" s="202"/>
      <c r="JJL158" s="202"/>
      <c r="JJM158" s="202"/>
      <c r="JJN158" s="203"/>
      <c r="JJO158" s="204"/>
      <c r="JJP158" s="204"/>
      <c r="JJQ158" s="204"/>
      <c r="JJR158" s="205"/>
      <c r="JJS158" s="206"/>
      <c r="JJT158" s="207"/>
      <c r="JJU158" s="207"/>
      <c r="JJV158" s="208"/>
      <c r="JJW158" s="209"/>
      <c r="JJX158" s="207"/>
      <c r="JJY158" s="210"/>
      <c r="JJZ158" s="209"/>
      <c r="JKA158" s="204"/>
      <c r="JKB158" s="204"/>
      <c r="JKC158" s="204"/>
      <c r="JKD158" s="199"/>
      <c r="JKE158" s="167"/>
      <c r="JKF158" s="199"/>
      <c r="JKG158" s="200"/>
      <c r="JKH158" s="201"/>
      <c r="JKI158" s="202"/>
      <c r="JKJ158" s="202"/>
      <c r="JKK158" s="202"/>
      <c r="JKL158" s="202"/>
      <c r="JKM158" s="203"/>
      <c r="JKN158" s="204"/>
      <c r="JKO158" s="204"/>
      <c r="JKP158" s="204"/>
      <c r="JKQ158" s="205"/>
      <c r="JKR158" s="206"/>
      <c r="JKS158" s="207"/>
      <c r="JKT158" s="207"/>
      <c r="JKU158" s="208"/>
      <c r="JKV158" s="209"/>
      <c r="JKW158" s="207"/>
      <c r="JKX158" s="210"/>
      <c r="JKY158" s="209"/>
      <c r="JKZ158" s="204"/>
      <c r="JLA158" s="204"/>
      <c r="JLB158" s="204"/>
      <c r="JLC158" s="199"/>
      <c r="JLD158" s="167"/>
      <c r="JLE158" s="199"/>
      <c r="JLF158" s="200"/>
      <c r="JLG158" s="201"/>
      <c r="JLH158" s="202"/>
      <c r="JLI158" s="202"/>
      <c r="JLJ158" s="202"/>
      <c r="JLK158" s="202"/>
      <c r="JLL158" s="203"/>
      <c r="JLM158" s="204"/>
      <c r="JLN158" s="204"/>
      <c r="JLO158" s="204"/>
      <c r="JLP158" s="205"/>
      <c r="JLQ158" s="206"/>
      <c r="JLR158" s="207"/>
      <c r="JLS158" s="207"/>
      <c r="JLT158" s="208"/>
      <c r="JLU158" s="209"/>
      <c r="JLV158" s="207"/>
      <c r="JLW158" s="210"/>
      <c r="JLX158" s="209"/>
      <c r="JLY158" s="204"/>
      <c r="JLZ158" s="204"/>
      <c r="JMA158" s="204"/>
      <c r="JMB158" s="199"/>
      <c r="JMC158" s="167"/>
      <c r="JMD158" s="199"/>
      <c r="JME158" s="200"/>
      <c r="JMF158" s="201"/>
      <c r="JMG158" s="202"/>
      <c r="JMH158" s="202"/>
      <c r="JMI158" s="202"/>
      <c r="JMJ158" s="202"/>
      <c r="JMK158" s="203"/>
      <c r="JML158" s="204"/>
      <c r="JMM158" s="204"/>
      <c r="JMN158" s="204"/>
      <c r="JMO158" s="205"/>
      <c r="JMP158" s="206"/>
      <c r="JMQ158" s="207"/>
      <c r="JMR158" s="207"/>
      <c r="JMS158" s="208"/>
      <c r="JMT158" s="209"/>
      <c r="JMU158" s="207"/>
      <c r="JMV158" s="210"/>
      <c r="JMW158" s="209"/>
      <c r="JMX158" s="204"/>
      <c r="JMY158" s="204"/>
      <c r="JMZ158" s="204"/>
      <c r="JNA158" s="199"/>
      <c r="JNB158" s="167"/>
      <c r="JNC158" s="199"/>
      <c r="JND158" s="200"/>
      <c r="JNE158" s="201"/>
      <c r="JNF158" s="202"/>
      <c r="JNG158" s="202"/>
      <c r="JNH158" s="202"/>
      <c r="JNI158" s="202"/>
      <c r="JNJ158" s="203"/>
      <c r="JNK158" s="204"/>
      <c r="JNL158" s="204"/>
      <c r="JNM158" s="204"/>
      <c r="JNN158" s="205"/>
      <c r="JNO158" s="206"/>
      <c r="JNP158" s="207"/>
      <c r="JNQ158" s="207"/>
      <c r="JNR158" s="208"/>
      <c r="JNS158" s="209"/>
      <c r="JNT158" s="207"/>
      <c r="JNU158" s="210"/>
      <c r="JNV158" s="209"/>
      <c r="JNW158" s="204"/>
      <c r="JNX158" s="204"/>
      <c r="JNY158" s="204"/>
      <c r="JNZ158" s="199"/>
      <c r="JOA158" s="167"/>
      <c r="JOB158" s="199"/>
      <c r="JOC158" s="200"/>
      <c r="JOD158" s="201"/>
      <c r="JOE158" s="202"/>
      <c r="JOF158" s="202"/>
      <c r="JOG158" s="202"/>
      <c r="JOH158" s="202"/>
      <c r="JOI158" s="203"/>
      <c r="JOJ158" s="204"/>
      <c r="JOK158" s="204"/>
      <c r="JOL158" s="204"/>
      <c r="JOM158" s="205"/>
      <c r="JON158" s="206"/>
      <c r="JOO158" s="207"/>
      <c r="JOP158" s="207"/>
      <c r="JOQ158" s="208"/>
      <c r="JOR158" s="209"/>
      <c r="JOS158" s="207"/>
      <c r="JOT158" s="210"/>
      <c r="JOU158" s="209"/>
      <c r="JOV158" s="204"/>
      <c r="JOW158" s="204"/>
      <c r="JOX158" s="204"/>
      <c r="JOY158" s="199"/>
      <c r="JOZ158" s="167"/>
      <c r="JPA158" s="199"/>
      <c r="JPB158" s="200"/>
      <c r="JPC158" s="201"/>
      <c r="JPD158" s="202"/>
      <c r="JPE158" s="202"/>
      <c r="JPF158" s="202"/>
      <c r="JPG158" s="202"/>
      <c r="JPH158" s="203"/>
      <c r="JPI158" s="204"/>
      <c r="JPJ158" s="204"/>
      <c r="JPK158" s="204"/>
      <c r="JPL158" s="205"/>
      <c r="JPM158" s="206"/>
      <c r="JPN158" s="207"/>
      <c r="JPO158" s="207"/>
      <c r="JPP158" s="208"/>
      <c r="JPQ158" s="209"/>
      <c r="JPR158" s="207"/>
      <c r="JPS158" s="210"/>
      <c r="JPT158" s="209"/>
      <c r="JPU158" s="204"/>
      <c r="JPV158" s="204"/>
      <c r="JPW158" s="204"/>
      <c r="JPX158" s="199"/>
      <c r="JPY158" s="167"/>
      <c r="JPZ158" s="199"/>
      <c r="JQA158" s="200"/>
      <c r="JQB158" s="201"/>
      <c r="JQC158" s="202"/>
      <c r="JQD158" s="202"/>
      <c r="JQE158" s="202"/>
      <c r="JQF158" s="202"/>
      <c r="JQG158" s="203"/>
      <c r="JQH158" s="204"/>
      <c r="JQI158" s="204"/>
      <c r="JQJ158" s="204"/>
      <c r="JQK158" s="205"/>
      <c r="JQL158" s="206"/>
      <c r="JQM158" s="207"/>
      <c r="JQN158" s="207"/>
      <c r="JQO158" s="208"/>
      <c r="JQP158" s="209"/>
      <c r="JQQ158" s="207"/>
      <c r="JQR158" s="210"/>
      <c r="JQS158" s="209"/>
      <c r="JQT158" s="204"/>
      <c r="JQU158" s="204"/>
      <c r="JQV158" s="204"/>
      <c r="JQW158" s="199"/>
      <c r="JQX158" s="167"/>
      <c r="JQY158" s="199"/>
      <c r="JQZ158" s="200"/>
      <c r="JRA158" s="201"/>
      <c r="JRB158" s="202"/>
      <c r="JRC158" s="202"/>
      <c r="JRD158" s="202"/>
      <c r="JRE158" s="202"/>
      <c r="JRF158" s="203"/>
      <c r="JRG158" s="204"/>
      <c r="JRH158" s="204"/>
      <c r="JRI158" s="204"/>
      <c r="JRJ158" s="205"/>
      <c r="JRK158" s="206"/>
      <c r="JRL158" s="207"/>
      <c r="JRM158" s="207"/>
      <c r="JRN158" s="208"/>
      <c r="JRO158" s="209"/>
      <c r="JRP158" s="207"/>
      <c r="JRQ158" s="210"/>
      <c r="JRR158" s="209"/>
      <c r="JRS158" s="204"/>
      <c r="JRT158" s="204"/>
      <c r="JRU158" s="204"/>
      <c r="JRV158" s="199"/>
      <c r="JRW158" s="167"/>
      <c r="JRX158" s="199"/>
      <c r="JRY158" s="200"/>
      <c r="JRZ158" s="201"/>
      <c r="JSA158" s="202"/>
      <c r="JSB158" s="202"/>
      <c r="JSC158" s="202"/>
      <c r="JSD158" s="202"/>
      <c r="JSE158" s="203"/>
      <c r="JSF158" s="204"/>
      <c r="JSG158" s="204"/>
      <c r="JSH158" s="204"/>
      <c r="JSI158" s="205"/>
      <c r="JSJ158" s="206"/>
      <c r="JSK158" s="207"/>
      <c r="JSL158" s="207"/>
      <c r="JSM158" s="208"/>
      <c r="JSN158" s="209"/>
      <c r="JSO158" s="207"/>
      <c r="JSP158" s="210"/>
      <c r="JSQ158" s="209"/>
      <c r="JSR158" s="204"/>
      <c r="JSS158" s="204"/>
      <c r="JST158" s="204"/>
      <c r="JSU158" s="199"/>
      <c r="JSV158" s="167"/>
      <c r="JSW158" s="199"/>
      <c r="JSX158" s="200"/>
      <c r="JSY158" s="201"/>
      <c r="JSZ158" s="202"/>
      <c r="JTA158" s="202"/>
      <c r="JTB158" s="202"/>
      <c r="JTC158" s="202"/>
      <c r="JTD158" s="203"/>
      <c r="JTE158" s="204"/>
      <c r="JTF158" s="204"/>
      <c r="JTG158" s="204"/>
      <c r="JTH158" s="205"/>
      <c r="JTI158" s="206"/>
      <c r="JTJ158" s="207"/>
      <c r="JTK158" s="207"/>
      <c r="JTL158" s="208"/>
      <c r="JTM158" s="209"/>
      <c r="JTN158" s="207"/>
      <c r="JTO158" s="210"/>
      <c r="JTP158" s="209"/>
      <c r="JTQ158" s="204"/>
      <c r="JTR158" s="204"/>
      <c r="JTS158" s="204"/>
      <c r="JTT158" s="199"/>
      <c r="JTU158" s="167"/>
      <c r="JTV158" s="199"/>
      <c r="JTW158" s="200"/>
      <c r="JTX158" s="201"/>
      <c r="JTY158" s="202"/>
      <c r="JTZ158" s="202"/>
      <c r="JUA158" s="202"/>
      <c r="JUB158" s="202"/>
      <c r="JUC158" s="203"/>
      <c r="JUD158" s="204"/>
      <c r="JUE158" s="204"/>
      <c r="JUF158" s="204"/>
      <c r="JUG158" s="205"/>
      <c r="JUH158" s="206"/>
      <c r="JUI158" s="207"/>
      <c r="JUJ158" s="207"/>
      <c r="JUK158" s="208"/>
      <c r="JUL158" s="209"/>
      <c r="JUM158" s="207"/>
      <c r="JUN158" s="210"/>
      <c r="JUO158" s="209"/>
      <c r="JUP158" s="204"/>
      <c r="JUQ158" s="204"/>
      <c r="JUR158" s="204"/>
      <c r="JUS158" s="199"/>
      <c r="JUT158" s="167"/>
      <c r="JUU158" s="199"/>
      <c r="JUV158" s="200"/>
      <c r="JUW158" s="201"/>
      <c r="JUX158" s="202"/>
      <c r="JUY158" s="202"/>
      <c r="JUZ158" s="202"/>
      <c r="JVA158" s="202"/>
      <c r="JVB158" s="203"/>
      <c r="JVC158" s="204"/>
      <c r="JVD158" s="204"/>
      <c r="JVE158" s="204"/>
      <c r="JVF158" s="205"/>
      <c r="JVG158" s="206"/>
      <c r="JVH158" s="207"/>
      <c r="JVI158" s="207"/>
      <c r="JVJ158" s="208"/>
      <c r="JVK158" s="209"/>
      <c r="JVL158" s="207"/>
      <c r="JVM158" s="210"/>
      <c r="JVN158" s="209"/>
      <c r="JVO158" s="204"/>
      <c r="JVP158" s="204"/>
      <c r="JVQ158" s="204"/>
      <c r="JVR158" s="199"/>
      <c r="JVS158" s="167"/>
      <c r="JVT158" s="199"/>
      <c r="JVU158" s="200"/>
      <c r="JVV158" s="201"/>
      <c r="JVW158" s="202"/>
      <c r="JVX158" s="202"/>
      <c r="JVY158" s="202"/>
      <c r="JVZ158" s="202"/>
      <c r="JWA158" s="203"/>
      <c r="JWB158" s="204"/>
      <c r="JWC158" s="204"/>
      <c r="JWD158" s="204"/>
      <c r="JWE158" s="205"/>
      <c r="JWF158" s="206"/>
      <c r="JWG158" s="207"/>
      <c r="JWH158" s="207"/>
      <c r="JWI158" s="208"/>
      <c r="JWJ158" s="209"/>
      <c r="JWK158" s="207"/>
      <c r="JWL158" s="210"/>
      <c r="JWM158" s="209"/>
      <c r="JWN158" s="204"/>
      <c r="JWO158" s="204"/>
      <c r="JWP158" s="204"/>
      <c r="JWQ158" s="199"/>
      <c r="JWR158" s="167"/>
      <c r="JWS158" s="199"/>
      <c r="JWT158" s="200"/>
      <c r="JWU158" s="201"/>
      <c r="JWV158" s="202"/>
      <c r="JWW158" s="202"/>
      <c r="JWX158" s="202"/>
      <c r="JWY158" s="202"/>
      <c r="JWZ158" s="203"/>
      <c r="JXA158" s="204"/>
      <c r="JXB158" s="204"/>
      <c r="JXC158" s="204"/>
      <c r="JXD158" s="205"/>
      <c r="JXE158" s="206"/>
      <c r="JXF158" s="207"/>
      <c r="JXG158" s="207"/>
      <c r="JXH158" s="208"/>
      <c r="JXI158" s="209"/>
      <c r="JXJ158" s="207"/>
      <c r="JXK158" s="210"/>
      <c r="JXL158" s="209"/>
      <c r="JXM158" s="204"/>
      <c r="JXN158" s="204"/>
      <c r="JXO158" s="204"/>
      <c r="JXP158" s="199"/>
      <c r="JXQ158" s="167"/>
      <c r="JXR158" s="199"/>
      <c r="JXS158" s="200"/>
      <c r="JXT158" s="201"/>
      <c r="JXU158" s="202"/>
      <c r="JXV158" s="202"/>
      <c r="JXW158" s="202"/>
      <c r="JXX158" s="202"/>
      <c r="JXY158" s="203"/>
      <c r="JXZ158" s="204"/>
      <c r="JYA158" s="204"/>
      <c r="JYB158" s="204"/>
      <c r="JYC158" s="205"/>
      <c r="JYD158" s="206"/>
      <c r="JYE158" s="207"/>
      <c r="JYF158" s="207"/>
      <c r="JYG158" s="208"/>
      <c r="JYH158" s="209"/>
      <c r="JYI158" s="207"/>
      <c r="JYJ158" s="210"/>
      <c r="JYK158" s="209"/>
      <c r="JYL158" s="204"/>
      <c r="JYM158" s="204"/>
      <c r="JYN158" s="204"/>
      <c r="JYO158" s="199"/>
      <c r="JYP158" s="167"/>
      <c r="JYQ158" s="199"/>
      <c r="JYR158" s="200"/>
      <c r="JYS158" s="201"/>
      <c r="JYT158" s="202"/>
      <c r="JYU158" s="202"/>
      <c r="JYV158" s="202"/>
      <c r="JYW158" s="202"/>
      <c r="JYX158" s="203"/>
      <c r="JYY158" s="204"/>
      <c r="JYZ158" s="204"/>
      <c r="JZA158" s="204"/>
      <c r="JZB158" s="205"/>
      <c r="JZC158" s="206"/>
      <c r="JZD158" s="207"/>
      <c r="JZE158" s="207"/>
      <c r="JZF158" s="208"/>
      <c r="JZG158" s="209"/>
      <c r="JZH158" s="207"/>
      <c r="JZI158" s="210"/>
      <c r="JZJ158" s="209"/>
      <c r="JZK158" s="204"/>
      <c r="JZL158" s="204"/>
      <c r="JZM158" s="204"/>
      <c r="JZN158" s="199"/>
      <c r="JZO158" s="167"/>
      <c r="JZP158" s="199"/>
      <c r="JZQ158" s="200"/>
      <c r="JZR158" s="201"/>
      <c r="JZS158" s="202"/>
      <c r="JZT158" s="202"/>
      <c r="JZU158" s="202"/>
      <c r="JZV158" s="202"/>
      <c r="JZW158" s="203"/>
      <c r="JZX158" s="204"/>
      <c r="JZY158" s="204"/>
      <c r="JZZ158" s="204"/>
      <c r="KAA158" s="205"/>
      <c r="KAB158" s="206"/>
      <c r="KAC158" s="207"/>
      <c r="KAD158" s="207"/>
      <c r="KAE158" s="208"/>
      <c r="KAF158" s="209"/>
      <c r="KAG158" s="207"/>
      <c r="KAH158" s="210"/>
      <c r="KAI158" s="209"/>
      <c r="KAJ158" s="204"/>
      <c r="KAK158" s="204"/>
      <c r="KAL158" s="204"/>
      <c r="KAM158" s="199"/>
      <c r="KAN158" s="167"/>
      <c r="KAO158" s="199"/>
      <c r="KAP158" s="200"/>
      <c r="KAQ158" s="201"/>
      <c r="KAR158" s="202"/>
      <c r="KAS158" s="202"/>
      <c r="KAT158" s="202"/>
      <c r="KAU158" s="202"/>
      <c r="KAV158" s="203"/>
      <c r="KAW158" s="204"/>
      <c r="KAX158" s="204"/>
      <c r="KAY158" s="204"/>
      <c r="KAZ158" s="205"/>
      <c r="KBA158" s="206"/>
      <c r="KBB158" s="207"/>
      <c r="KBC158" s="207"/>
      <c r="KBD158" s="208"/>
      <c r="KBE158" s="209"/>
      <c r="KBF158" s="207"/>
      <c r="KBG158" s="210"/>
      <c r="KBH158" s="209"/>
      <c r="KBI158" s="204"/>
      <c r="KBJ158" s="204"/>
      <c r="KBK158" s="204"/>
      <c r="KBL158" s="199"/>
      <c r="KBM158" s="167"/>
      <c r="KBN158" s="199"/>
      <c r="KBO158" s="200"/>
      <c r="KBP158" s="201"/>
      <c r="KBQ158" s="202"/>
      <c r="KBR158" s="202"/>
      <c r="KBS158" s="202"/>
      <c r="KBT158" s="202"/>
      <c r="KBU158" s="203"/>
      <c r="KBV158" s="204"/>
      <c r="KBW158" s="204"/>
      <c r="KBX158" s="204"/>
      <c r="KBY158" s="205"/>
      <c r="KBZ158" s="206"/>
      <c r="KCA158" s="207"/>
      <c r="KCB158" s="207"/>
      <c r="KCC158" s="208"/>
      <c r="KCD158" s="209"/>
      <c r="KCE158" s="207"/>
      <c r="KCF158" s="210"/>
      <c r="KCG158" s="209"/>
      <c r="KCH158" s="204"/>
      <c r="KCI158" s="204"/>
      <c r="KCJ158" s="204"/>
      <c r="KCK158" s="199"/>
      <c r="KCL158" s="167"/>
      <c r="KCM158" s="199"/>
      <c r="KCN158" s="200"/>
      <c r="KCO158" s="201"/>
      <c r="KCP158" s="202"/>
      <c r="KCQ158" s="202"/>
      <c r="KCR158" s="202"/>
      <c r="KCS158" s="202"/>
      <c r="KCT158" s="203"/>
      <c r="KCU158" s="204"/>
      <c r="KCV158" s="204"/>
      <c r="KCW158" s="204"/>
      <c r="KCX158" s="205"/>
      <c r="KCY158" s="206"/>
      <c r="KCZ158" s="207"/>
      <c r="KDA158" s="207"/>
      <c r="KDB158" s="208"/>
      <c r="KDC158" s="209"/>
      <c r="KDD158" s="207"/>
      <c r="KDE158" s="210"/>
      <c r="KDF158" s="209"/>
      <c r="KDG158" s="204"/>
      <c r="KDH158" s="204"/>
      <c r="KDI158" s="204"/>
      <c r="KDJ158" s="199"/>
      <c r="KDK158" s="167"/>
      <c r="KDL158" s="199"/>
      <c r="KDM158" s="200"/>
      <c r="KDN158" s="201"/>
      <c r="KDO158" s="202"/>
      <c r="KDP158" s="202"/>
      <c r="KDQ158" s="202"/>
      <c r="KDR158" s="202"/>
      <c r="KDS158" s="203"/>
      <c r="KDT158" s="204"/>
      <c r="KDU158" s="204"/>
      <c r="KDV158" s="204"/>
      <c r="KDW158" s="205"/>
      <c r="KDX158" s="206"/>
      <c r="KDY158" s="207"/>
      <c r="KDZ158" s="207"/>
      <c r="KEA158" s="208"/>
      <c r="KEB158" s="209"/>
      <c r="KEC158" s="207"/>
      <c r="KED158" s="210"/>
      <c r="KEE158" s="209"/>
      <c r="KEF158" s="204"/>
      <c r="KEG158" s="204"/>
      <c r="KEH158" s="204"/>
      <c r="KEI158" s="199"/>
      <c r="KEJ158" s="167"/>
      <c r="KEK158" s="199"/>
      <c r="KEL158" s="200"/>
      <c r="KEM158" s="201"/>
      <c r="KEN158" s="202"/>
      <c r="KEO158" s="202"/>
      <c r="KEP158" s="202"/>
      <c r="KEQ158" s="202"/>
      <c r="KER158" s="203"/>
      <c r="KES158" s="204"/>
      <c r="KET158" s="204"/>
      <c r="KEU158" s="204"/>
      <c r="KEV158" s="205"/>
      <c r="KEW158" s="206"/>
      <c r="KEX158" s="207"/>
      <c r="KEY158" s="207"/>
      <c r="KEZ158" s="208"/>
      <c r="KFA158" s="209"/>
      <c r="KFB158" s="207"/>
      <c r="KFC158" s="210"/>
      <c r="KFD158" s="209"/>
      <c r="KFE158" s="204"/>
      <c r="KFF158" s="204"/>
      <c r="KFG158" s="204"/>
      <c r="KFH158" s="199"/>
      <c r="KFI158" s="167"/>
      <c r="KFJ158" s="199"/>
      <c r="KFK158" s="200"/>
      <c r="KFL158" s="201"/>
      <c r="KFM158" s="202"/>
      <c r="KFN158" s="202"/>
      <c r="KFO158" s="202"/>
      <c r="KFP158" s="202"/>
      <c r="KFQ158" s="203"/>
      <c r="KFR158" s="204"/>
      <c r="KFS158" s="204"/>
      <c r="KFT158" s="204"/>
      <c r="KFU158" s="205"/>
      <c r="KFV158" s="206"/>
      <c r="KFW158" s="207"/>
      <c r="KFX158" s="207"/>
      <c r="KFY158" s="208"/>
      <c r="KFZ158" s="209"/>
      <c r="KGA158" s="207"/>
      <c r="KGB158" s="210"/>
      <c r="KGC158" s="209"/>
      <c r="KGD158" s="204"/>
      <c r="KGE158" s="204"/>
      <c r="KGF158" s="204"/>
      <c r="KGG158" s="199"/>
      <c r="KGH158" s="167"/>
      <c r="KGI158" s="199"/>
      <c r="KGJ158" s="200"/>
      <c r="KGK158" s="201"/>
      <c r="KGL158" s="202"/>
      <c r="KGM158" s="202"/>
      <c r="KGN158" s="202"/>
      <c r="KGO158" s="202"/>
      <c r="KGP158" s="203"/>
      <c r="KGQ158" s="204"/>
      <c r="KGR158" s="204"/>
      <c r="KGS158" s="204"/>
      <c r="KGT158" s="205"/>
      <c r="KGU158" s="206"/>
      <c r="KGV158" s="207"/>
      <c r="KGW158" s="207"/>
      <c r="KGX158" s="208"/>
      <c r="KGY158" s="209"/>
      <c r="KGZ158" s="207"/>
      <c r="KHA158" s="210"/>
      <c r="KHB158" s="209"/>
      <c r="KHC158" s="204"/>
      <c r="KHD158" s="204"/>
      <c r="KHE158" s="204"/>
      <c r="KHF158" s="199"/>
      <c r="KHG158" s="167"/>
      <c r="KHH158" s="199"/>
      <c r="KHI158" s="200"/>
      <c r="KHJ158" s="201"/>
      <c r="KHK158" s="202"/>
      <c r="KHL158" s="202"/>
      <c r="KHM158" s="202"/>
      <c r="KHN158" s="202"/>
      <c r="KHO158" s="203"/>
      <c r="KHP158" s="204"/>
      <c r="KHQ158" s="204"/>
      <c r="KHR158" s="204"/>
      <c r="KHS158" s="205"/>
      <c r="KHT158" s="206"/>
      <c r="KHU158" s="207"/>
      <c r="KHV158" s="207"/>
      <c r="KHW158" s="208"/>
      <c r="KHX158" s="209"/>
      <c r="KHY158" s="207"/>
      <c r="KHZ158" s="210"/>
      <c r="KIA158" s="209"/>
      <c r="KIB158" s="204"/>
      <c r="KIC158" s="204"/>
      <c r="KID158" s="204"/>
      <c r="KIE158" s="199"/>
      <c r="KIF158" s="167"/>
      <c r="KIG158" s="199"/>
      <c r="KIH158" s="200"/>
      <c r="KII158" s="201"/>
      <c r="KIJ158" s="202"/>
      <c r="KIK158" s="202"/>
      <c r="KIL158" s="202"/>
      <c r="KIM158" s="202"/>
      <c r="KIN158" s="203"/>
      <c r="KIO158" s="204"/>
      <c r="KIP158" s="204"/>
      <c r="KIQ158" s="204"/>
      <c r="KIR158" s="205"/>
      <c r="KIS158" s="206"/>
      <c r="KIT158" s="207"/>
      <c r="KIU158" s="207"/>
      <c r="KIV158" s="208"/>
      <c r="KIW158" s="209"/>
      <c r="KIX158" s="207"/>
      <c r="KIY158" s="210"/>
      <c r="KIZ158" s="209"/>
      <c r="KJA158" s="204"/>
      <c r="KJB158" s="204"/>
      <c r="KJC158" s="204"/>
      <c r="KJD158" s="199"/>
      <c r="KJE158" s="167"/>
      <c r="KJF158" s="199"/>
      <c r="KJG158" s="200"/>
      <c r="KJH158" s="201"/>
      <c r="KJI158" s="202"/>
      <c r="KJJ158" s="202"/>
      <c r="KJK158" s="202"/>
      <c r="KJL158" s="202"/>
      <c r="KJM158" s="203"/>
      <c r="KJN158" s="204"/>
      <c r="KJO158" s="204"/>
      <c r="KJP158" s="204"/>
      <c r="KJQ158" s="205"/>
      <c r="KJR158" s="206"/>
      <c r="KJS158" s="207"/>
      <c r="KJT158" s="207"/>
      <c r="KJU158" s="208"/>
      <c r="KJV158" s="209"/>
      <c r="KJW158" s="207"/>
      <c r="KJX158" s="210"/>
      <c r="KJY158" s="209"/>
      <c r="KJZ158" s="204"/>
      <c r="KKA158" s="204"/>
      <c r="KKB158" s="204"/>
      <c r="KKC158" s="199"/>
      <c r="KKD158" s="167"/>
      <c r="KKE158" s="199"/>
      <c r="KKF158" s="200"/>
      <c r="KKG158" s="201"/>
      <c r="KKH158" s="202"/>
      <c r="KKI158" s="202"/>
      <c r="KKJ158" s="202"/>
      <c r="KKK158" s="202"/>
      <c r="KKL158" s="203"/>
      <c r="KKM158" s="204"/>
      <c r="KKN158" s="204"/>
      <c r="KKO158" s="204"/>
      <c r="KKP158" s="205"/>
      <c r="KKQ158" s="206"/>
      <c r="KKR158" s="207"/>
      <c r="KKS158" s="207"/>
      <c r="KKT158" s="208"/>
      <c r="KKU158" s="209"/>
      <c r="KKV158" s="207"/>
      <c r="KKW158" s="210"/>
      <c r="KKX158" s="209"/>
      <c r="KKY158" s="204"/>
      <c r="KKZ158" s="204"/>
      <c r="KLA158" s="204"/>
      <c r="KLB158" s="199"/>
      <c r="KLC158" s="167"/>
      <c r="KLD158" s="199"/>
      <c r="KLE158" s="200"/>
      <c r="KLF158" s="201"/>
      <c r="KLG158" s="202"/>
      <c r="KLH158" s="202"/>
      <c r="KLI158" s="202"/>
      <c r="KLJ158" s="202"/>
      <c r="KLK158" s="203"/>
      <c r="KLL158" s="204"/>
      <c r="KLM158" s="204"/>
      <c r="KLN158" s="204"/>
      <c r="KLO158" s="205"/>
      <c r="KLP158" s="206"/>
      <c r="KLQ158" s="207"/>
      <c r="KLR158" s="207"/>
      <c r="KLS158" s="208"/>
      <c r="KLT158" s="209"/>
      <c r="KLU158" s="207"/>
      <c r="KLV158" s="210"/>
      <c r="KLW158" s="209"/>
      <c r="KLX158" s="204"/>
      <c r="KLY158" s="204"/>
      <c r="KLZ158" s="204"/>
      <c r="KMA158" s="199"/>
      <c r="KMB158" s="167"/>
      <c r="KMC158" s="199"/>
      <c r="KMD158" s="200"/>
      <c r="KME158" s="201"/>
      <c r="KMF158" s="202"/>
      <c r="KMG158" s="202"/>
      <c r="KMH158" s="202"/>
      <c r="KMI158" s="202"/>
      <c r="KMJ158" s="203"/>
      <c r="KMK158" s="204"/>
      <c r="KML158" s="204"/>
      <c r="KMM158" s="204"/>
      <c r="KMN158" s="205"/>
      <c r="KMO158" s="206"/>
      <c r="KMP158" s="207"/>
      <c r="KMQ158" s="207"/>
      <c r="KMR158" s="208"/>
      <c r="KMS158" s="209"/>
      <c r="KMT158" s="207"/>
      <c r="KMU158" s="210"/>
      <c r="KMV158" s="209"/>
      <c r="KMW158" s="204"/>
      <c r="KMX158" s="204"/>
      <c r="KMY158" s="204"/>
      <c r="KMZ158" s="199"/>
      <c r="KNA158" s="167"/>
      <c r="KNB158" s="199"/>
      <c r="KNC158" s="200"/>
      <c r="KND158" s="201"/>
      <c r="KNE158" s="202"/>
      <c r="KNF158" s="202"/>
      <c r="KNG158" s="202"/>
      <c r="KNH158" s="202"/>
      <c r="KNI158" s="203"/>
      <c r="KNJ158" s="204"/>
      <c r="KNK158" s="204"/>
      <c r="KNL158" s="204"/>
      <c r="KNM158" s="205"/>
      <c r="KNN158" s="206"/>
      <c r="KNO158" s="207"/>
      <c r="KNP158" s="207"/>
      <c r="KNQ158" s="208"/>
      <c r="KNR158" s="209"/>
      <c r="KNS158" s="207"/>
      <c r="KNT158" s="210"/>
      <c r="KNU158" s="209"/>
      <c r="KNV158" s="204"/>
      <c r="KNW158" s="204"/>
      <c r="KNX158" s="204"/>
      <c r="KNY158" s="199"/>
      <c r="KNZ158" s="167"/>
      <c r="KOA158" s="199"/>
      <c r="KOB158" s="200"/>
      <c r="KOC158" s="201"/>
      <c r="KOD158" s="202"/>
      <c r="KOE158" s="202"/>
      <c r="KOF158" s="202"/>
      <c r="KOG158" s="202"/>
      <c r="KOH158" s="203"/>
      <c r="KOI158" s="204"/>
      <c r="KOJ158" s="204"/>
      <c r="KOK158" s="204"/>
      <c r="KOL158" s="205"/>
      <c r="KOM158" s="206"/>
      <c r="KON158" s="207"/>
      <c r="KOO158" s="207"/>
      <c r="KOP158" s="208"/>
      <c r="KOQ158" s="209"/>
      <c r="KOR158" s="207"/>
      <c r="KOS158" s="210"/>
      <c r="KOT158" s="209"/>
      <c r="KOU158" s="204"/>
      <c r="KOV158" s="204"/>
      <c r="KOW158" s="204"/>
      <c r="KOX158" s="199"/>
      <c r="KOY158" s="167"/>
      <c r="KOZ158" s="199"/>
      <c r="KPA158" s="200"/>
      <c r="KPB158" s="201"/>
      <c r="KPC158" s="202"/>
      <c r="KPD158" s="202"/>
      <c r="KPE158" s="202"/>
      <c r="KPF158" s="202"/>
      <c r="KPG158" s="203"/>
      <c r="KPH158" s="204"/>
      <c r="KPI158" s="204"/>
      <c r="KPJ158" s="204"/>
      <c r="KPK158" s="205"/>
      <c r="KPL158" s="206"/>
      <c r="KPM158" s="207"/>
      <c r="KPN158" s="207"/>
      <c r="KPO158" s="208"/>
      <c r="KPP158" s="209"/>
      <c r="KPQ158" s="207"/>
      <c r="KPR158" s="210"/>
      <c r="KPS158" s="209"/>
      <c r="KPT158" s="204"/>
      <c r="KPU158" s="204"/>
      <c r="KPV158" s="204"/>
      <c r="KPW158" s="199"/>
      <c r="KPX158" s="167"/>
      <c r="KPY158" s="199"/>
      <c r="KPZ158" s="200"/>
      <c r="KQA158" s="201"/>
      <c r="KQB158" s="202"/>
      <c r="KQC158" s="202"/>
      <c r="KQD158" s="202"/>
      <c r="KQE158" s="202"/>
      <c r="KQF158" s="203"/>
      <c r="KQG158" s="204"/>
      <c r="KQH158" s="204"/>
      <c r="KQI158" s="204"/>
      <c r="KQJ158" s="205"/>
      <c r="KQK158" s="206"/>
      <c r="KQL158" s="207"/>
      <c r="KQM158" s="207"/>
      <c r="KQN158" s="208"/>
      <c r="KQO158" s="209"/>
      <c r="KQP158" s="207"/>
      <c r="KQQ158" s="210"/>
      <c r="KQR158" s="209"/>
      <c r="KQS158" s="204"/>
      <c r="KQT158" s="204"/>
      <c r="KQU158" s="204"/>
      <c r="KQV158" s="199"/>
      <c r="KQW158" s="167"/>
      <c r="KQX158" s="199"/>
      <c r="KQY158" s="200"/>
      <c r="KQZ158" s="201"/>
      <c r="KRA158" s="202"/>
      <c r="KRB158" s="202"/>
      <c r="KRC158" s="202"/>
      <c r="KRD158" s="202"/>
      <c r="KRE158" s="203"/>
      <c r="KRF158" s="204"/>
      <c r="KRG158" s="204"/>
      <c r="KRH158" s="204"/>
      <c r="KRI158" s="205"/>
      <c r="KRJ158" s="206"/>
      <c r="KRK158" s="207"/>
      <c r="KRL158" s="207"/>
      <c r="KRM158" s="208"/>
      <c r="KRN158" s="209"/>
      <c r="KRO158" s="207"/>
      <c r="KRP158" s="210"/>
      <c r="KRQ158" s="209"/>
      <c r="KRR158" s="204"/>
      <c r="KRS158" s="204"/>
      <c r="KRT158" s="204"/>
      <c r="KRU158" s="199"/>
      <c r="KRV158" s="167"/>
      <c r="KRW158" s="199"/>
      <c r="KRX158" s="200"/>
      <c r="KRY158" s="201"/>
      <c r="KRZ158" s="202"/>
      <c r="KSA158" s="202"/>
      <c r="KSB158" s="202"/>
      <c r="KSC158" s="202"/>
      <c r="KSD158" s="203"/>
      <c r="KSE158" s="204"/>
      <c r="KSF158" s="204"/>
      <c r="KSG158" s="204"/>
      <c r="KSH158" s="205"/>
      <c r="KSI158" s="206"/>
      <c r="KSJ158" s="207"/>
      <c r="KSK158" s="207"/>
      <c r="KSL158" s="208"/>
      <c r="KSM158" s="209"/>
      <c r="KSN158" s="207"/>
      <c r="KSO158" s="210"/>
      <c r="KSP158" s="209"/>
      <c r="KSQ158" s="204"/>
      <c r="KSR158" s="204"/>
      <c r="KSS158" s="204"/>
      <c r="KST158" s="199"/>
      <c r="KSU158" s="167"/>
      <c r="KSV158" s="199"/>
      <c r="KSW158" s="200"/>
      <c r="KSX158" s="201"/>
      <c r="KSY158" s="202"/>
      <c r="KSZ158" s="202"/>
      <c r="KTA158" s="202"/>
      <c r="KTB158" s="202"/>
      <c r="KTC158" s="203"/>
      <c r="KTD158" s="204"/>
      <c r="KTE158" s="204"/>
      <c r="KTF158" s="204"/>
      <c r="KTG158" s="205"/>
      <c r="KTH158" s="206"/>
      <c r="KTI158" s="207"/>
      <c r="KTJ158" s="207"/>
      <c r="KTK158" s="208"/>
      <c r="KTL158" s="209"/>
      <c r="KTM158" s="207"/>
      <c r="KTN158" s="210"/>
      <c r="KTO158" s="209"/>
      <c r="KTP158" s="204"/>
      <c r="KTQ158" s="204"/>
      <c r="KTR158" s="204"/>
      <c r="KTS158" s="199"/>
      <c r="KTT158" s="167"/>
      <c r="KTU158" s="199"/>
      <c r="KTV158" s="200"/>
      <c r="KTW158" s="201"/>
      <c r="KTX158" s="202"/>
      <c r="KTY158" s="202"/>
      <c r="KTZ158" s="202"/>
      <c r="KUA158" s="202"/>
      <c r="KUB158" s="203"/>
      <c r="KUC158" s="204"/>
      <c r="KUD158" s="204"/>
      <c r="KUE158" s="204"/>
      <c r="KUF158" s="205"/>
      <c r="KUG158" s="206"/>
      <c r="KUH158" s="207"/>
      <c r="KUI158" s="207"/>
      <c r="KUJ158" s="208"/>
      <c r="KUK158" s="209"/>
      <c r="KUL158" s="207"/>
      <c r="KUM158" s="210"/>
      <c r="KUN158" s="209"/>
      <c r="KUO158" s="204"/>
      <c r="KUP158" s="204"/>
      <c r="KUQ158" s="204"/>
      <c r="KUR158" s="199"/>
      <c r="KUS158" s="167"/>
      <c r="KUT158" s="199"/>
      <c r="KUU158" s="200"/>
      <c r="KUV158" s="201"/>
      <c r="KUW158" s="202"/>
      <c r="KUX158" s="202"/>
      <c r="KUY158" s="202"/>
      <c r="KUZ158" s="202"/>
      <c r="KVA158" s="203"/>
      <c r="KVB158" s="204"/>
      <c r="KVC158" s="204"/>
      <c r="KVD158" s="204"/>
      <c r="KVE158" s="205"/>
      <c r="KVF158" s="206"/>
      <c r="KVG158" s="207"/>
      <c r="KVH158" s="207"/>
      <c r="KVI158" s="208"/>
      <c r="KVJ158" s="209"/>
      <c r="KVK158" s="207"/>
      <c r="KVL158" s="210"/>
      <c r="KVM158" s="209"/>
      <c r="KVN158" s="204"/>
      <c r="KVO158" s="204"/>
      <c r="KVP158" s="204"/>
      <c r="KVQ158" s="199"/>
      <c r="KVR158" s="167"/>
      <c r="KVS158" s="199"/>
      <c r="KVT158" s="200"/>
      <c r="KVU158" s="201"/>
      <c r="KVV158" s="202"/>
      <c r="KVW158" s="202"/>
      <c r="KVX158" s="202"/>
      <c r="KVY158" s="202"/>
      <c r="KVZ158" s="203"/>
      <c r="KWA158" s="204"/>
      <c r="KWB158" s="204"/>
      <c r="KWC158" s="204"/>
      <c r="KWD158" s="205"/>
      <c r="KWE158" s="206"/>
      <c r="KWF158" s="207"/>
      <c r="KWG158" s="207"/>
      <c r="KWH158" s="208"/>
      <c r="KWI158" s="209"/>
      <c r="KWJ158" s="207"/>
      <c r="KWK158" s="210"/>
      <c r="KWL158" s="209"/>
      <c r="KWM158" s="204"/>
      <c r="KWN158" s="204"/>
      <c r="KWO158" s="204"/>
      <c r="KWP158" s="199"/>
      <c r="KWQ158" s="167"/>
      <c r="KWR158" s="199"/>
      <c r="KWS158" s="200"/>
      <c r="KWT158" s="201"/>
      <c r="KWU158" s="202"/>
      <c r="KWV158" s="202"/>
      <c r="KWW158" s="202"/>
      <c r="KWX158" s="202"/>
      <c r="KWY158" s="203"/>
      <c r="KWZ158" s="204"/>
      <c r="KXA158" s="204"/>
      <c r="KXB158" s="204"/>
      <c r="KXC158" s="205"/>
      <c r="KXD158" s="206"/>
      <c r="KXE158" s="207"/>
      <c r="KXF158" s="207"/>
      <c r="KXG158" s="208"/>
      <c r="KXH158" s="209"/>
      <c r="KXI158" s="207"/>
      <c r="KXJ158" s="210"/>
      <c r="KXK158" s="209"/>
      <c r="KXL158" s="204"/>
      <c r="KXM158" s="204"/>
      <c r="KXN158" s="204"/>
      <c r="KXO158" s="199"/>
      <c r="KXP158" s="167"/>
      <c r="KXQ158" s="199"/>
      <c r="KXR158" s="200"/>
      <c r="KXS158" s="201"/>
      <c r="KXT158" s="202"/>
      <c r="KXU158" s="202"/>
      <c r="KXV158" s="202"/>
      <c r="KXW158" s="202"/>
      <c r="KXX158" s="203"/>
      <c r="KXY158" s="204"/>
      <c r="KXZ158" s="204"/>
      <c r="KYA158" s="204"/>
      <c r="KYB158" s="205"/>
      <c r="KYC158" s="206"/>
      <c r="KYD158" s="207"/>
      <c r="KYE158" s="207"/>
      <c r="KYF158" s="208"/>
      <c r="KYG158" s="209"/>
      <c r="KYH158" s="207"/>
      <c r="KYI158" s="210"/>
      <c r="KYJ158" s="209"/>
      <c r="KYK158" s="204"/>
      <c r="KYL158" s="204"/>
      <c r="KYM158" s="204"/>
      <c r="KYN158" s="199"/>
      <c r="KYO158" s="167"/>
      <c r="KYP158" s="199"/>
      <c r="KYQ158" s="200"/>
      <c r="KYR158" s="201"/>
      <c r="KYS158" s="202"/>
      <c r="KYT158" s="202"/>
      <c r="KYU158" s="202"/>
      <c r="KYV158" s="202"/>
      <c r="KYW158" s="203"/>
      <c r="KYX158" s="204"/>
      <c r="KYY158" s="204"/>
      <c r="KYZ158" s="204"/>
      <c r="KZA158" s="205"/>
      <c r="KZB158" s="206"/>
      <c r="KZC158" s="207"/>
      <c r="KZD158" s="207"/>
      <c r="KZE158" s="208"/>
      <c r="KZF158" s="209"/>
      <c r="KZG158" s="207"/>
      <c r="KZH158" s="210"/>
      <c r="KZI158" s="209"/>
      <c r="KZJ158" s="204"/>
      <c r="KZK158" s="204"/>
      <c r="KZL158" s="204"/>
      <c r="KZM158" s="199"/>
      <c r="KZN158" s="167"/>
      <c r="KZO158" s="199"/>
      <c r="KZP158" s="200"/>
      <c r="KZQ158" s="201"/>
      <c r="KZR158" s="202"/>
      <c r="KZS158" s="202"/>
      <c r="KZT158" s="202"/>
      <c r="KZU158" s="202"/>
      <c r="KZV158" s="203"/>
      <c r="KZW158" s="204"/>
      <c r="KZX158" s="204"/>
      <c r="KZY158" s="204"/>
      <c r="KZZ158" s="205"/>
      <c r="LAA158" s="206"/>
      <c r="LAB158" s="207"/>
      <c r="LAC158" s="207"/>
      <c r="LAD158" s="208"/>
      <c r="LAE158" s="209"/>
      <c r="LAF158" s="207"/>
      <c r="LAG158" s="210"/>
      <c r="LAH158" s="209"/>
      <c r="LAI158" s="204"/>
      <c r="LAJ158" s="204"/>
      <c r="LAK158" s="204"/>
      <c r="LAL158" s="199"/>
      <c r="LAM158" s="167"/>
      <c r="LAN158" s="199"/>
      <c r="LAO158" s="200"/>
      <c r="LAP158" s="201"/>
      <c r="LAQ158" s="202"/>
      <c r="LAR158" s="202"/>
      <c r="LAS158" s="202"/>
      <c r="LAT158" s="202"/>
      <c r="LAU158" s="203"/>
      <c r="LAV158" s="204"/>
      <c r="LAW158" s="204"/>
      <c r="LAX158" s="204"/>
      <c r="LAY158" s="205"/>
      <c r="LAZ158" s="206"/>
      <c r="LBA158" s="207"/>
      <c r="LBB158" s="207"/>
      <c r="LBC158" s="208"/>
      <c r="LBD158" s="209"/>
      <c r="LBE158" s="207"/>
      <c r="LBF158" s="210"/>
      <c r="LBG158" s="209"/>
      <c r="LBH158" s="204"/>
      <c r="LBI158" s="204"/>
      <c r="LBJ158" s="204"/>
      <c r="LBK158" s="199"/>
      <c r="LBL158" s="167"/>
      <c r="LBM158" s="199"/>
      <c r="LBN158" s="200"/>
      <c r="LBO158" s="201"/>
      <c r="LBP158" s="202"/>
      <c r="LBQ158" s="202"/>
      <c r="LBR158" s="202"/>
      <c r="LBS158" s="202"/>
      <c r="LBT158" s="203"/>
      <c r="LBU158" s="204"/>
      <c r="LBV158" s="204"/>
      <c r="LBW158" s="204"/>
      <c r="LBX158" s="205"/>
      <c r="LBY158" s="206"/>
      <c r="LBZ158" s="207"/>
      <c r="LCA158" s="207"/>
      <c r="LCB158" s="208"/>
      <c r="LCC158" s="209"/>
      <c r="LCD158" s="207"/>
      <c r="LCE158" s="210"/>
      <c r="LCF158" s="209"/>
      <c r="LCG158" s="204"/>
      <c r="LCH158" s="204"/>
      <c r="LCI158" s="204"/>
      <c r="LCJ158" s="199"/>
      <c r="LCK158" s="167"/>
      <c r="LCL158" s="199"/>
      <c r="LCM158" s="200"/>
      <c r="LCN158" s="201"/>
      <c r="LCO158" s="202"/>
      <c r="LCP158" s="202"/>
      <c r="LCQ158" s="202"/>
      <c r="LCR158" s="202"/>
      <c r="LCS158" s="203"/>
      <c r="LCT158" s="204"/>
      <c r="LCU158" s="204"/>
      <c r="LCV158" s="204"/>
      <c r="LCW158" s="205"/>
      <c r="LCX158" s="206"/>
      <c r="LCY158" s="207"/>
      <c r="LCZ158" s="207"/>
      <c r="LDA158" s="208"/>
      <c r="LDB158" s="209"/>
      <c r="LDC158" s="207"/>
      <c r="LDD158" s="210"/>
      <c r="LDE158" s="209"/>
      <c r="LDF158" s="204"/>
      <c r="LDG158" s="204"/>
      <c r="LDH158" s="204"/>
      <c r="LDI158" s="199"/>
      <c r="LDJ158" s="167"/>
      <c r="LDK158" s="199"/>
      <c r="LDL158" s="200"/>
      <c r="LDM158" s="201"/>
      <c r="LDN158" s="202"/>
      <c r="LDO158" s="202"/>
      <c r="LDP158" s="202"/>
      <c r="LDQ158" s="202"/>
      <c r="LDR158" s="203"/>
      <c r="LDS158" s="204"/>
      <c r="LDT158" s="204"/>
      <c r="LDU158" s="204"/>
      <c r="LDV158" s="205"/>
      <c r="LDW158" s="206"/>
      <c r="LDX158" s="207"/>
      <c r="LDY158" s="207"/>
      <c r="LDZ158" s="208"/>
      <c r="LEA158" s="209"/>
      <c r="LEB158" s="207"/>
      <c r="LEC158" s="210"/>
      <c r="LED158" s="209"/>
      <c r="LEE158" s="204"/>
      <c r="LEF158" s="204"/>
      <c r="LEG158" s="204"/>
      <c r="LEH158" s="199"/>
      <c r="LEI158" s="167"/>
      <c r="LEJ158" s="199"/>
      <c r="LEK158" s="200"/>
      <c r="LEL158" s="201"/>
      <c r="LEM158" s="202"/>
      <c r="LEN158" s="202"/>
      <c r="LEO158" s="202"/>
      <c r="LEP158" s="202"/>
      <c r="LEQ158" s="203"/>
      <c r="LER158" s="204"/>
      <c r="LES158" s="204"/>
      <c r="LET158" s="204"/>
      <c r="LEU158" s="205"/>
      <c r="LEV158" s="206"/>
      <c r="LEW158" s="207"/>
      <c r="LEX158" s="207"/>
      <c r="LEY158" s="208"/>
      <c r="LEZ158" s="209"/>
      <c r="LFA158" s="207"/>
      <c r="LFB158" s="210"/>
      <c r="LFC158" s="209"/>
      <c r="LFD158" s="204"/>
      <c r="LFE158" s="204"/>
      <c r="LFF158" s="204"/>
      <c r="LFG158" s="199"/>
      <c r="LFH158" s="167"/>
      <c r="LFI158" s="199"/>
      <c r="LFJ158" s="200"/>
      <c r="LFK158" s="201"/>
      <c r="LFL158" s="202"/>
      <c r="LFM158" s="202"/>
      <c r="LFN158" s="202"/>
      <c r="LFO158" s="202"/>
      <c r="LFP158" s="203"/>
      <c r="LFQ158" s="204"/>
      <c r="LFR158" s="204"/>
      <c r="LFS158" s="204"/>
      <c r="LFT158" s="205"/>
      <c r="LFU158" s="206"/>
      <c r="LFV158" s="207"/>
      <c r="LFW158" s="207"/>
      <c r="LFX158" s="208"/>
      <c r="LFY158" s="209"/>
      <c r="LFZ158" s="207"/>
      <c r="LGA158" s="210"/>
      <c r="LGB158" s="209"/>
      <c r="LGC158" s="204"/>
      <c r="LGD158" s="204"/>
      <c r="LGE158" s="204"/>
      <c r="LGF158" s="199"/>
      <c r="LGG158" s="167"/>
      <c r="LGH158" s="199"/>
      <c r="LGI158" s="200"/>
      <c r="LGJ158" s="201"/>
      <c r="LGK158" s="202"/>
      <c r="LGL158" s="202"/>
      <c r="LGM158" s="202"/>
      <c r="LGN158" s="202"/>
      <c r="LGO158" s="203"/>
      <c r="LGP158" s="204"/>
      <c r="LGQ158" s="204"/>
      <c r="LGR158" s="204"/>
      <c r="LGS158" s="205"/>
      <c r="LGT158" s="206"/>
      <c r="LGU158" s="207"/>
      <c r="LGV158" s="207"/>
      <c r="LGW158" s="208"/>
      <c r="LGX158" s="209"/>
      <c r="LGY158" s="207"/>
      <c r="LGZ158" s="210"/>
      <c r="LHA158" s="209"/>
      <c r="LHB158" s="204"/>
      <c r="LHC158" s="204"/>
      <c r="LHD158" s="204"/>
      <c r="LHE158" s="199"/>
      <c r="LHF158" s="167"/>
      <c r="LHG158" s="199"/>
      <c r="LHH158" s="200"/>
      <c r="LHI158" s="201"/>
      <c r="LHJ158" s="202"/>
      <c r="LHK158" s="202"/>
      <c r="LHL158" s="202"/>
      <c r="LHM158" s="202"/>
      <c r="LHN158" s="203"/>
      <c r="LHO158" s="204"/>
      <c r="LHP158" s="204"/>
      <c r="LHQ158" s="204"/>
      <c r="LHR158" s="205"/>
      <c r="LHS158" s="206"/>
      <c r="LHT158" s="207"/>
      <c r="LHU158" s="207"/>
      <c r="LHV158" s="208"/>
      <c r="LHW158" s="209"/>
      <c r="LHX158" s="207"/>
      <c r="LHY158" s="210"/>
      <c r="LHZ158" s="209"/>
      <c r="LIA158" s="204"/>
      <c r="LIB158" s="204"/>
      <c r="LIC158" s="204"/>
      <c r="LID158" s="199"/>
      <c r="LIE158" s="167"/>
      <c r="LIF158" s="199"/>
      <c r="LIG158" s="200"/>
      <c r="LIH158" s="201"/>
      <c r="LII158" s="202"/>
      <c r="LIJ158" s="202"/>
      <c r="LIK158" s="202"/>
      <c r="LIL158" s="202"/>
      <c r="LIM158" s="203"/>
      <c r="LIN158" s="204"/>
      <c r="LIO158" s="204"/>
      <c r="LIP158" s="204"/>
      <c r="LIQ158" s="205"/>
      <c r="LIR158" s="206"/>
      <c r="LIS158" s="207"/>
      <c r="LIT158" s="207"/>
      <c r="LIU158" s="208"/>
      <c r="LIV158" s="209"/>
      <c r="LIW158" s="207"/>
      <c r="LIX158" s="210"/>
      <c r="LIY158" s="209"/>
      <c r="LIZ158" s="204"/>
      <c r="LJA158" s="204"/>
      <c r="LJB158" s="204"/>
      <c r="LJC158" s="199"/>
      <c r="LJD158" s="167"/>
      <c r="LJE158" s="199"/>
      <c r="LJF158" s="200"/>
      <c r="LJG158" s="201"/>
      <c r="LJH158" s="202"/>
      <c r="LJI158" s="202"/>
      <c r="LJJ158" s="202"/>
      <c r="LJK158" s="202"/>
      <c r="LJL158" s="203"/>
      <c r="LJM158" s="204"/>
      <c r="LJN158" s="204"/>
      <c r="LJO158" s="204"/>
      <c r="LJP158" s="205"/>
      <c r="LJQ158" s="206"/>
      <c r="LJR158" s="207"/>
      <c r="LJS158" s="207"/>
      <c r="LJT158" s="208"/>
      <c r="LJU158" s="209"/>
      <c r="LJV158" s="207"/>
      <c r="LJW158" s="210"/>
      <c r="LJX158" s="209"/>
      <c r="LJY158" s="204"/>
      <c r="LJZ158" s="204"/>
      <c r="LKA158" s="204"/>
      <c r="LKB158" s="199"/>
      <c r="LKC158" s="167"/>
      <c r="LKD158" s="199"/>
      <c r="LKE158" s="200"/>
      <c r="LKF158" s="201"/>
      <c r="LKG158" s="202"/>
      <c r="LKH158" s="202"/>
      <c r="LKI158" s="202"/>
      <c r="LKJ158" s="202"/>
      <c r="LKK158" s="203"/>
      <c r="LKL158" s="204"/>
      <c r="LKM158" s="204"/>
      <c r="LKN158" s="204"/>
      <c r="LKO158" s="205"/>
      <c r="LKP158" s="206"/>
      <c r="LKQ158" s="207"/>
      <c r="LKR158" s="207"/>
      <c r="LKS158" s="208"/>
      <c r="LKT158" s="209"/>
      <c r="LKU158" s="207"/>
      <c r="LKV158" s="210"/>
      <c r="LKW158" s="209"/>
      <c r="LKX158" s="204"/>
      <c r="LKY158" s="204"/>
      <c r="LKZ158" s="204"/>
      <c r="LLA158" s="199"/>
      <c r="LLB158" s="167"/>
      <c r="LLC158" s="199"/>
      <c r="LLD158" s="200"/>
      <c r="LLE158" s="201"/>
      <c r="LLF158" s="202"/>
      <c r="LLG158" s="202"/>
      <c r="LLH158" s="202"/>
      <c r="LLI158" s="202"/>
      <c r="LLJ158" s="203"/>
      <c r="LLK158" s="204"/>
      <c r="LLL158" s="204"/>
      <c r="LLM158" s="204"/>
      <c r="LLN158" s="205"/>
      <c r="LLO158" s="206"/>
      <c r="LLP158" s="207"/>
      <c r="LLQ158" s="207"/>
      <c r="LLR158" s="208"/>
      <c r="LLS158" s="209"/>
      <c r="LLT158" s="207"/>
      <c r="LLU158" s="210"/>
      <c r="LLV158" s="209"/>
      <c r="LLW158" s="204"/>
      <c r="LLX158" s="204"/>
      <c r="LLY158" s="204"/>
      <c r="LLZ158" s="199"/>
      <c r="LMA158" s="167"/>
      <c r="LMB158" s="199"/>
      <c r="LMC158" s="200"/>
      <c r="LMD158" s="201"/>
      <c r="LME158" s="202"/>
      <c r="LMF158" s="202"/>
      <c r="LMG158" s="202"/>
      <c r="LMH158" s="202"/>
      <c r="LMI158" s="203"/>
      <c r="LMJ158" s="204"/>
      <c r="LMK158" s="204"/>
      <c r="LML158" s="204"/>
      <c r="LMM158" s="205"/>
      <c r="LMN158" s="206"/>
      <c r="LMO158" s="207"/>
      <c r="LMP158" s="207"/>
      <c r="LMQ158" s="208"/>
      <c r="LMR158" s="209"/>
      <c r="LMS158" s="207"/>
      <c r="LMT158" s="210"/>
      <c r="LMU158" s="209"/>
      <c r="LMV158" s="204"/>
      <c r="LMW158" s="204"/>
      <c r="LMX158" s="204"/>
      <c r="LMY158" s="199"/>
      <c r="LMZ158" s="167"/>
      <c r="LNA158" s="199"/>
      <c r="LNB158" s="200"/>
      <c r="LNC158" s="201"/>
      <c r="LND158" s="202"/>
      <c r="LNE158" s="202"/>
      <c r="LNF158" s="202"/>
      <c r="LNG158" s="202"/>
      <c r="LNH158" s="203"/>
      <c r="LNI158" s="204"/>
      <c r="LNJ158" s="204"/>
      <c r="LNK158" s="204"/>
      <c r="LNL158" s="205"/>
      <c r="LNM158" s="206"/>
      <c r="LNN158" s="207"/>
      <c r="LNO158" s="207"/>
      <c r="LNP158" s="208"/>
      <c r="LNQ158" s="209"/>
      <c r="LNR158" s="207"/>
      <c r="LNS158" s="210"/>
      <c r="LNT158" s="209"/>
      <c r="LNU158" s="204"/>
      <c r="LNV158" s="204"/>
      <c r="LNW158" s="204"/>
      <c r="LNX158" s="199"/>
      <c r="LNY158" s="167"/>
      <c r="LNZ158" s="199"/>
      <c r="LOA158" s="200"/>
      <c r="LOB158" s="201"/>
      <c r="LOC158" s="202"/>
      <c r="LOD158" s="202"/>
      <c r="LOE158" s="202"/>
      <c r="LOF158" s="202"/>
      <c r="LOG158" s="203"/>
      <c r="LOH158" s="204"/>
      <c r="LOI158" s="204"/>
      <c r="LOJ158" s="204"/>
      <c r="LOK158" s="205"/>
      <c r="LOL158" s="206"/>
      <c r="LOM158" s="207"/>
      <c r="LON158" s="207"/>
      <c r="LOO158" s="208"/>
      <c r="LOP158" s="209"/>
      <c r="LOQ158" s="207"/>
      <c r="LOR158" s="210"/>
      <c r="LOS158" s="209"/>
      <c r="LOT158" s="204"/>
      <c r="LOU158" s="204"/>
      <c r="LOV158" s="204"/>
      <c r="LOW158" s="199"/>
      <c r="LOX158" s="167"/>
      <c r="LOY158" s="199"/>
      <c r="LOZ158" s="200"/>
      <c r="LPA158" s="201"/>
      <c r="LPB158" s="202"/>
      <c r="LPC158" s="202"/>
      <c r="LPD158" s="202"/>
      <c r="LPE158" s="202"/>
      <c r="LPF158" s="203"/>
      <c r="LPG158" s="204"/>
      <c r="LPH158" s="204"/>
      <c r="LPI158" s="204"/>
      <c r="LPJ158" s="205"/>
      <c r="LPK158" s="206"/>
      <c r="LPL158" s="207"/>
      <c r="LPM158" s="207"/>
      <c r="LPN158" s="208"/>
      <c r="LPO158" s="209"/>
      <c r="LPP158" s="207"/>
      <c r="LPQ158" s="210"/>
      <c r="LPR158" s="209"/>
      <c r="LPS158" s="204"/>
      <c r="LPT158" s="204"/>
      <c r="LPU158" s="204"/>
      <c r="LPV158" s="199"/>
      <c r="LPW158" s="167"/>
      <c r="LPX158" s="199"/>
      <c r="LPY158" s="200"/>
      <c r="LPZ158" s="201"/>
      <c r="LQA158" s="202"/>
      <c r="LQB158" s="202"/>
      <c r="LQC158" s="202"/>
      <c r="LQD158" s="202"/>
      <c r="LQE158" s="203"/>
      <c r="LQF158" s="204"/>
      <c r="LQG158" s="204"/>
      <c r="LQH158" s="204"/>
      <c r="LQI158" s="205"/>
      <c r="LQJ158" s="206"/>
      <c r="LQK158" s="207"/>
      <c r="LQL158" s="207"/>
      <c r="LQM158" s="208"/>
      <c r="LQN158" s="209"/>
      <c r="LQO158" s="207"/>
      <c r="LQP158" s="210"/>
      <c r="LQQ158" s="209"/>
      <c r="LQR158" s="204"/>
      <c r="LQS158" s="204"/>
      <c r="LQT158" s="204"/>
      <c r="LQU158" s="199"/>
      <c r="LQV158" s="167"/>
      <c r="LQW158" s="199"/>
      <c r="LQX158" s="200"/>
      <c r="LQY158" s="201"/>
      <c r="LQZ158" s="202"/>
      <c r="LRA158" s="202"/>
      <c r="LRB158" s="202"/>
      <c r="LRC158" s="202"/>
      <c r="LRD158" s="203"/>
      <c r="LRE158" s="204"/>
      <c r="LRF158" s="204"/>
      <c r="LRG158" s="204"/>
      <c r="LRH158" s="205"/>
      <c r="LRI158" s="206"/>
      <c r="LRJ158" s="207"/>
      <c r="LRK158" s="207"/>
      <c r="LRL158" s="208"/>
      <c r="LRM158" s="209"/>
      <c r="LRN158" s="207"/>
      <c r="LRO158" s="210"/>
      <c r="LRP158" s="209"/>
      <c r="LRQ158" s="204"/>
      <c r="LRR158" s="204"/>
      <c r="LRS158" s="204"/>
      <c r="LRT158" s="199"/>
      <c r="LRU158" s="167"/>
      <c r="LRV158" s="199"/>
      <c r="LRW158" s="200"/>
      <c r="LRX158" s="201"/>
      <c r="LRY158" s="202"/>
      <c r="LRZ158" s="202"/>
      <c r="LSA158" s="202"/>
      <c r="LSB158" s="202"/>
      <c r="LSC158" s="203"/>
      <c r="LSD158" s="204"/>
      <c r="LSE158" s="204"/>
      <c r="LSF158" s="204"/>
      <c r="LSG158" s="205"/>
      <c r="LSH158" s="206"/>
      <c r="LSI158" s="207"/>
      <c r="LSJ158" s="207"/>
      <c r="LSK158" s="208"/>
      <c r="LSL158" s="209"/>
      <c r="LSM158" s="207"/>
      <c r="LSN158" s="210"/>
      <c r="LSO158" s="209"/>
      <c r="LSP158" s="204"/>
      <c r="LSQ158" s="204"/>
      <c r="LSR158" s="204"/>
      <c r="LSS158" s="199"/>
      <c r="LST158" s="167"/>
      <c r="LSU158" s="199"/>
      <c r="LSV158" s="200"/>
      <c r="LSW158" s="201"/>
      <c r="LSX158" s="202"/>
      <c r="LSY158" s="202"/>
      <c r="LSZ158" s="202"/>
      <c r="LTA158" s="202"/>
      <c r="LTB158" s="203"/>
      <c r="LTC158" s="204"/>
      <c r="LTD158" s="204"/>
      <c r="LTE158" s="204"/>
      <c r="LTF158" s="205"/>
      <c r="LTG158" s="206"/>
      <c r="LTH158" s="207"/>
      <c r="LTI158" s="207"/>
      <c r="LTJ158" s="208"/>
      <c r="LTK158" s="209"/>
      <c r="LTL158" s="207"/>
      <c r="LTM158" s="210"/>
      <c r="LTN158" s="209"/>
      <c r="LTO158" s="204"/>
      <c r="LTP158" s="204"/>
      <c r="LTQ158" s="204"/>
      <c r="LTR158" s="199"/>
      <c r="LTS158" s="167"/>
      <c r="LTT158" s="199"/>
      <c r="LTU158" s="200"/>
      <c r="LTV158" s="201"/>
      <c r="LTW158" s="202"/>
      <c r="LTX158" s="202"/>
      <c r="LTY158" s="202"/>
      <c r="LTZ158" s="202"/>
      <c r="LUA158" s="203"/>
      <c r="LUB158" s="204"/>
      <c r="LUC158" s="204"/>
      <c r="LUD158" s="204"/>
      <c r="LUE158" s="205"/>
      <c r="LUF158" s="206"/>
      <c r="LUG158" s="207"/>
      <c r="LUH158" s="207"/>
      <c r="LUI158" s="208"/>
      <c r="LUJ158" s="209"/>
      <c r="LUK158" s="207"/>
      <c r="LUL158" s="210"/>
      <c r="LUM158" s="209"/>
      <c r="LUN158" s="204"/>
      <c r="LUO158" s="204"/>
      <c r="LUP158" s="204"/>
      <c r="LUQ158" s="199"/>
      <c r="LUR158" s="167"/>
      <c r="LUS158" s="199"/>
      <c r="LUT158" s="200"/>
      <c r="LUU158" s="201"/>
      <c r="LUV158" s="202"/>
      <c r="LUW158" s="202"/>
      <c r="LUX158" s="202"/>
      <c r="LUY158" s="202"/>
      <c r="LUZ158" s="203"/>
      <c r="LVA158" s="204"/>
      <c r="LVB158" s="204"/>
      <c r="LVC158" s="204"/>
      <c r="LVD158" s="205"/>
      <c r="LVE158" s="206"/>
      <c r="LVF158" s="207"/>
      <c r="LVG158" s="207"/>
      <c r="LVH158" s="208"/>
      <c r="LVI158" s="209"/>
      <c r="LVJ158" s="207"/>
      <c r="LVK158" s="210"/>
      <c r="LVL158" s="209"/>
      <c r="LVM158" s="204"/>
      <c r="LVN158" s="204"/>
      <c r="LVO158" s="204"/>
      <c r="LVP158" s="199"/>
      <c r="LVQ158" s="167"/>
      <c r="LVR158" s="199"/>
      <c r="LVS158" s="200"/>
      <c r="LVT158" s="201"/>
      <c r="LVU158" s="202"/>
      <c r="LVV158" s="202"/>
      <c r="LVW158" s="202"/>
      <c r="LVX158" s="202"/>
      <c r="LVY158" s="203"/>
      <c r="LVZ158" s="204"/>
      <c r="LWA158" s="204"/>
      <c r="LWB158" s="204"/>
      <c r="LWC158" s="205"/>
      <c r="LWD158" s="206"/>
      <c r="LWE158" s="207"/>
      <c r="LWF158" s="207"/>
      <c r="LWG158" s="208"/>
      <c r="LWH158" s="209"/>
      <c r="LWI158" s="207"/>
      <c r="LWJ158" s="210"/>
      <c r="LWK158" s="209"/>
      <c r="LWL158" s="204"/>
      <c r="LWM158" s="204"/>
      <c r="LWN158" s="204"/>
      <c r="LWO158" s="199"/>
      <c r="LWP158" s="167"/>
      <c r="LWQ158" s="199"/>
      <c r="LWR158" s="200"/>
      <c r="LWS158" s="201"/>
      <c r="LWT158" s="202"/>
      <c r="LWU158" s="202"/>
      <c r="LWV158" s="202"/>
      <c r="LWW158" s="202"/>
      <c r="LWX158" s="203"/>
      <c r="LWY158" s="204"/>
      <c r="LWZ158" s="204"/>
      <c r="LXA158" s="204"/>
      <c r="LXB158" s="205"/>
      <c r="LXC158" s="206"/>
      <c r="LXD158" s="207"/>
      <c r="LXE158" s="207"/>
      <c r="LXF158" s="208"/>
      <c r="LXG158" s="209"/>
      <c r="LXH158" s="207"/>
      <c r="LXI158" s="210"/>
      <c r="LXJ158" s="209"/>
      <c r="LXK158" s="204"/>
      <c r="LXL158" s="204"/>
      <c r="LXM158" s="204"/>
      <c r="LXN158" s="199"/>
      <c r="LXO158" s="167"/>
      <c r="LXP158" s="199"/>
      <c r="LXQ158" s="200"/>
      <c r="LXR158" s="201"/>
      <c r="LXS158" s="202"/>
      <c r="LXT158" s="202"/>
      <c r="LXU158" s="202"/>
      <c r="LXV158" s="202"/>
      <c r="LXW158" s="203"/>
      <c r="LXX158" s="204"/>
      <c r="LXY158" s="204"/>
      <c r="LXZ158" s="204"/>
      <c r="LYA158" s="205"/>
      <c r="LYB158" s="206"/>
      <c r="LYC158" s="207"/>
      <c r="LYD158" s="207"/>
      <c r="LYE158" s="208"/>
      <c r="LYF158" s="209"/>
      <c r="LYG158" s="207"/>
      <c r="LYH158" s="210"/>
      <c r="LYI158" s="209"/>
      <c r="LYJ158" s="204"/>
      <c r="LYK158" s="204"/>
      <c r="LYL158" s="204"/>
      <c r="LYM158" s="199"/>
      <c r="LYN158" s="167"/>
      <c r="LYO158" s="199"/>
      <c r="LYP158" s="200"/>
      <c r="LYQ158" s="201"/>
      <c r="LYR158" s="202"/>
      <c r="LYS158" s="202"/>
      <c r="LYT158" s="202"/>
      <c r="LYU158" s="202"/>
      <c r="LYV158" s="203"/>
      <c r="LYW158" s="204"/>
      <c r="LYX158" s="204"/>
      <c r="LYY158" s="204"/>
      <c r="LYZ158" s="205"/>
      <c r="LZA158" s="206"/>
      <c r="LZB158" s="207"/>
      <c r="LZC158" s="207"/>
      <c r="LZD158" s="208"/>
      <c r="LZE158" s="209"/>
      <c r="LZF158" s="207"/>
      <c r="LZG158" s="210"/>
      <c r="LZH158" s="209"/>
      <c r="LZI158" s="204"/>
      <c r="LZJ158" s="204"/>
      <c r="LZK158" s="204"/>
      <c r="LZL158" s="199"/>
      <c r="LZM158" s="167"/>
      <c r="LZN158" s="199"/>
      <c r="LZO158" s="200"/>
      <c r="LZP158" s="201"/>
      <c r="LZQ158" s="202"/>
      <c r="LZR158" s="202"/>
      <c r="LZS158" s="202"/>
      <c r="LZT158" s="202"/>
      <c r="LZU158" s="203"/>
      <c r="LZV158" s="204"/>
      <c r="LZW158" s="204"/>
      <c r="LZX158" s="204"/>
      <c r="LZY158" s="205"/>
      <c r="LZZ158" s="206"/>
      <c r="MAA158" s="207"/>
      <c r="MAB158" s="207"/>
      <c r="MAC158" s="208"/>
      <c r="MAD158" s="209"/>
      <c r="MAE158" s="207"/>
      <c r="MAF158" s="210"/>
      <c r="MAG158" s="209"/>
      <c r="MAH158" s="204"/>
      <c r="MAI158" s="204"/>
      <c r="MAJ158" s="204"/>
      <c r="MAK158" s="199"/>
      <c r="MAL158" s="167"/>
      <c r="MAM158" s="199"/>
      <c r="MAN158" s="200"/>
      <c r="MAO158" s="201"/>
      <c r="MAP158" s="202"/>
      <c r="MAQ158" s="202"/>
      <c r="MAR158" s="202"/>
      <c r="MAS158" s="202"/>
      <c r="MAT158" s="203"/>
      <c r="MAU158" s="204"/>
      <c r="MAV158" s="204"/>
      <c r="MAW158" s="204"/>
      <c r="MAX158" s="205"/>
      <c r="MAY158" s="206"/>
      <c r="MAZ158" s="207"/>
      <c r="MBA158" s="207"/>
      <c r="MBB158" s="208"/>
      <c r="MBC158" s="209"/>
      <c r="MBD158" s="207"/>
      <c r="MBE158" s="210"/>
      <c r="MBF158" s="209"/>
      <c r="MBG158" s="204"/>
      <c r="MBH158" s="204"/>
      <c r="MBI158" s="204"/>
      <c r="MBJ158" s="199"/>
      <c r="MBK158" s="167"/>
      <c r="MBL158" s="199"/>
      <c r="MBM158" s="200"/>
      <c r="MBN158" s="201"/>
      <c r="MBO158" s="202"/>
      <c r="MBP158" s="202"/>
      <c r="MBQ158" s="202"/>
      <c r="MBR158" s="202"/>
      <c r="MBS158" s="203"/>
      <c r="MBT158" s="204"/>
      <c r="MBU158" s="204"/>
      <c r="MBV158" s="204"/>
      <c r="MBW158" s="205"/>
      <c r="MBX158" s="206"/>
      <c r="MBY158" s="207"/>
      <c r="MBZ158" s="207"/>
      <c r="MCA158" s="208"/>
      <c r="MCB158" s="209"/>
      <c r="MCC158" s="207"/>
      <c r="MCD158" s="210"/>
      <c r="MCE158" s="209"/>
      <c r="MCF158" s="204"/>
      <c r="MCG158" s="204"/>
      <c r="MCH158" s="204"/>
      <c r="MCI158" s="199"/>
      <c r="MCJ158" s="167"/>
      <c r="MCK158" s="199"/>
      <c r="MCL158" s="200"/>
      <c r="MCM158" s="201"/>
      <c r="MCN158" s="202"/>
      <c r="MCO158" s="202"/>
      <c r="MCP158" s="202"/>
      <c r="MCQ158" s="202"/>
      <c r="MCR158" s="203"/>
      <c r="MCS158" s="204"/>
      <c r="MCT158" s="204"/>
      <c r="MCU158" s="204"/>
      <c r="MCV158" s="205"/>
      <c r="MCW158" s="206"/>
      <c r="MCX158" s="207"/>
      <c r="MCY158" s="207"/>
      <c r="MCZ158" s="208"/>
      <c r="MDA158" s="209"/>
      <c r="MDB158" s="207"/>
      <c r="MDC158" s="210"/>
      <c r="MDD158" s="209"/>
      <c r="MDE158" s="204"/>
      <c r="MDF158" s="204"/>
      <c r="MDG158" s="204"/>
      <c r="MDH158" s="199"/>
      <c r="MDI158" s="167"/>
      <c r="MDJ158" s="199"/>
      <c r="MDK158" s="200"/>
      <c r="MDL158" s="201"/>
      <c r="MDM158" s="202"/>
      <c r="MDN158" s="202"/>
      <c r="MDO158" s="202"/>
      <c r="MDP158" s="202"/>
      <c r="MDQ158" s="203"/>
      <c r="MDR158" s="204"/>
      <c r="MDS158" s="204"/>
      <c r="MDT158" s="204"/>
      <c r="MDU158" s="205"/>
      <c r="MDV158" s="206"/>
      <c r="MDW158" s="207"/>
      <c r="MDX158" s="207"/>
      <c r="MDY158" s="208"/>
      <c r="MDZ158" s="209"/>
      <c r="MEA158" s="207"/>
      <c r="MEB158" s="210"/>
      <c r="MEC158" s="209"/>
      <c r="MED158" s="204"/>
      <c r="MEE158" s="204"/>
      <c r="MEF158" s="204"/>
      <c r="MEG158" s="199"/>
      <c r="MEH158" s="167"/>
      <c r="MEI158" s="199"/>
      <c r="MEJ158" s="200"/>
      <c r="MEK158" s="201"/>
      <c r="MEL158" s="202"/>
      <c r="MEM158" s="202"/>
      <c r="MEN158" s="202"/>
      <c r="MEO158" s="202"/>
      <c r="MEP158" s="203"/>
      <c r="MEQ158" s="204"/>
      <c r="MER158" s="204"/>
      <c r="MES158" s="204"/>
      <c r="MET158" s="205"/>
      <c r="MEU158" s="206"/>
      <c r="MEV158" s="207"/>
      <c r="MEW158" s="207"/>
      <c r="MEX158" s="208"/>
      <c r="MEY158" s="209"/>
      <c r="MEZ158" s="207"/>
      <c r="MFA158" s="210"/>
      <c r="MFB158" s="209"/>
      <c r="MFC158" s="204"/>
      <c r="MFD158" s="204"/>
      <c r="MFE158" s="204"/>
      <c r="MFF158" s="199"/>
      <c r="MFG158" s="167"/>
      <c r="MFH158" s="199"/>
      <c r="MFI158" s="200"/>
      <c r="MFJ158" s="201"/>
      <c r="MFK158" s="202"/>
      <c r="MFL158" s="202"/>
      <c r="MFM158" s="202"/>
      <c r="MFN158" s="202"/>
      <c r="MFO158" s="203"/>
      <c r="MFP158" s="204"/>
      <c r="MFQ158" s="204"/>
      <c r="MFR158" s="204"/>
      <c r="MFS158" s="205"/>
      <c r="MFT158" s="206"/>
      <c r="MFU158" s="207"/>
      <c r="MFV158" s="207"/>
      <c r="MFW158" s="208"/>
      <c r="MFX158" s="209"/>
      <c r="MFY158" s="207"/>
      <c r="MFZ158" s="210"/>
      <c r="MGA158" s="209"/>
      <c r="MGB158" s="204"/>
      <c r="MGC158" s="204"/>
      <c r="MGD158" s="204"/>
      <c r="MGE158" s="199"/>
      <c r="MGF158" s="167"/>
      <c r="MGG158" s="199"/>
      <c r="MGH158" s="200"/>
      <c r="MGI158" s="201"/>
      <c r="MGJ158" s="202"/>
      <c r="MGK158" s="202"/>
      <c r="MGL158" s="202"/>
      <c r="MGM158" s="202"/>
      <c r="MGN158" s="203"/>
      <c r="MGO158" s="204"/>
      <c r="MGP158" s="204"/>
      <c r="MGQ158" s="204"/>
      <c r="MGR158" s="205"/>
      <c r="MGS158" s="206"/>
      <c r="MGT158" s="207"/>
      <c r="MGU158" s="207"/>
      <c r="MGV158" s="208"/>
      <c r="MGW158" s="209"/>
      <c r="MGX158" s="207"/>
      <c r="MGY158" s="210"/>
      <c r="MGZ158" s="209"/>
      <c r="MHA158" s="204"/>
      <c r="MHB158" s="204"/>
      <c r="MHC158" s="204"/>
      <c r="MHD158" s="199"/>
      <c r="MHE158" s="167"/>
      <c r="MHF158" s="199"/>
      <c r="MHG158" s="200"/>
      <c r="MHH158" s="201"/>
      <c r="MHI158" s="202"/>
      <c r="MHJ158" s="202"/>
      <c r="MHK158" s="202"/>
      <c r="MHL158" s="202"/>
      <c r="MHM158" s="203"/>
      <c r="MHN158" s="204"/>
      <c r="MHO158" s="204"/>
      <c r="MHP158" s="204"/>
      <c r="MHQ158" s="205"/>
      <c r="MHR158" s="206"/>
      <c r="MHS158" s="207"/>
      <c r="MHT158" s="207"/>
      <c r="MHU158" s="208"/>
      <c r="MHV158" s="209"/>
      <c r="MHW158" s="207"/>
      <c r="MHX158" s="210"/>
      <c r="MHY158" s="209"/>
      <c r="MHZ158" s="204"/>
      <c r="MIA158" s="204"/>
      <c r="MIB158" s="204"/>
      <c r="MIC158" s="199"/>
      <c r="MID158" s="167"/>
      <c r="MIE158" s="199"/>
      <c r="MIF158" s="200"/>
      <c r="MIG158" s="201"/>
      <c r="MIH158" s="202"/>
      <c r="MII158" s="202"/>
      <c r="MIJ158" s="202"/>
      <c r="MIK158" s="202"/>
      <c r="MIL158" s="203"/>
      <c r="MIM158" s="204"/>
      <c r="MIN158" s="204"/>
      <c r="MIO158" s="204"/>
      <c r="MIP158" s="205"/>
      <c r="MIQ158" s="206"/>
      <c r="MIR158" s="207"/>
      <c r="MIS158" s="207"/>
      <c r="MIT158" s="208"/>
      <c r="MIU158" s="209"/>
      <c r="MIV158" s="207"/>
      <c r="MIW158" s="210"/>
      <c r="MIX158" s="209"/>
      <c r="MIY158" s="204"/>
      <c r="MIZ158" s="204"/>
      <c r="MJA158" s="204"/>
      <c r="MJB158" s="199"/>
      <c r="MJC158" s="167"/>
      <c r="MJD158" s="199"/>
      <c r="MJE158" s="200"/>
      <c r="MJF158" s="201"/>
      <c r="MJG158" s="202"/>
      <c r="MJH158" s="202"/>
      <c r="MJI158" s="202"/>
      <c r="MJJ158" s="202"/>
      <c r="MJK158" s="203"/>
      <c r="MJL158" s="204"/>
      <c r="MJM158" s="204"/>
      <c r="MJN158" s="204"/>
      <c r="MJO158" s="205"/>
      <c r="MJP158" s="206"/>
      <c r="MJQ158" s="207"/>
      <c r="MJR158" s="207"/>
      <c r="MJS158" s="208"/>
      <c r="MJT158" s="209"/>
      <c r="MJU158" s="207"/>
      <c r="MJV158" s="210"/>
      <c r="MJW158" s="209"/>
      <c r="MJX158" s="204"/>
      <c r="MJY158" s="204"/>
      <c r="MJZ158" s="204"/>
      <c r="MKA158" s="199"/>
      <c r="MKB158" s="167"/>
      <c r="MKC158" s="199"/>
      <c r="MKD158" s="200"/>
      <c r="MKE158" s="201"/>
      <c r="MKF158" s="202"/>
      <c r="MKG158" s="202"/>
      <c r="MKH158" s="202"/>
      <c r="MKI158" s="202"/>
      <c r="MKJ158" s="203"/>
      <c r="MKK158" s="204"/>
      <c r="MKL158" s="204"/>
      <c r="MKM158" s="204"/>
      <c r="MKN158" s="205"/>
      <c r="MKO158" s="206"/>
      <c r="MKP158" s="207"/>
      <c r="MKQ158" s="207"/>
      <c r="MKR158" s="208"/>
      <c r="MKS158" s="209"/>
      <c r="MKT158" s="207"/>
      <c r="MKU158" s="210"/>
      <c r="MKV158" s="209"/>
      <c r="MKW158" s="204"/>
      <c r="MKX158" s="204"/>
      <c r="MKY158" s="204"/>
      <c r="MKZ158" s="199"/>
      <c r="MLA158" s="167"/>
      <c r="MLB158" s="199"/>
      <c r="MLC158" s="200"/>
      <c r="MLD158" s="201"/>
      <c r="MLE158" s="202"/>
      <c r="MLF158" s="202"/>
      <c r="MLG158" s="202"/>
      <c r="MLH158" s="202"/>
      <c r="MLI158" s="203"/>
      <c r="MLJ158" s="204"/>
      <c r="MLK158" s="204"/>
      <c r="MLL158" s="204"/>
      <c r="MLM158" s="205"/>
      <c r="MLN158" s="206"/>
      <c r="MLO158" s="207"/>
      <c r="MLP158" s="207"/>
      <c r="MLQ158" s="208"/>
      <c r="MLR158" s="209"/>
      <c r="MLS158" s="207"/>
      <c r="MLT158" s="210"/>
      <c r="MLU158" s="209"/>
      <c r="MLV158" s="204"/>
      <c r="MLW158" s="204"/>
      <c r="MLX158" s="204"/>
      <c r="MLY158" s="199"/>
      <c r="MLZ158" s="167"/>
      <c r="MMA158" s="199"/>
      <c r="MMB158" s="200"/>
      <c r="MMC158" s="201"/>
      <c r="MMD158" s="202"/>
      <c r="MME158" s="202"/>
      <c r="MMF158" s="202"/>
      <c r="MMG158" s="202"/>
      <c r="MMH158" s="203"/>
      <c r="MMI158" s="204"/>
      <c r="MMJ158" s="204"/>
      <c r="MMK158" s="204"/>
      <c r="MML158" s="205"/>
      <c r="MMM158" s="206"/>
      <c r="MMN158" s="207"/>
      <c r="MMO158" s="207"/>
      <c r="MMP158" s="208"/>
      <c r="MMQ158" s="209"/>
      <c r="MMR158" s="207"/>
      <c r="MMS158" s="210"/>
      <c r="MMT158" s="209"/>
      <c r="MMU158" s="204"/>
      <c r="MMV158" s="204"/>
      <c r="MMW158" s="204"/>
      <c r="MMX158" s="199"/>
      <c r="MMY158" s="167"/>
      <c r="MMZ158" s="199"/>
      <c r="MNA158" s="200"/>
      <c r="MNB158" s="201"/>
      <c r="MNC158" s="202"/>
      <c r="MND158" s="202"/>
      <c r="MNE158" s="202"/>
      <c r="MNF158" s="202"/>
      <c r="MNG158" s="203"/>
      <c r="MNH158" s="204"/>
      <c r="MNI158" s="204"/>
      <c r="MNJ158" s="204"/>
      <c r="MNK158" s="205"/>
      <c r="MNL158" s="206"/>
      <c r="MNM158" s="207"/>
      <c r="MNN158" s="207"/>
      <c r="MNO158" s="208"/>
      <c r="MNP158" s="209"/>
      <c r="MNQ158" s="207"/>
      <c r="MNR158" s="210"/>
      <c r="MNS158" s="209"/>
      <c r="MNT158" s="204"/>
      <c r="MNU158" s="204"/>
      <c r="MNV158" s="204"/>
      <c r="MNW158" s="199"/>
      <c r="MNX158" s="167"/>
      <c r="MNY158" s="199"/>
      <c r="MNZ158" s="200"/>
      <c r="MOA158" s="201"/>
      <c r="MOB158" s="202"/>
      <c r="MOC158" s="202"/>
      <c r="MOD158" s="202"/>
      <c r="MOE158" s="202"/>
      <c r="MOF158" s="203"/>
      <c r="MOG158" s="204"/>
      <c r="MOH158" s="204"/>
      <c r="MOI158" s="204"/>
      <c r="MOJ158" s="205"/>
      <c r="MOK158" s="206"/>
      <c r="MOL158" s="207"/>
      <c r="MOM158" s="207"/>
      <c r="MON158" s="208"/>
      <c r="MOO158" s="209"/>
      <c r="MOP158" s="207"/>
      <c r="MOQ158" s="210"/>
      <c r="MOR158" s="209"/>
      <c r="MOS158" s="204"/>
      <c r="MOT158" s="204"/>
      <c r="MOU158" s="204"/>
      <c r="MOV158" s="199"/>
      <c r="MOW158" s="167"/>
      <c r="MOX158" s="199"/>
      <c r="MOY158" s="200"/>
      <c r="MOZ158" s="201"/>
      <c r="MPA158" s="202"/>
      <c r="MPB158" s="202"/>
      <c r="MPC158" s="202"/>
      <c r="MPD158" s="202"/>
      <c r="MPE158" s="203"/>
      <c r="MPF158" s="204"/>
      <c r="MPG158" s="204"/>
      <c r="MPH158" s="204"/>
      <c r="MPI158" s="205"/>
      <c r="MPJ158" s="206"/>
      <c r="MPK158" s="207"/>
      <c r="MPL158" s="207"/>
      <c r="MPM158" s="208"/>
      <c r="MPN158" s="209"/>
      <c r="MPO158" s="207"/>
      <c r="MPP158" s="210"/>
      <c r="MPQ158" s="209"/>
      <c r="MPR158" s="204"/>
      <c r="MPS158" s="204"/>
      <c r="MPT158" s="204"/>
      <c r="MPU158" s="199"/>
      <c r="MPV158" s="167"/>
      <c r="MPW158" s="199"/>
      <c r="MPX158" s="200"/>
      <c r="MPY158" s="201"/>
      <c r="MPZ158" s="202"/>
      <c r="MQA158" s="202"/>
      <c r="MQB158" s="202"/>
      <c r="MQC158" s="202"/>
      <c r="MQD158" s="203"/>
      <c r="MQE158" s="204"/>
      <c r="MQF158" s="204"/>
      <c r="MQG158" s="204"/>
      <c r="MQH158" s="205"/>
      <c r="MQI158" s="206"/>
      <c r="MQJ158" s="207"/>
      <c r="MQK158" s="207"/>
      <c r="MQL158" s="208"/>
      <c r="MQM158" s="209"/>
      <c r="MQN158" s="207"/>
      <c r="MQO158" s="210"/>
      <c r="MQP158" s="209"/>
      <c r="MQQ158" s="204"/>
      <c r="MQR158" s="204"/>
      <c r="MQS158" s="204"/>
      <c r="MQT158" s="199"/>
      <c r="MQU158" s="167"/>
      <c r="MQV158" s="199"/>
      <c r="MQW158" s="200"/>
      <c r="MQX158" s="201"/>
      <c r="MQY158" s="202"/>
      <c r="MQZ158" s="202"/>
      <c r="MRA158" s="202"/>
      <c r="MRB158" s="202"/>
      <c r="MRC158" s="203"/>
      <c r="MRD158" s="204"/>
      <c r="MRE158" s="204"/>
      <c r="MRF158" s="204"/>
      <c r="MRG158" s="205"/>
      <c r="MRH158" s="206"/>
      <c r="MRI158" s="207"/>
      <c r="MRJ158" s="207"/>
      <c r="MRK158" s="208"/>
      <c r="MRL158" s="209"/>
      <c r="MRM158" s="207"/>
      <c r="MRN158" s="210"/>
      <c r="MRO158" s="209"/>
      <c r="MRP158" s="204"/>
      <c r="MRQ158" s="204"/>
      <c r="MRR158" s="204"/>
      <c r="MRS158" s="199"/>
      <c r="MRT158" s="167"/>
      <c r="MRU158" s="199"/>
      <c r="MRV158" s="200"/>
      <c r="MRW158" s="201"/>
      <c r="MRX158" s="202"/>
      <c r="MRY158" s="202"/>
      <c r="MRZ158" s="202"/>
      <c r="MSA158" s="202"/>
      <c r="MSB158" s="203"/>
      <c r="MSC158" s="204"/>
      <c r="MSD158" s="204"/>
      <c r="MSE158" s="204"/>
      <c r="MSF158" s="205"/>
      <c r="MSG158" s="206"/>
      <c r="MSH158" s="207"/>
      <c r="MSI158" s="207"/>
      <c r="MSJ158" s="208"/>
      <c r="MSK158" s="209"/>
      <c r="MSL158" s="207"/>
      <c r="MSM158" s="210"/>
      <c r="MSN158" s="209"/>
      <c r="MSO158" s="204"/>
      <c r="MSP158" s="204"/>
      <c r="MSQ158" s="204"/>
      <c r="MSR158" s="199"/>
      <c r="MSS158" s="167"/>
      <c r="MST158" s="199"/>
      <c r="MSU158" s="200"/>
      <c r="MSV158" s="201"/>
      <c r="MSW158" s="202"/>
      <c r="MSX158" s="202"/>
      <c r="MSY158" s="202"/>
      <c r="MSZ158" s="202"/>
      <c r="MTA158" s="203"/>
      <c r="MTB158" s="204"/>
      <c r="MTC158" s="204"/>
      <c r="MTD158" s="204"/>
      <c r="MTE158" s="205"/>
      <c r="MTF158" s="206"/>
      <c r="MTG158" s="207"/>
      <c r="MTH158" s="207"/>
      <c r="MTI158" s="208"/>
      <c r="MTJ158" s="209"/>
      <c r="MTK158" s="207"/>
      <c r="MTL158" s="210"/>
      <c r="MTM158" s="209"/>
      <c r="MTN158" s="204"/>
      <c r="MTO158" s="204"/>
      <c r="MTP158" s="204"/>
      <c r="MTQ158" s="199"/>
      <c r="MTR158" s="167"/>
      <c r="MTS158" s="199"/>
      <c r="MTT158" s="200"/>
      <c r="MTU158" s="201"/>
      <c r="MTV158" s="202"/>
      <c r="MTW158" s="202"/>
      <c r="MTX158" s="202"/>
      <c r="MTY158" s="202"/>
      <c r="MTZ158" s="203"/>
      <c r="MUA158" s="204"/>
      <c r="MUB158" s="204"/>
      <c r="MUC158" s="204"/>
      <c r="MUD158" s="205"/>
      <c r="MUE158" s="206"/>
      <c r="MUF158" s="207"/>
      <c r="MUG158" s="207"/>
      <c r="MUH158" s="208"/>
      <c r="MUI158" s="209"/>
      <c r="MUJ158" s="207"/>
      <c r="MUK158" s="210"/>
      <c r="MUL158" s="209"/>
      <c r="MUM158" s="204"/>
      <c r="MUN158" s="204"/>
      <c r="MUO158" s="204"/>
      <c r="MUP158" s="199"/>
      <c r="MUQ158" s="167"/>
      <c r="MUR158" s="199"/>
      <c r="MUS158" s="200"/>
      <c r="MUT158" s="201"/>
      <c r="MUU158" s="202"/>
      <c r="MUV158" s="202"/>
      <c r="MUW158" s="202"/>
      <c r="MUX158" s="202"/>
      <c r="MUY158" s="203"/>
      <c r="MUZ158" s="204"/>
      <c r="MVA158" s="204"/>
      <c r="MVB158" s="204"/>
      <c r="MVC158" s="205"/>
      <c r="MVD158" s="206"/>
      <c r="MVE158" s="207"/>
      <c r="MVF158" s="207"/>
      <c r="MVG158" s="208"/>
      <c r="MVH158" s="209"/>
      <c r="MVI158" s="207"/>
      <c r="MVJ158" s="210"/>
      <c r="MVK158" s="209"/>
      <c r="MVL158" s="204"/>
      <c r="MVM158" s="204"/>
      <c r="MVN158" s="204"/>
      <c r="MVO158" s="199"/>
      <c r="MVP158" s="167"/>
      <c r="MVQ158" s="199"/>
      <c r="MVR158" s="200"/>
      <c r="MVS158" s="201"/>
      <c r="MVT158" s="202"/>
      <c r="MVU158" s="202"/>
      <c r="MVV158" s="202"/>
      <c r="MVW158" s="202"/>
      <c r="MVX158" s="203"/>
      <c r="MVY158" s="204"/>
      <c r="MVZ158" s="204"/>
      <c r="MWA158" s="204"/>
      <c r="MWB158" s="205"/>
      <c r="MWC158" s="206"/>
      <c r="MWD158" s="207"/>
      <c r="MWE158" s="207"/>
      <c r="MWF158" s="208"/>
      <c r="MWG158" s="209"/>
      <c r="MWH158" s="207"/>
      <c r="MWI158" s="210"/>
      <c r="MWJ158" s="209"/>
      <c r="MWK158" s="204"/>
      <c r="MWL158" s="204"/>
      <c r="MWM158" s="204"/>
      <c r="MWN158" s="199"/>
      <c r="MWO158" s="167"/>
      <c r="MWP158" s="199"/>
      <c r="MWQ158" s="200"/>
      <c r="MWR158" s="201"/>
      <c r="MWS158" s="202"/>
      <c r="MWT158" s="202"/>
      <c r="MWU158" s="202"/>
      <c r="MWV158" s="202"/>
      <c r="MWW158" s="203"/>
      <c r="MWX158" s="204"/>
      <c r="MWY158" s="204"/>
      <c r="MWZ158" s="204"/>
      <c r="MXA158" s="205"/>
      <c r="MXB158" s="206"/>
      <c r="MXC158" s="207"/>
      <c r="MXD158" s="207"/>
      <c r="MXE158" s="208"/>
      <c r="MXF158" s="209"/>
      <c r="MXG158" s="207"/>
      <c r="MXH158" s="210"/>
      <c r="MXI158" s="209"/>
      <c r="MXJ158" s="204"/>
      <c r="MXK158" s="204"/>
      <c r="MXL158" s="204"/>
      <c r="MXM158" s="199"/>
      <c r="MXN158" s="167"/>
      <c r="MXO158" s="199"/>
      <c r="MXP158" s="200"/>
      <c r="MXQ158" s="201"/>
      <c r="MXR158" s="202"/>
      <c r="MXS158" s="202"/>
      <c r="MXT158" s="202"/>
      <c r="MXU158" s="202"/>
      <c r="MXV158" s="203"/>
      <c r="MXW158" s="204"/>
      <c r="MXX158" s="204"/>
      <c r="MXY158" s="204"/>
      <c r="MXZ158" s="205"/>
      <c r="MYA158" s="206"/>
      <c r="MYB158" s="207"/>
      <c r="MYC158" s="207"/>
      <c r="MYD158" s="208"/>
      <c r="MYE158" s="209"/>
      <c r="MYF158" s="207"/>
      <c r="MYG158" s="210"/>
      <c r="MYH158" s="209"/>
      <c r="MYI158" s="204"/>
      <c r="MYJ158" s="204"/>
      <c r="MYK158" s="204"/>
      <c r="MYL158" s="199"/>
      <c r="MYM158" s="167"/>
      <c r="MYN158" s="199"/>
      <c r="MYO158" s="200"/>
      <c r="MYP158" s="201"/>
      <c r="MYQ158" s="202"/>
      <c r="MYR158" s="202"/>
      <c r="MYS158" s="202"/>
      <c r="MYT158" s="202"/>
      <c r="MYU158" s="203"/>
      <c r="MYV158" s="204"/>
      <c r="MYW158" s="204"/>
      <c r="MYX158" s="204"/>
      <c r="MYY158" s="205"/>
      <c r="MYZ158" s="206"/>
      <c r="MZA158" s="207"/>
      <c r="MZB158" s="207"/>
      <c r="MZC158" s="208"/>
      <c r="MZD158" s="209"/>
      <c r="MZE158" s="207"/>
      <c r="MZF158" s="210"/>
      <c r="MZG158" s="209"/>
      <c r="MZH158" s="204"/>
      <c r="MZI158" s="204"/>
      <c r="MZJ158" s="204"/>
      <c r="MZK158" s="199"/>
      <c r="MZL158" s="167"/>
      <c r="MZM158" s="199"/>
      <c r="MZN158" s="200"/>
      <c r="MZO158" s="201"/>
      <c r="MZP158" s="202"/>
      <c r="MZQ158" s="202"/>
      <c r="MZR158" s="202"/>
      <c r="MZS158" s="202"/>
      <c r="MZT158" s="203"/>
      <c r="MZU158" s="204"/>
      <c r="MZV158" s="204"/>
      <c r="MZW158" s="204"/>
      <c r="MZX158" s="205"/>
      <c r="MZY158" s="206"/>
      <c r="MZZ158" s="207"/>
      <c r="NAA158" s="207"/>
      <c r="NAB158" s="208"/>
      <c r="NAC158" s="209"/>
      <c r="NAD158" s="207"/>
      <c r="NAE158" s="210"/>
      <c r="NAF158" s="209"/>
      <c r="NAG158" s="204"/>
      <c r="NAH158" s="204"/>
      <c r="NAI158" s="204"/>
      <c r="NAJ158" s="199"/>
      <c r="NAK158" s="167"/>
      <c r="NAL158" s="199"/>
      <c r="NAM158" s="200"/>
      <c r="NAN158" s="201"/>
      <c r="NAO158" s="202"/>
      <c r="NAP158" s="202"/>
      <c r="NAQ158" s="202"/>
      <c r="NAR158" s="202"/>
      <c r="NAS158" s="203"/>
      <c r="NAT158" s="204"/>
      <c r="NAU158" s="204"/>
      <c r="NAV158" s="204"/>
      <c r="NAW158" s="205"/>
      <c r="NAX158" s="206"/>
      <c r="NAY158" s="207"/>
      <c r="NAZ158" s="207"/>
      <c r="NBA158" s="208"/>
      <c r="NBB158" s="209"/>
      <c r="NBC158" s="207"/>
      <c r="NBD158" s="210"/>
      <c r="NBE158" s="209"/>
      <c r="NBF158" s="204"/>
      <c r="NBG158" s="204"/>
      <c r="NBH158" s="204"/>
      <c r="NBI158" s="199"/>
      <c r="NBJ158" s="167"/>
      <c r="NBK158" s="199"/>
      <c r="NBL158" s="200"/>
      <c r="NBM158" s="201"/>
      <c r="NBN158" s="202"/>
      <c r="NBO158" s="202"/>
      <c r="NBP158" s="202"/>
      <c r="NBQ158" s="202"/>
      <c r="NBR158" s="203"/>
      <c r="NBS158" s="204"/>
      <c r="NBT158" s="204"/>
      <c r="NBU158" s="204"/>
      <c r="NBV158" s="205"/>
      <c r="NBW158" s="206"/>
      <c r="NBX158" s="207"/>
      <c r="NBY158" s="207"/>
      <c r="NBZ158" s="208"/>
      <c r="NCA158" s="209"/>
      <c r="NCB158" s="207"/>
      <c r="NCC158" s="210"/>
      <c r="NCD158" s="209"/>
      <c r="NCE158" s="204"/>
      <c r="NCF158" s="204"/>
      <c r="NCG158" s="204"/>
      <c r="NCH158" s="199"/>
      <c r="NCI158" s="167"/>
      <c r="NCJ158" s="199"/>
      <c r="NCK158" s="200"/>
      <c r="NCL158" s="201"/>
      <c r="NCM158" s="202"/>
      <c r="NCN158" s="202"/>
      <c r="NCO158" s="202"/>
      <c r="NCP158" s="202"/>
      <c r="NCQ158" s="203"/>
      <c r="NCR158" s="204"/>
      <c r="NCS158" s="204"/>
      <c r="NCT158" s="204"/>
      <c r="NCU158" s="205"/>
      <c r="NCV158" s="206"/>
      <c r="NCW158" s="207"/>
      <c r="NCX158" s="207"/>
      <c r="NCY158" s="208"/>
      <c r="NCZ158" s="209"/>
      <c r="NDA158" s="207"/>
      <c r="NDB158" s="210"/>
      <c r="NDC158" s="209"/>
      <c r="NDD158" s="204"/>
      <c r="NDE158" s="204"/>
      <c r="NDF158" s="204"/>
      <c r="NDG158" s="199"/>
      <c r="NDH158" s="167"/>
      <c r="NDI158" s="199"/>
      <c r="NDJ158" s="200"/>
      <c r="NDK158" s="201"/>
      <c r="NDL158" s="202"/>
      <c r="NDM158" s="202"/>
      <c r="NDN158" s="202"/>
      <c r="NDO158" s="202"/>
      <c r="NDP158" s="203"/>
      <c r="NDQ158" s="204"/>
      <c r="NDR158" s="204"/>
      <c r="NDS158" s="204"/>
      <c r="NDT158" s="205"/>
      <c r="NDU158" s="206"/>
      <c r="NDV158" s="207"/>
      <c r="NDW158" s="207"/>
      <c r="NDX158" s="208"/>
      <c r="NDY158" s="209"/>
      <c r="NDZ158" s="207"/>
      <c r="NEA158" s="210"/>
      <c r="NEB158" s="209"/>
      <c r="NEC158" s="204"/>
      <c r="NED158" s="204"/>
      <c r="NEE158" s="204"/>
      <c r="NEF158" s="199"/>
      <c r="NEG158" s="167"/>
      <c r="NEH158" s="199"/>
      <c r="NEI158" s="200"/>
      <c r="NEJ158" s="201"/>
      <c r="NEK158" s="202"/>
      <c r="NEL158" s="202"/>
      <c r="NEM158" s="202"/>
      <c r="NEN158" s="202"/>
      <c r="NEO158" s="203"/>
      <c r="NEP158" s="204"/>
      <c r="NEQ158" s="204"/>
      <c r="NER158" s="204"/>
      <c r="NES158" s="205"/>
      <c r="NET158" s="206"/>
      <c r="NEU158" s="207"/>
      <c r="NEV158" s="207"/>
      <c r="NEW158" s="208"/>
      <c r="NEX158" s="209"/>
      <c r="NEY158" s="207"/>
      <c r="NEZ158" s="210"/>
      <c r="NFA158" s="209"/>
      <c r="NFB158" s="204"/>
      <c r="NFC158" s="204"/>
      <c r="NFD158" s="204"/>
      <c r="NFE158" s="199"/>
      <c r="NFF158" s="167"/>
      <c r="NFG158" s="199"/>
      <c r="NFH158" s="200"/>
      <c r="NFI158" s="201"/>
      <c r="NFJ158" s="202"/>
      <c r="NFK158" s="202"/>
      <c r="NFL158" s="202"/>
      <c r="NFM158" s="202"/>
      <c r="NFN158" s="203"/>
      <c r="NFO158" s="204"/>
      <c r="NFP158" s="204"/>
      <c r="NFQ158" s="204"/>
      <c r="NFR158" s="205"/>
      <c r="NFS158" s="206"/>
      <c r="NFT158" s="207"/>
      <c r="NFU158" s="207"/>
      <c r="NFV158" s="208"/>
      <c r="NFW158" s="209"/>
      <c r="NFX158" s="207"/>
      <c r="NFY158" s="210"/>
      <c r="NFZ158" s="209"/>
      <c r="NGA158" s="204"/>
      <c r="NGB158" s="204"/>
      <c r="NGC158" s="204"/>
      <c r="NGD158" s="199"/>
      <c r="NGE158" s="167"/>
      <c r="NGF158" s="199"/>
      <c r="NGG158" s="200"/>
      <c r="NGH158" s="201"/>
      <c r="NGI158" s="202"/>
      <c r="NGJ158" s="202"/>
      <c r="NGK158" s="202"/>
      <c r="NGL158" s="202"/>
      <c r="NGM158" s="203"/>
      <c r="NGN158" s="204"/>
      <c r="NGO158" s="204"/>
      <c r="NGP158" s="204"/>
      <c r="NGQ158" s="205"/>
      <c r="NGR158" s="206"/>
      <c r="NGS158" s="207"/>
      <c r="NGT158" s="207"/>
      <c r="NGU158" s="208"/>
      <c r="NGV158" s="209"/>
      <c r="NGW158" s="207"/>
      <c r="NGX158" s="210"/>
      <c r="NGY158" s="209"/>
      <c r="NGZ158" s="204"/>
      <c r="NHA158" s="204"/>
      <c r="NHB158" s="204"/>
      <c r="NHC158" s="199"/>
      <c r="NHD158" s="167"/>
      <c r="NHE158" s="199"/>
      <c r="NHF158" s="200"/>
      <c r="NHG158" s="201"/>
      <c r="NHH158" s="202"/>
      <c r="NHI158" s="202"/>
      <c r="NHJ158" s="202"/>
      <c r="NHK158" s="202"/>
      <c r="NHL158" s="203"/>
      <c r="NHM158" s="204"/>
      <c r="NHN158" s="204"/>
      <c r="NHO158" s="204"/>
      <c r="NHP158" s="205"/>
      <c r="NHQ158" s="206"/>
      <c r="NHR158" s="207"/>
      <c r="NHS158" s="207"/>
      <c r="NHT158" s="208"/>
      <c r="NHU158" s="209"/>
      <c r="NHV158" s="207"/>
      <c r="NHW158" s="210"/>
      <c r="NHX158" s="209"/>
      <c r="NHY158" s="204"/>
      <c r="NHZ158" s="204"/>
      <c r="NIA158" s="204"/>
      <c r="NIB158" s="199"/>
      <c r="NIC158" s="167"/>
      <c r="NID158" s="199"/>
      <c r="NIE158" s="200"/>
      <c r="NIF158" s="201"/>
      <c r="NIG158" s="202"/>
      <c r="NIH158" s="202"/>
      <c r="NII158" s="202"/>
      <c r="NIJ158" s="202"/>
      <c r="NIK158" s="203"/>
      <c r="NIL158" s="204"/>
      <c r="NIM158" s="204"/>
      <c r="NIN158" s="204"/>
      <c r="NIO158" s="205"/>
      <c r="NIP158" s="206"/>
      <c r="NIQ158" s="207"/>
      <c r="NIR158" s="207"/>
      <c r="NIS158" s="208"/>
      <c r="NIT158" s="209"/>
      <c r="NIU158" s="207"/>
      <c r="NIV158" s="210"/>
      <c r="NIW158" s="209"/>
      <c r="NIX158" s="204"/>
      <c r="NIY158" s="204"/>
      <c r="NIZ158" s="204"/>
      <c r="NJA158" s="199"/>
      <c r="NJB158" s="167"/>
      <c r="NJC158" s="199"/>
      <c r="NJD158" s="200"/>
      <c r="NJE158" s="201"/>
      <c r="NJF158" s="202"/>
      <c r="NJG158" s="202"/>
      <c r="NJH158" s="202"/>
      <c r="NJI158" s="202"/>
      <c r="NJJ158" s="203"/>
      <c r="NJK158" s="204"/>
      <c r="NJL158" s="204"/>
      <c r="NJM158" s="204"/>
      <c r="NJN158" s="205"/>
      <c r="NJO158" s="206"/>
      <c r="NJP158" s="207"/>
      <c r="NJQ158" s="207"/>
      <c r="NJR158" s="208"/>
      <c r="NJS158" s="209"/>
      <c r="NJT158" s="207"/>
      <c r="NJU158" s="210"/>
      <c r="NJV158" s="209"/>
      <c r="NJW158" s="204"/>
      <c r="NJX158" s="204"/>
      <c r="NJY158" s="204"/>
      <c r="NJZ158" s="199"/>
      <c r="NKA158" s="167"/>
      <c r="NKB158" s="199"/>
      <c r="NKC158" s="200"/>
      <c r="NKD158" s="201"/>
      <c r="NKE158" s="202"/>
      <c r="NKF158" s="202"/>
      <c r="NKG158" s="202"/>
      <c r="NKH158" s="202"/>
      <c r="NKI158" s="203"/>
      <c r="NKJ158" s="204"/>
      <c r="NKK158" s="204"/>
      <c r="NKL158" s="204"/>
      <c r="NKM158" s="205"/>
      <c r="NKN158" s="206"/>
      <c r="NKO158" s="207"/>
      <c r="NKP158" s="207"/>
      <c r="NKQ158" s="208"/>
      <c r="NKR158" s="209"/>
      <c r="NKS158" s="207"/>
      <c r="NKT158" s="210"/>
      <c r="NKU158" s="209"/>
      <c r="NKV158" s="204"/>
      <c r="NKW158" s="204"/>
      <c r="NKX158" s="204"/>
      <c r="NKY158" s="199"/>
      <c r="NKZ158" s="167"/>
      <c r="NLA158" s="199"/>
      <c r="NLB158" s="200"/>
      <c r="NLC158" s="201"/>
      <c r="NLD158" s="202"/>
      <c r="NLE158" s="202"/>
      <c r="NLF158" s="202"/>
      <c r="NLG158" s="202"/>
      <c r="NLH158" s="203"/>
      <c r="NLI158" s="204"/>
      <c r="NLJ158" s="204"/>
      <c r="NLK158" s="204"/>
      <c r="NLL158" s="205"/>
      <c r="NLM158" s="206"/>
      <c r="NLN158" s="207"/>
      <c r="NLO158" s="207"/>
      <c r="NLP158" s="208"/>
      <c r="NLQ158" s="209"/>
      <c r="NLR158" s="207"/>
      <c r="NLS158" s="210"/>
      <c r="NLT158" s="209"/>
      <c r="NLU158" s="204"/>
      <c r="NLV158" s="204"/>
      <c r="NLW158" s="204"/>
      <c r="NLX158" s="199"/>
      <c r="NLY158" s="167"/>
      <c r="NLZ158" s="199"/>
      <c r="NMA158" s="200"/>
      <c r="NMB158" s="201"/>
      <c r="NMC158" s="202"/>
      <c r="NMD158" s="202"/>
      <c r="NME158" s="202"/>
      <c r="NMF158" s="202"/>
      <c r="NMG158" s="203"/>
      <c r="NMH158" s="204"/>
      <c r="NMI158" s="204"/>
      <c r="NMJ158" s="204"/>
      <c r="NMK158" s="205"/>
      <c r="NML158" s="206"/>
      <c r="NMM158" s="207"/>
      <c r="NMN158" s="207"/>
      <c r="NMO158" s="208"/>
      <c r="NMP158" s="209"/>
      <c r="NMQ158" s="207"/>
      <c r="NMR158" s="210"/>
      <c r="NMS158" s="209"/>
      <c r="NMT158" s="204"/>
      <c r="NMU158" s="204"/>
      <c r="NMV158" s="204"/>
      <c r="NMW158" s="199"/>
      <c r="NMX158" s="167"/>
      <c r="NMY158" s="199"/>
      <c r="NMZ158" s="200"/>
      <c r="NNA158" s="201"/>
      <c r="NNB158" s="202"/>
      <c r="NNC158" s="202"/>
      <c r="NND158" s="202"/>
      <c r="NNE158" s="202"/>
      <c r="NNF158" s="203"/>
      <c r="NNG158" s="204"/>
      <c r="NNH158" s="204"/>
      <c r="NNI158" s="204"/>
      <c r="NNJ158" s="205"/>
      <c r="NNK158" s="206"/>
      <c r="NNL158" s="207"/>
      <c r="NNM158" s="207"/>
      <c r="NNN158" s="208"/>
      <c r="NNO158" s="209"/>
      <c r="NNP158" s="207"/>
      <c r="NNQ158" s="210"/>
      <c r="NNR158" s="209"/>
      <c r="NNS158" s="204"/>
      <c r="NNT158" s="204"/>
      <c r="NNU158" s="204"/>
      <c r="NNV158" s="199"/>
      <c r="NNW158" s="167"/>
      <c r="NNX158" s="199"/>
      <c r="NNY158" s="200"/>
      <c r="NNZ158" s="201"/>
      <c r="NOA158" s="202"/>
      <c r="NOB158" s="202"/>
      <c r="NOC158" s="202"/>
      <c r="NOD158" s="202"/>
      <c r="NOE158" s="203"/>
      <c r="NOF158" s="204"/>
      <c r="NOG158" s="204"/>
      <c r="NOH158" s="204"/>
      <c r="NOI158" s="205"/>
      <c r="NOJ158" s="206"/>
      <c r="NOK158" s="207"/>
      <c r="NOL158" s="207"/>
      <c r="NOM158" s="208"/>
      <c r="NON158" s="209"/>
      <c r="NOO158" s="207"/>
      <c r="NOP158" s="210"/>
      <c r="NOQ158" s="209"/>
      <c r="NOR158" s="204"/>
      <c r="NOS158" s="204"/>
      <c r="NOT158" s="204"/>
      <c r="NOU158" s="199"/>
      <c r="NOV158" s="167"/>
      <c r="NOW158" s="199"/>
      <c r="NOX158" s="200"/>
      <c r="NOY158" s="201"/>
      <c r="NOZ158" s="202"/>
      <c r="NPA158" s="202"/>
      <c r="NPB158" s="202"/>
      <c r="NPC158" s="202"/>
      <c r="NPD158" s="203"/>
      <c r="NPE158" s="204"/>
      <c r="NPF158" s="204"/>
      <c r="NPG158" s="204"/>
      <c r="NPH158" s="205"/>
      <c r="NPI158" s="206"/>
      <c r="NPJ158" s="207"/>
      <c r="NPK158" s="207"/>
      <c r="NPL158" s="208"/>
      <c r="NPM158" s="209"/>
      <c r="NPN158" s="207"/>
      <c r="NPO158" s="210"/>
      <c r="NPP158" s="209"/>
      <c r="NPQ158" s="204"/>
      <c r="NPR158" s="204"/>
      <c r="NPS158" s="204"/>
      <c r="NPT158" s="199"/>
      <c r="NPU158" s="167"/>
      <c r="NPV158" s="199"/>
      <c r="NPW158" s="200"/>
      <c r="NPX158" s="201"/>
      <c r="NPY158" s="202"/>
      <c r="NPZ158" s="202"/>
      <c r="NQA158" s="202"/>
      <c r="NQB158" s="202"/>
      <c r="NQC158" s="203"/>
      <c r="NQD158" s="204"/>
      <c r="NQE158" s="204"/>
      <c r="NQF158" s="204"/>
      <c r="NQG158" s="205"/>
      <c r="NQH158" s="206"/>
      <c r="NQI158" s="207"/>
      <c r="NQJ158" s="207"/>
      <c r="NQK158" s="208"/>
      <c r="NQL158" s="209"/>
      <c r="NQM158" s="207"/>
      <c r="NQN158" s="210"/>
      <c r="NQO158" s="209"/>
      <c r="NQP158" s="204"/>
      <c r="NQQ158" s="204"/>
      <c r="NQR158" s="204"/>
      <c r="NQS158" s="199"/>
      <c r="NQT158" s="167"/>
      <c r="NQU158" s="199"/>
      <c r="NQV158" s="200"/>
      <c r="NQW158" s="201"/>
      <c r="NQX158" s="202"/>
      <c r="NQY158" s="202"/>
      <c r="NQZ158" s="202"/>
      <c r="NRA158" s="202"/>
      <c r="NRB158" s="203"/>
      <c r="NRC158" s="204"/>
      <c r="NRD158" s="204"/>
      <c r="NRE158" s="204"/>
      <c r="NRF158" s="205"/>
      <c r="NRG158" s="206"/>
      <c r="NRH158" s="207"/>
      <c r="NRI158" s="207"/>
      <c r="NRJ158" s="208"/>
      <c r="NRK158" s="209"/>
      <c r="NRL158" s="207"/>
      <c r="NRM158" s="210"/>
      <c r="NRN158" s="209"/>
      <c r="NRO158" s="204"/>
      <c r="NRP158" s="204"/>
      <c r="NRQ158" s="204"/>
      <c r="NRR158" s="199"/>
      <c r="NRS158" s="167"/>
      <c r="NRT158" s="199"/>
      <c r="NRU158" s="200"/>
      <c r="NRV158" s="201"/>
      <c r="NRW158" s="202"/>
      <c r="NRX158" s="202"/>
      <c r="NRY158" s="202"/>
      <c r="NRZ158" s="202"/>
      <c r="NSA158" s="203"/>
      <c r="NSB158" s="204"/>
      <c r="NSC158" s="204"/>
      <c r="NSD158" s="204"/>
      <c r="NSE158" s="205"/>
      <c r="NSF158" s="206"/>
      <c r="NSG158" s="207"/>
      <c r="NSH158" s="207"/>
      <c r="NSI158" s="208"/>
      <c r="NSJ158" s="209"/>
      <c r="NSK158" s="207"/>
      <c r="NSL158" s="210"/>
      <c r="NSM158" s="209"/>
      <c r="NSN158" s="204"/>
      <c r="NSO158" s="204"/>
      <c r="NSP158" s="204"/>
      <c r="NSQ158" s="199"/>
      <c r="NSR158" s="167"/>
      <c r="NSS158" s="199"/>
      <c r="NST158" s="200"/>
      <c r="NSU158" s="201"/>
      <c r="NSV158" s="202"/>
      <c r="NSW158" s="202"/>
      <c r="NSX158" s="202"/>
      <c r="NSY158" s="202"/>
      <c r="NSZ158" s="203"/>
      <c r="NTA158" s="204"/>
      <c r="NTB158" s="204"/>
      <c r="NTC158" s="204"/>
      <c r="NTD158" s="205"/>
      <c r="NTE158" s="206"/>
      <c r="NTF158" s="207"/>
      <c r="NTG158" s="207"/>
      <c r="NTH158" s="208"/>
      <c r="NTI158" s="209"/>
      <c r="NTJ158" s="207"/>
      <c r="NTK158" s="210"/>
      <c r="NTL158" s="209"/>
      <c r="NTM158" s="204"/>
      <c r="NTN158" s="204"/>
      <c r="NTO158" s="204"/>
      <c r="NTP158" s="199"/>
      <c r="NTQ158" s="167"/>
      <c r="NTR158" s="199"/>
      <c r="NTS158" s="200"/>
      <c r="NTT158" s="201"/>
      <c r="NTU158" s="202"/>
      <c r="NTV158" s="202"/>
      <c r="NTW158" s="202"/>
      <c r="NTX158" s="202"/>
      <c r="NTY158" s="203"/>
      <c r="NTZ158" s="204"/>
      <c r="NUA158" s="204"/>
      <c r="NUB158" s="204"/>
      <c r="NUC158" s="205"/>
      <c r="NUD158" s="206"/>
      <c r="NUE158" s="207"/>
      <c r="NUF158" s="207"/>
      <c r="NUG158" s="208"/>
      <c r="NUH158" s="209"/>
      <c r="NUI158" s="207"/>
      <c r="NUJ158" s="210"/>
      <c r="NUK158" s="209"/>
      <c r="NUL158" s="204"/>
      <c r="NUM158" s="204"/>
      <c r="NUN158" s="204"/>
      <c r="NUO158" s="199"/>
      <c r="NUP158" s="167"/>
      <c r="NUQ158" s="199"/>
      <c r="NUR158" s="200"/>
      <c r="NUS158" s="201"/>
      <c r="NUT158" s="202"/>
      <c r="NUU158" s="202"/>
      <c r="NUV158" s="202"/>
      <c r="NUW158" s="202"/>
      <c r="NUX158" s="203"/>
      <c r="NUY158" s="204"/>
      <c r="NUZ158" s="204"/>
      <c r="NVA158" s="204"/>
      <c r="NVB158" s="205"/>
      <c r="NVC158" s="206"/>
      <c r="NVD158" s="207"/>
      <c r="NVE158" s="207"/>
      <c r="NVF158" s="208"/>
      <c r="NVG158" s="209"/>
      <c r="NVH158" s="207"/>
      <c r="NVI158" s="210"/>
      <c r="NVJ158" s="209"/>
      <c r="NVK158" s="204"/>
      <c r="NVL158" s="204"/>
      <c r="NVM158" s="204"/>
      <c r="NVN158" s="199"/>
      <c r="NVO158" s="167"/>
      <c r="NVP158" s="199"/>
      <c r="NVQ158" s="200"/>
      <c r="NVR158" s="201"/>
      <c r="NVS158" s="202"/>
      <c r="NVT158" s="202"/>
      <c r="NVU158" s="202"/>
      <c r="NVV158" s="202"/>
      <c r="NVW158" s="203"/>
      <c r="NVX158" s="204"/>
      <c r="NVY158" s="204"/>
      <c r="NVZ158" s="204"/>
      <c r="NWA158" s="205"/>
      <c r="NWB158" s="206"/>
      <c r="NWC158" s="207"/>
      <c r="NWD158" s="207"/>
      <c r="NWE158" s="208"/>
      <c r="NWF158" s="209"/>
      <c r="NWG158" s="207"/>
      <c r="NWH158" s="210"/>
      <c r="NWI158" s="209"/>
      <c r="NWJ158" s="204"/>
      <c r="NWK158" s="204"/>
      <c r="NWL158" s="204"/>
      <c r="NWM158" s="199"/>
      <c r="NWN158" s="167"/>
      <c r="NWO158" s="199"/>
      <c r="NWP158" s="200"/>
      <c r="NWQ158" s="201"/>
      <c r="NWR158" s="202"/>
      <c r="NWS158" s="202"/>
      <c r="NWT158" s="202"/>
      <c r="NWU158" s="202"/>
      <c r="NWV158" s="203"/>
      <c r="NWW158" s="204"/>
      <c r="NWX158" s="204"/>
      <c r="NWY158" s="204"/>
      <c r="NWZ158" s="205"/>
      <c r="NXA158" s="206"/>
      <c r="NXB158" s="207"/>
      <c r="NXC158" s="207"/>
      <c r="NXD158" s="208"/>
      <c r="NXE158" s="209"/>
      <c r="NXF158" s="207"/>
      <c r="NXG158" s="210"/>
      <c r="NXH158" s="209"/>
      <c r="NXI158" s="204"/>
      <c r="NXJ158" s="204"/>
      <c r="NXK158" s="204"/>
      <c r="NXL158" s="199"/>
      <c r="NXM158" s="167"/>
      <c r="NXN158" s="199"/>
      <c r="NXO158" s="200"/>
      <c r="NXP158" s="201"/>
      <c r="NXQ158" s="202"/>
      <c r="NXR158" s="202"/>
      <c r="NXS158" s="202"/>
      <c r="NXT158" s="202"/>
      <c r="NXU158" s="203"/>
      <c r="NXV158" s="204"/>
      <c r="NXW158" s="204"/>
      <c r="NXX158" s="204"/>
      <c r="NXY158" s="205"/>
      <c r="NXZ158" s="206"/>
      <c r="NYA158" s="207"/>
      <c r="NYB158" s="207"/>
      <c r="NYC158" s="208"/>
      <c r="NYD158" s="209"/>
      <c r="NYE158" s="207"/>
      <c r="NYF158" s="210"/>
      <c r="NYG158" s="209"/>
      <c r="NYH158" s="204"/>
      <c r="NYI158" s="204"/>
      <c r="NYJ158" s="204"/>
      <c r="NYK158" s="199"/>
      <c r="NYL158" s="167"/>
      <c r="NYM158" s="199"/>
      <c r="NYN158" s="200"/>
      <c r="NYO158" s="201"/>
      <c r="NYP158" s="202"/>
      <c r="NYQ158" s="202"/>
      <c r="NYR158" s="202"/>
      <c r="NYS158" s="202"/>
      <c r="NYT158" s="203"/>
      <c r="NYU158" s="204"/>
      <c r="NYV158" s="204"/>
      <c r="NYW158" s="204"/>
      <c r="NYX158" s="205"/>
      <c r="NYY158" s="206"/>
      <c r="NYZ158" s="207"/>
      <c r="NZA158" s="207"/>
      <c r="NZB158" s="208"/>
      <c r="NZC158" s="209"/>
      <c r="NZD158" s="207"/>
      <c r="NZE158" s="210"/>
      <c r="NZF158" s="209"/>
      <c r="NZG158" s="204"/>
      <c r="NZH158" s="204"/>
      <c r="NZI158" s="204"/>
      <c r="NZJ158" s="199"/>
      <c r="NZK158" s="167"/>
      <c r="NZL158" s="199"/>
      <c r="NZM158" s="200"/>
      <c r="NZN158" s="201"/>
      <c r="NZO158" s="202"/>
      <c r="NZP158" s="202"/>
      <c r="NZQ158" s="202"/>
      <c r="NZR158" s="202"/>
      <c r="NZS158" s="203"/>
      <c r="NZT158" s="204"/>
      <c r="NZU158" s="204"/>
      <c r="NZV158" s="204"/>
      <c r="NZW158" s="205"/>
      <c r="NZX158" s="206"/>
      <c r="NZY158" s="207"/>
      <c r="NZZ158" s="207"/>
      <c r="OAA158" s="208"/>
      <c r="OAB158" s="209"/>
      <c r="OAC158" s="207"/>
      <c r="OAD158" s="210"/>
      <c r="OAE158" s="209"/>
      <c r="OAF158" s="204"/>
      <c r="OAG158" s="204"/>
      <c r="OAH158" s="204"/>
      <c r="OAI158" s="199"/>
      <c r="OAJ158" s="167"/>
      <c r="OAK158" s="199"/>
      <c r="OAL158" s="200"/>
      <c r="OAM158" s="201"/>
      <c r="OAN158" s="202"/>
      <c r="OAO158" s="202"/>
      <c r="OAP158" s="202"/>
      <c r="OAQ158" s="202"/>
      <c r="OAR158" s="203"/>
      <c r="OAS158" s="204"/>
      <c r="OAT158" s="204"/>
      <c r="OAU158" s="204"/>
      <c r="OAV158" s="205"/>
      <c r="OAW158" s="206"/>
      <c r="OAX158" s="207"/>
      <c r="OAY158" s="207"/>
      <c r="OAZ158" s="208"/>
      <c r="OBA158" s="209"/>
      <c r="OBB158" s="207"/>
      <c r="OBC158" s="210"/>
      <c r="OBD158" s="209"/>
      <c r="OBE158" s="204"/>
      <c r="OBF158" s="204"/>
      <c r="OBG158" s="204"/>
      <c r="OBH158" s="199"/>
      <c r="OBI158" s="167"/>
      <c r="OBJ158" s="199"/>
      <c r="OBK158" s="200"/>
      <c r="OBL158" s="201"/>
      <c r="OBM158" s="202"/>
      <c r="OBN158" s="202"/>
      <c r="OBO158" s="202"/>
      <c r="OBP158" s="202"/>
      <c r="OBQ158" s="203"/>
      <c r="OBR158" s="204"/>
      <c r="OBS158" s="204"/>
      <c r="OBT158" s="204"/>
      <c r="OBU158" s="205"/>
      <c r="OBV158" s="206"/>
      <c r="OBW158" s="207"/>
      <c r="OBX158" s="207"/>
      <c r="OBY158" s="208"/>
      <c r="OBZ158" s="209"/>
      <c r="OCA158" s="207"/>
      <c r="OCB158" s="210"/>
      <c r="OCC158" s="209"/>
      <c r="OCD158" s="204"/>
      <c r="OCE158" s="204"/>
      <c r="OCF158" s="204"/>
      <c r="OCG158" s="199"/>
      <c r="OCH158" s="167"/>
      <c r="OCI158" s="199"/>
      <c r="OCJ158" s="200"/>
      <c r="OCK158" s="201"/>
      <c r="OCL158" s="202"/>
      <c r="OCM158" s="202"/>
      <c r="OCN158" s="202"/>
      <c r="OCO158" s="202"/>
      <c r="OCP158" s="203"/>
      <c r="OCQ158" s="204"/>
      <c r="OCR158" s="204"/>
      <c r="OCS158" s="204"/>
      <c r="OCT158" s="205"/>
      <c r="OCU158" s="206"/>
      <c r="OCV158" s="207"/>
      <c r="OCW158" s="207"/>
      <c r="OCX158" s="208"/>
      <c r="OCY158" s="209"/>
      <c r="OCZ158" s="207"/>
      <c r="ODA158" s="210"/>
      <c r="ODB158" s="209"/>
      <c r="ODC158" s="204"/>
      <c r="ODD158" s="204"/>
      <c r="ODE158" s="204"/>
      <c r="ODF158" s="199"/>
      <c r="ODG158" s="167"/>
      <c r="ODH158" s="199"/>
      <c r="ODI158" s="200"/>
      <c r="ODJ158" s="201"/>
      <c r="ODK158" s="202"/>
      <c r="ODL158" s="202"/>
      <c r="ODM158" s="202"/>
      <c r="ODN158" s="202"/>
      <c r="ODO158" s="203"/>
      <c r="ODP158" s="204"/>
      <c r="ODQ158" s="204"/>
      <c r="ODR158" s="204"/>
      <c r="ODS158" s="205"/>
      <c r="ODT158" s="206"/>
      <c r="ODU158" s="207"/>
      <c r="ODV158" s="207"/>
      <c r="ODW158" s="208"/>
      <c r="ODX158" s="209"/>
      <c r="ODY158" s="207"/>
      <c r="ODZ158" s="210"/>
      <c r="OEA158" s="209"/>
      <c r="OEB158" s="204"/>
      <c r="OEC158" s="204"/>
      <c r="OED158" s="204"/>
      <c r="OEE158" s="199"/>
      <c r="OEF158" s="167"/>
      <c r="OEG158" s="199"/>
      <c r="OEH158" s="200"/>
      <c r="OEI158" s="201"/>
      <c r="OEJ158" s="202"/>
      <c r="OEK158" s="202"/>
      <c r="OEL158" s="202"/>
      <c r="OEM158" s="202"/>
      <c r="OEN158" s="203"/>
      <c r="OEO158" s="204"/>
      <c r="OEP158" s="204"/>
      <c r="OEQ158" s="204"/>
      <c r="OER158" s="205"/>
      <c r="OES158" s="206"/>
      <c r="OET158" s="207"/>
      <c r="OEU158" s="207"/>
      <c r="OEV158" s="208"/>
      <c r="OEW158" s="209"/>
      <c r="OEX158" s="207"/>
      <c r="OEY158" s="210"/>
      <c r="OEZ158" s="209"/>
      <c r="OFA158" s="204"/>
      <c r="OFB158" s="204"/>
      <c r="OFC158" s="204"/>
      <c r="OFD158" s="199"/>
      <c r="OFE158" s="167"/>
      <c r="OFF158" s="199"/>
      <c r="OFG158" s="200"/>
      <c r="OFH158" s="201"/>
      <c r="OFI158" s="202"/>
      <c r="OFJ158" s="202"/>
      <c r="OFK158" s="202"/>
      <c r="OFL158" s="202"/>
      <c r="OFM158" s="203"/>
      <c r="OFN158" s="204"/>
      <c r="OFO158" s="204"/>
      <c r="OFP158" s="204"/>
      <c r="OFQ158" s="205"/>
      <c r="OFR158" s="206"/>
      <c r="OFS158" s="207"/>
      <c r="OFT158" s="207"/>
      <c r="OFU158" s="208"/>
      <c r="OFV158" s="209"/>
      <c r="OFW158" s="207"/>
      <c r="OFX158" s="210"/>
      <c r="OFY158" s="209"/>
      <c r="OFZ158" s="204"/>
      <c r="OGA158" s="204"/>
      <c r="OGB158" s="204"/>
      <c r="OGC158" s="199"/>
      <c r="OGD158" s="167"/>
      <c r="OGE158" s="199"/>
      <c r="OGF158" s="200"/>
      <c r="OGG158" s="201"/>
      <c r="OGH158" s="202"/>
      <c r="OGI158" s="202"/>
      <c r="OGJ158" s="202"/>
      <c r="OGK158" s="202"/>
      <c r="OGL158" s="203"/>
      <c r="OGM158" s="204"/>
      <c r="OGN158" s="204"/>
      <c r="OGO158" s="204"/>
      <c r="OGP158" s="205"/>
      <c r="OGQ158" s="206"/>
      <c r="OGR158" s="207"/>
      <c r="OGS158" s="207"/>
      <c r="OGT158" s="208"/>
      <c r="OGU158" s="209"/>
      <c r="OGV158" s="207"/>
      <c r="OGW158" s="210"/>
      <c r="OGX158" s="209"/>
      <c r="OGY158" s="204"/>
      <c r="OGZ158" s="204"/>
      <c r="OHA158" s="204"/>
      <c r="OHB158" s="199"/>
      <c r="OHC158" s="167"/>
      <c r="OHD158" s="199"/>
      <c r="OHE158" s="200"/>
      <c r="OHF158" s="201"/>
      <c r="OHG158" s="202"/>
      <c r="OHH158" s="202"/>
      <c r="OHI158" s="202"/>
      <c r="OHJ158" s="202"/>
      <c r="OHK158" s="203"/>
      <c r="OHL158" s="204"/>
      <c r="OHM158" s="204"/>
      <c r="OHN158" s="204"/>
      <c r="OHO158" s="205"/>
      <c r="OHP158" s="206"/>
      <c r="OHQ158" s="207"/>
      <c r="OHR158" s="207"/>
      <c r="OHS158" s="208"/>
      <c r="OHT158" s="209"/>
      <c r="OHU158" s="207"/>
      <c r="OHV158" s="210"/>
      <c r="OHW158" s="209"/>
      <c r="OHX158" s="204"/>
      <c r="OHY158" s="204"/>
      <c r="OHZ158" s="204"/>
      <c r="OIA158" s="199"/>
      <c r="OIB158" s="167"/>
      <c r="OIC158" s="199"/>
      <c r="OID158" s="200"/>
      <c r="OIE158" s="201"/>
      <c r="OIF158" s="202"/>
      <c r="OIG158" s="202"/>
      <c r="OIH158" s="202"/>
      <c r="OII158" s="202"/>
      <c r="OIJ158" s="203"/>
      <c r="OIK158" s="204"/>
      <c r="OIL158" s="204"/>
      <c r="OIM158" s="204"/>
      <c r="OIN158" s="205"/>
      <c r="OIO158" s="206"/>
      <c r="OIP158" s="207"/>
      <c r="OIQ158" s="207"/>
      <c r="OIR158" s="208"/>
      <c r="OIS158" s="209"/>
      <c r="OIT158" s="207"/>
      <c r="OIU158" s="210"/>
      <c r="OIV158" s="209"/>
      <c r="OIW158" s="204"/>
      <c r="OIX158" s="204"/>
      <c r="OIY158" s="204"/>
      <c r="OIZ158" s="199"/>
      <c r="OJA158" s="167"/>
      <c r="OJB158" s="199"/>
      <c r="OJC158" s="200"/>
      <c r="OJD158" s="201"/>
      <c r="OJE158" s="202"/>
      <c r="OJF158" s="202"/>
      <c r="OJG158" s="202"/>
      <c r="OJH158" s="202"/>
      <c r="OJI158" s="203"/>
      <c r="OJJ158" s="204"/>
      <c r="OJK158" s="204"/>
      <c r="OJL158" s="204"/>
      <c r="OJM158" s="205"/>
      <c r="OJN158" s="206"/>
      <c r="OJO158" s="207"/>
      <c r="OJP158" s="207"/>
      <c r="OJQ158" s="208"/>
      <c r="OJR158" s="209"/>
      <c r="OJS158" s="207"/>
      <c r="OJT158" s="210"/>
      <c r="OJU158" s="209"/>
      <c r="OJV158" s="204"/>
      <c r="OJW158" s="204"/>
      <c r="OJX158" s="204"/>
      <c r="OJY158" s="199"/>
      <c r="OJZ158" s="167"/>
      <c r="OKA158" s="199"/>
      <c r="OKB158" s="200"/>
      <c r="OKC158" s="201"/>
      <c r="OKD158" s="202"/>
      <c r="OKE158" s="202"/>
      <c r="OKF158" s="202"/>
      <c r="OKG158" s="202"/>
      <c r="OKH158" s="203"/>
      <c r="OKI158" s="204"/>
      <c r="OKJ158" s="204"/>
      <c r="OKK158" s="204"/>
      <c r="OKL158" s="205"/>
      <c r="OKM158" s="206"/>
      <c r="OKN158" s="207"/>
      <c r="OKO158" s="207"/>
      <c r="OKP158" s="208"/>
      <c r="OKQ158" s="209"/>
      <c r="OKR158" s="207"/>
      <c r="OKS158" s="210"/>
      <c r="OKT158" s="209"/>
      <c r="OKU158" s="204"/>
      <c r="OKV158" s="204"/>
      <c r="OKW158" s="204"/>
      <c r="OKX158" s="199"/>
      <c r="OKY158" s="167"/>
      <c r="OKZ158" s="199"/>
      <c r="OLA158" s="200"/>
      <c r="OLB158" s="201"/>
      <c r="OLC158" s="202"/>
      <c r="OLD158" s="202"/>
      <c r="OLE158" s="202"/>
      <c r="OLF158" s="202"/>
      <c r="OLG158" s="203"/>
      <c r="OLH158" s="204"/>
      <c r="OLI158" s="204"/>
      <c r="OLJ158" s="204"/>
      <c r="OLK158" s="205"/>
      <c r="OLL158" s="206"/>
      <c r="OLM158" s="207"/>
      <c r="OLN158" s="207"/>
      <c r="OLO158" s="208"/>
      <c r="OLP158" s="209"/>
      <c r="OLQ158" s="207"/>
      <c r="OLR158" s="210"/>
      <c r="OLS158" s="209"/>
      <c r="OLT158" s="204"/>
      <c r="OLU158" s="204"/>
      <c r="OLV158" s="204"/>
      <c r="OLW158" s="199"/>
      <c r="OLX158" s="167"/>
      <c r="OLY158" s="199"/>
      <c r="OLZ158" s="200"/>
      <c r="OMA158" s="201"/>
      <c r="OMB158" s="202"/>
      <c r="OMC158" s="202"/>
      <c r="OMD158" s="202"/>
      <c r="OME158" s="202"/>
      <c r="OMF158" s="203"/>
      <c r="OMG158" s="204"/>
      <c r="OMH158" s="204"/>
      <c r="OMI158" s="204"/>
      <c r="OMJ158" s="205"/>
      <c r="OMK158" s="206"/>
      <c r="OML158" s="207"/>
      <c r="OMM158" s="207"/>
      <c r="OMN158" s="208"/>
      <c r="OMO158" s="209"/>
      <c r="OMP158" s="207"/>
      <c r="OMQ158" s="210"/>
      <c r="OMR158" s="209"/>
      <c r="OMS158" s="204"/>
      <c r="OMT158" s="204"/>
      <c r="OMU158" s="204"/>
      <c r="OMV158" s="199"/>
      <c r="OMW158" s="167"/>
      <c r="OMX158" s="199"/>
      <c r="OMY158" s="200"/>
      <c r="OMZ158" s="201"/>
      <c r="ONA158" s="202"/>
      <c r="ONB158" s="202"/>
      <c r="ONC158" s="202"/>
      <c r="OND158" s="202"/>
      <c r="ONE158" s="203"/>
      <c r="ONF158" s="204"/>
      <c r="ONG158" s="204"/>
      <c r="ONH158" s="204"/>
      <c r="ONI158" s="205"/>
      <c r="ONJ158" s="206"/>
      <c r="ONK158" s="207"/>
      <c r="ONL158" s="207"/>
      <c r="ONM158" s="208"/>
      <c r="ONN158" s="209"/>
      <c r="ONO158" s="207"/>
      <c r="ONP158" s="210"/>
      <c r="ONQ158" s="209"/>
      <c r="ONR158" s="204"/>
      <c r="ONS158" s="204"/>
      <c r="ONT158" s="204"/>
      <c r="ONU158" s="199"/>
      <c r="ONV158" s="167"/>
      <c r="ONW158" s="199"/>
      <c r="ONX158" s="200"/>
      <c r="ONY158" s="201"/>
      <c r="ONZ158" s="202"/>
      <c r="OOA158" s="202"/>
      <c r="OOB158" s="202"/>
      <c r="OOC158" s="202"/>
      <c r="OOD158" s="203"/>
      <c r="OOE158" s="204"/>
      <c r="OOF158" s="204"/>
      <c r="OOG158" s="204"/>
      <c r="OOH158" s="205"/>
      <c r="OOI158" s="206"/>
      <c r="OOJ158" s="207"/>
      <c r="OOK158" s="207"/>
      <c r="OOL158" s="208"/>
      <c r="OOM158" s="209"/>
      <c r="OON158" s="207"/>
      <c r="OOO158" s="210"/>
      <c r="OOP158" s="209"/>
      <c r="OOQ158" s="204"/>
      <c r="OOR158" s="204"/>
      <c r="OOS158" s="204"/>
      <c r="OOT158" s="199"/>
      <c r="OOU158" s="167"/>
      <c r="OOV158" s="199"/>
      <c r="OOW158" s="200"/>
      <c r="OOX158" s="201"/>
      <c r="OOY158" s="202"/>
      <c r="OOZ158" s="202"/>
      <c r="OPA158" s="202"/>
      <c r="OPB158" s="202"/>
      <c r="OPC158" s="203"/>
      <c r="OPD158" s="204"/>
      <c r="OPE158" s="204"/>
      <c r="OPF158" s="204"/>
      <c r="OPG158" s="205"/>
      <c r="OPH158" s="206"/>
      <c r="OPI158" s="207"/>
      <c r="OPJ158" s="207"/>
      <c r="OPK158" s="208"/>
      <c r="OPL158" s="209"/>
      <c r="OPM158" s="207"/>
      <c r="OPN158" s="210"/>
      <c r="OPO158" s="209"/>
      <c r="OPP158" s="204"/>
      <c r="OPQ158" s="204"/>
      <c r="OPR158" s="204"/>
      <c r="OPS158" s="199"/>
      <c r="OPT158" s="167"/>
      <c r="OPU158" s="199"/>
      <c r="OPV158" s="200"/>
      <c r="OPW158" s="201"/>
      <c r="OPX158" s="202"/>
      <c r="OPY158" s="202"/>
      <c r="OPZ158" s="202"/>
      <c r="OQA158" s="202"/>
      <c r="OQB158" s="203"/>
      <c r="OQC158" s="204"/>
      <c r="OQD158" s="204"/>
      <c r="OQE158" s="204"/>
      <c r="OQF158" s="205"/>
      <c r="OQG158" s="206"/>
      <c r="OQH158" s="207"/>
      <c r="OQI158" s="207"/>
      <c r="OQJ158" s="208"/>
      <c r="OQK158" s="209"/>
      <c r="OQL158" s="207"/>
      <c r="OQM158" s="210"/>
      <c r="OQN158" s="209"/>
      <c r="OQO158" s="204"/>
      <c r="OQP158" s="204"/>
      <c r="OQQ158" s="204"/>
      <c r="OQR158" s="199"/>
      <c r="OQS158" s="167"/>
      <c r="OQT158" s="199"/>
      <c r="OQU158" s="200"/>
      <c r="OQV158" s="201"/>
      <c r="OQW158" s="202"/>
      <c r="OQX158" s="202"/>
      <c r="OQY158" s="202"/>
      <c r="OQZ158" s="202"/>
      <c r="ORA158" s="203"/>
      <c r="ORB158" s="204"/>
      <c r="ORC158" s="204"/>
      <c r="ORD158" s="204"/>
      <c r="ORE158" s="205"/>
      <c r="ORF158" s="206"/>
      <c r="ORG158" s="207"/>
      <c r="ORH158" s="207"/>
      <c r="ORI158" s="208"/>
      <c r="ORJ158" s="209"/>
      <c r="ORK158" s="207"/>
      <c r="ORL158" s="210"/>
      <c r="ORM158" s="209"/>
      <c r="ORN158" s="204"/>
      <c r="ORO158" s="204"/>
      <c r="ORP158" s="204"/>
      <c r="ORQ158" s="199"/>
      <c r="ORR158" s="167"/>
      <c r="ORS158" s="199"/>
      <c r="ORT158" s="200"/>
      <c r="ORU158" s="201"/>
      <c r="ORV158" s="202"/>
      <c r="ORW158" s="202"/>
      <c r="ORX158" s="202"/>
      <c r="ORY158" s="202"/>
      <c r="ORZ158" s="203"/>
      <c r="OSA158" s="204"/>
      <c r="OSB158" s="204"/>
      <c r="OSC158" s="204"/>
      <c r="OSD158" s="205"/>
      <c r="OSE158" s="206"/>
      <c r="OSF158" s="207"/>
      <c r="OSG158" s="207"/>
      <c r="OSH158" s="208"/>
      <c r="OSI158" s="209"/>
      <c r="OSJ158" s="207"/>
      <c r="OSK158" s="210"/>
      <c r="OSL158" s="209"/>
      <c r="OSM158" s="204"/>
      <c r="OSN158" s="204"/>
      <c r="OSO158" s="204"/>
      <c r="OSP158" s="199"/>
      <c r="OSQ158" s="167"/>
      <c r="OSR158" s="199"/>
      <c r="OSS158" s="200"/>
      <c r="OST158" s="201"/>
      <c r="OSU158" s="202"/>
      <c r="OSV158" s="202"/>
      <c r="OSW158" s="202"/>
      <c r="OSX158" s="202"/>
      <c r="OSY158" s="203"/>
      <c r="OSZ158" s="204"/>
      <c r="OTA158" s="204"/>
      <c r="OTB158" s="204"/>
      <c r="OTC158" s="205"/>
      <c r="OTD158" s="206"/>
      <c r="OTE158" s="207"/>
      <c r="OTF158" s="207"/>
      <c r="OTG158" s="208"/>
      <c r="OTH158" s="209"/>
      <c r="OTI158" s="207"/>
      <c r="OTJ158" s="210"/>
      <c r="OTK158" s="209"/>
      <c r="OTL158" s="204"/>
      <c r="OTM158" s="204"/>
      <c r="OTN158" s="204"/>
      <c r="OTO158" s="199"/>
      <c r="OTP158" s="167"/>
      <c r="OTQ158" s="199"/>
      <c r="OTR158" s="200"/>
      <c r="OTS158" s="201"/>
      <c r="OTT158" s="202"/>
      <c r="OTU158" s="202"/>
      <c r="OTV158" s="202"/>
      <c r="OTW158" s="202"/>
      <c r="OTX158" s="203"/>
      <c r="OTY158" s="204"/>
      <c r="OTZ158" s="204"/>
      <c r="OUA158" s="204"/>
      <c r="OUB158" s="205"/>
      <c r="OUC158" s="206"/>
      <c r="OUD158" s="207"/>
      <c r="OUE158" s="207"/>
      <c r="OUF158" s="208"/>
      <c r="OUG158" s="209"/>
      <c r="OUH158" s="207"/>
      <c r="OUI158" s="210"/>
      <c r="OUJ158" s="209"/>
      <c r="OUK158" s="204"/>
      <c r="OUL158" s="204"/>
      <c r="OUM158" s="204"/>
      <c r="OUN158" s="199"/>
      <c r="OUO158" s="167"/>
      <c r="OUP158" s="199"/>
      <c r="OUQ158" s="200"/>
      <c r="OUR158" s="201"/>
      <c r="OUS158" s="202"/>
      <c r="OUT158" s="202"/>
      <c r="OUU158" s="202"/>
      <c r="OUV158" s="202"/>
      <c r="OUW158" s="203"/>
      <c r="OUX158" s="204"/>
      <c r="OUY158" s="204"/>
      <c r="OUZ158" s="204"/>
      <c r="OVA158" s="205"/>
      <c r="OVB158" s="206"/>
      <c r="OVC158" s="207"/>
      <c r="OVD158" s="207"/>
      <c r="OVE158" s="208"/>
      <c r="OVF158" s="209"/>
      <c r="OVG158" s="207"/>
      <c r="OVH158" s="210"/>
      <c r="OVI158" s="209"/>
      <c r="OVJ158" s="204"/>
      <c r="OVK158" s="204"/>
      <c r="OVL158" s="204"/>
      <c r="OVM158" s="199"/>
      <c r="OVN158" s="167"/>
      <c r="OVO158" s="199"/>
      <c r="OVP158" s="200"/>
      <c r="OVQ158" s="201"/>
      <c r="OVR158" s="202"/>
      <c r="OVS158" s="202"/>
      <c r="OVT158" s="202"/>
      <c r="OVU158" s="202"/>
      <c r="OVV158" s="203"/>
      <c r="OVW158" s="204"/>
      <c r="OVX158" s="204"/>
      <c r="OVY158" s="204"/>
      <c r="OVZ158" s="205"/>
      <c r="OWA158" s="206"/>
      <c r="OWB158" s="207"/>
      <c r="OWC158" s="207"/>
      <c r="OWD158" s="208"/>
      <c r="OWE158" s="209"/>
      <c r="OWF158" s="207"/>
      <c r="OWG158" s="210"/>
      <c r="OWH158" s="209"/>
      <c r="OWI158" s="204"/>
      <c r="OWJ158" s="204"/>
      <c r="OWK158" s="204"/>
      <c r="OWL158" s="199"/>
      <c r="OWM158" s="167"/>
      <c r="OWN158" s="199"/>
      <c r="OWO158" s="200"/>
      <c r="OWP158" s="201"/>
      <c r="OWQ158" s="202"/>
      <c r="OWR158" s="202"/>
      <c r="OWS158" s="202"/>
      <c r="OWT158" s="202"/>
      <c r="OWU158" s="203"/>
      <c r="OWV158" s="204"/>
      <c r="OWW158" s="204"/>
      <c r="OWX158" s="204"/>
      <c r="OWY158" s="205"/>
      <c r="OWZ158" s="206"/>
      <c r="OXA158" s="207"/>
      <c r="OXB158" s="207"/>
      <c r="OXC158" s="208"/>
      <c r="OXD158" s="209"/>
      <c r="OXE158" s="207"/>
      <c r="OXF158" s="210"/>
      <c r="OXG158" s="209"/>
      <c r="OXH158" s="204"/>
      <c r="OXI158" s="204"/>
      <c r="OXJ158" s="204"/>
      <c r="OXK158" s="199"/>
      <c r="OXL158" s="167"/>
      <c r="OXM158" s="199"/>
      <c r="OXN158" s="200"/>
      <c r="OXO158" s="201"/>
      <c r="OXP158" s="202"/>
      <c r="OXQ158" s="202"/>
      <c r="OXR158" s="202"/>
      <c r="OXS158" s="202"/>
      <c r="OXT158" s="203"/>
      <c r="OXU158" s="204"/>
      <c r="OXV158" s="204"/>
      <c r="OXW158" s="204"/>
      <c r="OXX158" s="205"/>
      <c r="OXY158" s="206"/>
      <c r="OXZ158" s="207"/>
      <c r="OYA158" s="207"/>
      <c r="OYB158" s="208"/>
      <c r="OYC158" s="209"/>
      <c r="OYD158" s="207"/>
      <c r="OYE158" s="210"/>
      <c r="OYF158" s="209"/>
      <c r="OYG158" s="204"/>
      <c r="OYH158" s="204"/>
      <c r="OYI158" s="204"/>
      <c r="OYJ158" s="199"/>
      <c r="OYK158" s="167"/>
      <c r="OYL158" s="199"/>
      <c r="OYM158" s="200"/>
      <c r="OYN158" s="201"/>
      <c r="OYO158" s="202"/>
      <c r="OYP158" s="202"/>
      <c r="OYQ158" s="202"/>
      <c r="OYR158" s="202"/>
      <c r="OYS158" s="203"/>
      <c r="OYT158" s="204"/>
      <c r="OYU158" s="204"/>
      <c r="OYV158" s="204"/>
      <c r="OYW158" s="205"/>
      <c r="OYX158" s="206"/>
      <c r="OYY158" s="207"/>
      <c r="OYZ158" s="207"/>
      <c r="OZA158" s="208"/>
      <c r="OZB158" s="209"/>
      <c r="OZC158" s="207"/>
      <c r="OZD158" s="210"/>
      <c r="OZE158" s="209"/>
      <c r="OZF158" s="204"/>
      <c r="OZG158" s="204"/>
      <c r="OZH158" s="204"/>
      <c r="OZI158" s="199"/>
      <c r="OZJ158" s="167"/>
      <c r="OZK158" s="199"/>
      <c r="OZL158" s="200"/>
      <c r="OZM158" s="201"/>
      <c r="OZN158" s="202"/>
      <c r="OZO158" s="202"/>
      <c r="OZP158" s="202"/>
      <c r="OZQ158" s="202"/>
      <c r="OZR158" s="203"/>
      <c r="OZS158" s="204"/>
      <c r="OZT158" s="204"/>
      <c r="OZU158" s="204"/>
      <c r="OZV158" s="205"/>
      <c r="OZW158" s="206"/>
      <c r="OZX158" s="207"/>
      <c r="OZY158" s="207"/>
      <c r="OZZ158" s="208"/>
      <c r="PAA158" s="209"/>
      <c r="PAB158" s="207"/>
      <c r="PAC158" s="210"/>
      <c r="PAD158" s="209"/>
      <c r="PAE158" s="204"/>
      <c r="PAF158" s="204"/>
      <c r="PAG158" s="204"/>
      <c r="PAH158" s="199"/>
      <c r="PAI158" s="167"/>
      <c r="PAJ158" s="199"/>
      <c r="PAK158" s="200"/>
      <c r="PAL158" s="201"/>
      <c r="PAM158" s="202"/>
      <c r="PAN158" s="202"/>
      <c r="PAO158" s="202"/>
      <c r="PAP158" s="202"/>
      <c r="PAQ158" s="203"/>
      <c r="PAR158" s="204"/>
      <c r="PAS158" s="204"/>
      <c r="PAT158" s="204"/>
      <c r="PAU158" s="205"/>
      <c r="PAV158" s="206"/>
      <c r="PAW158" s="207"/>
      <c r="PAX158" s="207"/>
      <c r="PAY158" s="208"/>
      <c r="PAZ158" s="209"/>
      <c r="PBA158" s="207"/>
      <c r="PBB158" s="210"/>
      <c r="PBC158" s="209"/>
      <c r="PBD158" s="204"/>
      <c r="PBE158" s="204"/>
      <c r="PBF158" s="204"/>
      <c r="PBG158" s="199"/>
      <c r="PBH158" s="167"/>
      <c r="PBI158" s="199"/>
      <c r="PBJ158" s="200"/>
      <c r="PBK158" s="201"/>
      <c r="PBL158" s="202"/>
      <c r="PBM158" s="202"/>
      <c r="PBN158" s="202"/>
      <c r="PBO158" s="202"/>
      <c r="PBP158" s="203"/>
      <c r="PBQ158" s="204"/>
      <c r="PBR158" s="204"/>
      <c r="PBS158" s="204"/>
      <c r="PBT158" s="205"/>
      <c r="PBU158" s="206"/>
      <c r="PBV158" s="207"/>
      <c r="PBW158" s="207"/>
      <c r="PBX158" s="208"/>
      <c r="PBY158" s="209"/>
      <c r="PBZ158" s="207"/>
      <c r="PCA158" s="210"/>
      <c r="PCB158" s="209"/>
      <c r="PCC158" s="204"/>
      <c r="PCD158" s="204"/>
      <c r="PCE158" s="204"/>
      <c r="PCF158" s="199"/>
      <c r="PCG158" s="167"/>
      <c r="PCH158" s="199"/>
      <c r="PCI158" s="200"/>
      <c r="PCJ158" s="201"/>
      <c r="PCK158" s="202"/>
      <c r="PCL158" s="202"/>
      <c r="PCM158" s="202"/>
      <c r="PCN158" s="202"/>
      <c r="PCO158" s="203"/>
      <c r="PCP158" s="204"/>
      <c r="PCQ158" s="204"/>
      <c r="PCR158" s="204"/>
      <c r="PCS158" s="205"/>
      <c r="PCT158" s="206"/>
      <c r="PCU158" s="207"/>
      <c r="PCV158" s="207"/>
      <c r="PCW158" s="208"/>
      <c r="PCX158" s="209"/>
      <c r="PCY158" s="207"/>
      <c r="PCZ158" s="210"/>
      <c r="PDA158" s="209"/>
      <c r="PDB158" s="204"/>
      <c r="PDC158" s="204"/>
      <c r="PDD158" s="204"/>
      <c r="PDE158" s="199"/>
      <c r="PDF158" s="167"/>
      <c r="PDG158" s="199"/>
      <c r="PDH158" s="200"/>
      <c r="PDI158" s="201"/>
      <c r="PDJ158" s="202"/>
      <c r="PDK158" s="202"/>
      <c r="PDL158" s="202"/>
      <c r="PDM158" s="202"/>
      <c r="PDN158" s="203"/>
      <c r="PDO158" s="204"/>
      <c r="PDP158" s="204"/>
      <c r="PDQ158" s="204"/>
      <c r="PDR158" s="205"/>
      <c r="PDS158" s="206"/>
      <c r="PDT158" s="207"/>
      <c r="PDU158" s="207"/>
      <c r="PDV158" s="208"/>
      <c r="PDW158" s="209"/>
      <c r="PDX158" s="207"/>
      <c r="PDY158" s="210"/>
      <c r="PDZ158" s="209"/>
      <c r="PEA158" s="204"/>
      <c r="PEB158" s="204"/>
      <c r="PEC158" s="204"/>
      <c r="PED158" s="199"/>
      <c r="PEE158" s="167"/>
      <c r="PEF158" s="199"/>
      <c r="PEG158" s="200"/>
      <c r="PEH158" s="201"/>
      <c r="PEI158" s="202"/>
      <c r="PEJ158" s="202"/>
      <c r="PEK158" s="202"/>
      <c r="PEL158" s="202"/>
      <c r="PEM158" s="203"/>
      <c r="PEN158" s="204"/>
      <c r="PEO158" s="204"/>
      <c r="PEP158" s="204"/>
      <c r="PEQ158" s="205"/>
      <c r="PER158" s="206"/>
      <c r="PES158" s="207"/>
      <c r="PET158" s="207"/>
      <c r="PEU158" s="208"/>
      <c r="PEV158" s="209"/>
      <c r="PEW158" s="207"/>
      <c r="PEX158" s="210"/>
      <c r="PEY158" s="209"/>
      <c r="PEZ158" s="204"/>
      <c r="PFA158" s="204"/>
      <c r="PFB158" s="204"/>
      <c r="PFC158" s="199"/>
      <c r="PFD158" s="167"/>
      <c r="PFE158" s="199"/>
      <c r="PFF158" s="200"/>
      <c r="PFG158" s="201"/>
      <c r="PFH158" s="202"/>
      <c r="PFI158" s="202"/>
      <c r="PFJ158" s="202"/>
      <c r="PFK158" s="202"/>
      <c r="PFL158" s="203"/>
      <c r="PFM158" s="204"/>
      <c r="PFN158" s="204"/>
      <c r="PFO158" s="204"/>
      <c r="PFP158" s="205"/>
      <c r="PFQ158" s="206"/>
      <c r="PFR158" s="207"/>
      <c r="PFS158" s="207"/>
      <c r="PFT158" s="208"/>
      <c r="PFU158" s="209"/>
      <c r="PFV158" s="207"/>
      <c r="PFW158" s="210"/>
      <c r="PFX158" s="209"/>
      <c r="PFY158" s="204"/>
      <c r="PFZ158" s="204"/>
      <c r="PGA158" s="204"/>
      <c r="PGB158" s="199"/>
      <c r="PGC158" s="167"/>
      <c r="PGD158" s="199"/>
      <c r="PGE158" s="200"/>
      <c r="PGF158" s="201"/>
      <c r="PGG158" s="202"/>
      <c r="PGH158" s="202"/>
      <c r="PGI158" s="202"/>
      <c r="PGJ158" s="202"/>
      <c r="PGK158" s="203"/>
      <c r="PGL158" s="204"/>
      <c r="PGM158" s="204"/>
      <c r="PGN158" s="204"/>
      <c r="PGO158" s="205"/>
      <c r="PGP158" s="206"/>
      <c r="PGQ158" s="207"/>
      <c r="PGR158" s="207"/>
      <c r="PGS158" s="208"/>
      <c r="PGT158" s="209"/>
      <c r="PGU158" s="207"/>
      <c r="PGV158" s="210"/>
      <c r="PGW158" s="209"/>
      <c r="PGX158" s="204"/>
      <c r="PGY158" s="204"/>
      <c r="PGZ158" s="204"/>
      <c r="PHA158" s="199"/>
      <c r="PHB158" s="167"/>
      <c r="PHC158" s="199"/>
      <c r="PHD158" s="200"/>
      <c r="PHE158" s="201"/>
      <c r="PHF158" s="202"/>
      <c r="PHG158" s="202"/>
      <c r="PHH158" s="202"/>
      <c r="PHI158" s="202"/>
      <c r="PHJ158" s="203"/>
      <c r="PHK158" s="204"/>
      <c r="PHL158" s="204"/>
      <c r="PHM158" s="204"/>
      <c r="PHN158" s="205"/>
      <c r="PHO158" s="206"/>
      <c r="PHP158" s="207"/>
      <c r="PHQ158" s="207"/>
      <c r="PHR158" s="208"/>
      <c r="PHS158" s="209"/>
      <c r="PHT158" s="207"/>
      <c r="PHU158" s="210"/>
      <c r="PHV158" s="209"/>
      <c r="PHW158" s="204"/>
      <c r="PHX158" s="204"/>
      <c r="PHY158" s="204"/>
      <c r="PHZ158" s="199"/>
      <c r="PIA158" s="167"/>
      <c r="PIB158" s="199"/>
      <c r="PIC158" s="200"/>
      <c r="PID158" s="201"/>
      <c r="PIE158" s="202"/>
      <c r="PIF158" s="202"/>
      <c r="PIG158" s="202"/>
      <c r="PIH158" s="202"/>
      <c r="PII158" s="203"/>
      <c r="PIJ158" s="204"/>
      <c r="PIK158" s="204"/>
      <c r="PIL158" s="204"/>
      <c r="PIM158" s="205"/>
      <c r="PIN158" s="206"/>
      <c r="PIO158" s="207"/>
      <c r="PIP158" s="207"/>
      <c r="PIQ158" s="208"/>
      <c r="PIR158" s="209"/>
      <c r="PIS158" s="207"/>
      <c r="PIT158" s="210"/>
      <c r="PIU158" s="209"/>
      <c r="PIV158" s="204"/>
      <c r="PIW158" s="204"/>
      <c r="PIX158" s="204"/>
      <c r="PIY158" s="199"/>
      <c r="PIZ158" s="167"/>
      <c r="PJA158" s="199"/>
      <c r="PJB158" s="200"/>
      <c r="PJC158" s="201"/>
      <c r="PJD158" s="202"/>
      <c r="PJE158" s="202"/>
      <c r="PJF158" s="202"/>
      <c r="PJG158" s="202"/>
      <c r="PJH158" s="203"/>
      <c r="PJI158" s="204"/>
      <c r="PJJ158" s="204"/>
      <c r="PJK158" s="204"/>
      <c r="PJL158" s="205"/>
      <c r="PJM158" s="206"/>
      <c r="PJN158" s="207"/>
      <c r="PJO158" s="207"/>
      <c r="PJP158" s="208"/>
      <c r="PJQ158" s="209"/>
      <c r="PJR158" s="207"/>
      <c r="PJS158" s="210"/>
      <c r="PJT158" s="209"/>
      <c r="PJU158" s="204"/>
      <c r="PJV158" s="204"/>
      <c r="PJW158" s="204"/>
      <c r="PJX158" s="199"/>
      <c r="PJY158" s="167"/>
      <c r="PJZ158" s="199"/>
      <c r="PKA158" s="200"/>
      <c r="PKB158" s="201"/>
      <c r="PKC158" s="202"/>
      <c r="PKD158" s="202"/>
      <c r="PKE158" s="202"/>
      <c r="PKF158" s="202"/>
      <c r="PKG158" s="203"/>
      <c r="PKH158" s="204"/>
      <c r="PKI158" s="204"/>
      <c r="PKJ158" s="204"/>
      <c r="PKK158" s="205"/>
      <c r="PKL158" s="206"/>
      <c r="PKM158" s="207"/>
      <c r="PKN158" s="207"/>
      <c r="PKO158" s="208"/>
      <c r="PKP158" s="209"/>
      <c r="PKQ158" s="207"/>
      <c r="PKR158" s="210"/>
      <c r="PKS158" s="209"/>
      <c r="PKT158" s="204"/>
      <c r="PKU158" s="204"/>
      <c r="PKV158" s="204"/>
      <c r="PKW158" s="199"/>
      <c r="PKX158" s="167"/>
      <c r="PKY158" s="199"/>
      <c r="PKZ158" s="200"/>
      <c r="PLA158" s="201"/>
      <c r="PLB158" s="202"/>
      <c r="PLC158" s="202"/>
      <c r="PLD158" s="202"/>
      <c r="PLE158" s="202"/>
      <c r="PLF158" s="203"/>
      <c r="PLG158" s="204"/>
      <c r="PLH158" s="204"/>
      <c r="PLI158" s="204"/>
      <c r="PLJ158" s="205"/>
      <c r="PLK158" s="206"/>
      <c r="PLL158" s="207"/>
      <c r="PLM158" s="207"/>
      <c r="PLN158" s="208"/>
      <c r="PLO158" s="209"/>
      <c r="PLP158" s="207"/>
      <c r="PLQ158" s="210"/>
      <c r="PLR158" s="209"/>
      <c r="PLS158" s="204"/>
      <c r="PLT158" s="204"/>
      <c r="PLU158" s="204"/>
      <c r="PLV158" s="199"/>
      <c r="PLW158" s="167"/>
      <c r="PLX158" s="199"/>
      <c r="PLY158" s="200"/>
      <c r="PLZ158" s="201"/>
      <c r="PMA158" s="202"/>
      <c r="PMB158" s="202"/>
      <c r="PMC158" s="202"/>
      <c r="PMD158" s="202"/>
      <c r="PME158" s="203"/>
      <c r="PMF158" s="204"/>
      <c r="PMG158" s="204"/>
      <c r="PMH158" s="204"/>
      <c r="PMI158" s="205"/>
      <c r="PMJ158" s="206"/>
      <c r="PMK158" s="207"/>
      <c r="PML158" s="207"/>
      <c r="PMM158" s="208"/>
      <c r="PMN158" s="209"/>
      <c r="PMO158" s="207"/>
      <c r="PMP158" s="210"/>
      <c r="PMQ158" s="209"/>
      <c r="PMR158" s="204"/>
      <c r="PMS158" s="204"/>
      <c r="PMT158" s="204"/>
      <c r="PMU158" s="199"/>
      <c r="PMV158" s="167"/>
      <c r="PMW158" s="199"/>
      <c r="PMX158" s="200"/>
      <c r="PMY158" s="201"/>
      <c r="PMZ158" s="202"/>
      <c r="PNA158" s="202"/>
      <c r="PNB158" s="202"/>
      <c r="PNC158" s="202"/>
      <c r="PND158" s="203"/>
      <c r="PNE158" s="204"/>
      <c r="PNF158" s="204"/>
      <c r="PNG158" s="204"/>
      <c r="PNH158" s="205"/>
      <c r="PNI158" s="206"/>
      <c r="PNJ158" s="207"/>
      <c r="PNK158" s="207"/>
      <c r="PNL158" s="208"/>
      <c r="PNM158" s="209"/>
      <c r="PNN158" s="207"/>
      <c r="PNO158" s="210"/>
      <c r="PNP158" s="209"/>
      <c r="PNQ158" s="204"/>
      <c r="PNR158" s="204"/>
      <c r="PNS158" s="204"/>
      <c r="PNT158" s="199"/>
      <c r="PNU158" s="167"/>
      <c r="PNV158" s="199"/>
      <c r="PNW158" s="200"/>
      <c r="PNX158" s="201"/>
      <c r="PNY158" s="202"/>
      <c r="PNZ158" s="202"/>
      <c r="POA158" s="202"/>
      <c r="POB158" s="202"/>
      <c r="POC158" s="203"/>
      <c r="POD158" s="204"/>
      <c r="POE158" s="204"/>
      <c r="POF158" s="204"/>
      <c r="POG158" s="205"/>
      <c r="POH158" s="206"/>
      <c r="POI158" s="207"/>
      <c r="POJ158" s="207"/>
      <c r="POK158" s="208"/>
      <c r="POL158" s="209"/>
      <c r="POM158" s="207"/>
      <c r="PON158" s="210"/>
      <c r="POO158" s="209"/>
      <c r="POP158" s="204"/>
      <c r="POQ158" s="204"/>
      <c r="POR158" s="204"/>
      <c r="POS158" s="199"/>
      <c r="POT158" s="167"/>
      <c r="POU158" s="199"/>
      <c r="POV158" s="200"/>
      <c r="POW158" s="201"/>
      <c r="POX158" s="202"/>
      <c r="POY158" s="202"/>
      <c r="POZ158" s="202"/>
      <c r="PPA158" s="202"/>
      <c r="PPB158" s="203"/>
      <c r="PPC158" s="204"/>
      <c r="PPD158" s="204"/>
      <c r="PPE158" s="204"/>
      <c r="PPF158" s="205"/>
      <c r="PPG158" s="206"/>
      <c r="PPH158" s="207"/>
      <c r="PPI158" s="207"/>
      <c r="PPJ158" s="208"/>
      <c r="PPK158" s="209"/>
      <c r="PPL158" s="207"/>
      <c r="PPM158" s="210"/>
      <c r="PPN158" s="209"/>
      <c r="PPO158" s="204"/>
      <c r="PPP158" s="204"/>
      <c r="PPQ158" s="204"/>
      <c r="PPR158" s="199"/>
      <c r="PPS158" s="167"/>
      <c r="PPT158" s="199"/>
      <c r="PPU158" s="200"/>
      <c r="PPV158" s="201"/>
      <c r="PPW158" s="202"/>
      <c r="PPX158" s="202"/>
      <c r="PPY158" s="202"/>
      <c r="PPZ158" s="202"/>
      <c r="PQA158" s="203"/>
      <c r="PQB158" s="204"/>
      <c r="PQC158" s="204"/>
      <c r="PQD158" s="204"/>
      <c r="PQE158" s="205"/>
      <c r="PQF158" s="206"/>
      <c r="PQG158" s="207"/>
      <c r="PQH158" s="207"/>
      <c r="PQI158" s="208"/>
      <c r="PQJ158" s="209"/>
      <c r="PQK158" s="207"/>
      <c r="PQL158" s="210"/>
      <c r="PQM158" s="209"/>
      <c r="PQN158" s="204"/>
      <c r="PQO158" s="204"/>
      <c r="PQP158" s="204"/>
      <c r="PQQ158" s="199"/>
      <c r="PQR158" s="167"/>
      <c r="PQS158" s="199"/>
      <c r="PQT158" s="200"/>
      <c r="PQU158" s="201"/>
      <c r="PQV158" s="202"/>
      <c r="PQW158" s="202"/>
      <c r="PQX158" s="202"/>
      <c r="PQY158" s="202"/>
      <c r="PQZ158" s="203"/>
      <c r="PRA158" s="204"/>
      <c r="PRB158" s="204"/>
      <c r="PRC158" s="204"/>
      <c r="PRD158" s="205"/>
      <c r="PRE158" s="206"/>
      <c r="PRF158" s="207"/>
      <c r="PRG158" s="207"/>
      <c r="PRH158" s="208"/>
      <c r="PRI158" s="209"/>
      <c r="PRJ158" s="207"/>
      <c r="PRK158" s="210"/>
      <c r="PRL158" s="209"/>
      <c r="PRM158" s="204"/>
      <c r="PRN158" s="204"/>
      <c r="PRO158" s="204"/>
      <c r="PRP158" s="199"/>
      <c r="PRQ158" s="167"/>
      <c r="PRR158" s="199"/>
      <c r="PRS158" s="200"/>
      <c r="PRT158" s="201"/>
      <c r="PRU158" s="202"/>
      <c r="PRV158" s="202"/>
      <c r="PRW158" s="202"/>
      <c r="PRX158" s="202"/>
      <c r="PRY158" s="203"/>
      <c r="PRZ158" s="204"/>
      <c r="PSA158" s="204"/>
      <c r="PSB158" s="204"/>
      <c r="PSC158" s="205"/>
      <c r="PSD158" s="206"/>
      <c r="PSE158" s="207"/>
      <c r="PSF158" s="207"/>
      <c r="PSG158" s="208"/>
      <c r="PSH158" s="209"/>
      <c r="PSI158" s="207"/>
      <c r="PSJ158" s="210"/>
      <c r="PSK158" s="209"/>
      <c r="PSL158" s="204"/>
      <c r="PSM158" s="204"/>
      <c r="PSN158" s="204"/>
      <c r="PSO158" s="199"/>
      <c r="PSP158" s="167"/>
      <c r="PSQ158" s="199"/>
      <c r="PSR158" s="200"/>
      <c r="PSS158" s="201"/>
      <c r="PST158" s="202"/>
      <c r="PSU158" s="202"/>
      <c r="PSV158" s="202"/>
      <c r="PSW158" s="202"/>
      <c r="PSX158" s="203"/>
      <c r="PSY158" s="204"/>
      <c r="PSZ158" s="204"/>
      <c r="PTA158" s="204"/>
      <c r="PTB158" s="205"/>
      <c r="PTC158" s="206"/>
      <c r="PTD158" s="207"/>
      <c r="PTE158" s="207"/>
      <c r="PTF158" s="208"/>
      <c r="PTG158" s="209"/>
      <c r="PTH158" s="207"/>
      <c r="PTI158" s="210"/>
      <c r="PTJ158" s="209"/>
      <c r="PTK158" s="204"/>
      <c r="PTL158" s="204"/>
      <c r="PTM158" s="204"/>
      <c r="PTN158" s="199"/>
      <c r="PTO158" s="167"/>
      <c r="PTP158" s="199"/>
      <c r="PTQ158" s="200"/>
      <c r="PTR158" s="201"/>
      <c r="PTS158" s="202"/>
      <c r="PTT158" s="202"/>
      <c r="PTU158" s="202"/>
      <c r="PTV158" s="202"/>
      <c r="PTW158" s="203"/>
      <c r="PTX158" s="204"/>
      <c r="PTY158" s="204"/>
      <c r="PTZ158" s="204"/>
      <c r="PUA158" s="205"/>
      <c r="PUB158" s="206"/>
      <c r="PUC158" s="207"/>
      <c r="PUD158" s="207"/>
      <c r="PUE158" s="208"/>
      <c r="PUF158" s="209"/>
      <c r="PUG158" s="207"/>
      <c r="PUH158" s="210"/>
      <c r="PUI158" s="209"/>
      <c r="PUJ158" s="204"/>
      <c r="PUK158" s="204"/>
      <c r="PUL158" s="204"/>
      <c r="PUM158" s="199"/>
      <c r="PUN158" s="167"/>
      <c r="PUO158" s="199"/>
      <c r="PUP158" s="200"/>
      <c r="PUQ158" s="201"/>
      <c r="PUR158" s="202"/>
      <c r="PUS158" s="202"/>
      <c r="PUT158" s="202"/>
      <c r="PUU158" s="202"/>
      <c r="PUV158" s="203"/>
      <c r="PUW158" s="204"/>
      <c r="PUX158" s="204"/>
      <c r="PUY158" s="204"/>
      <c r="PUZ158" s="205"/>
      <c r="PVA158" s="206"/>
      <c r="PVB158" s="207"/>
      <c r="PVC158" s="207"/>
      <c r="PVD158" s="208"/>
      <c r="PVE158" s="209"/>
      <c r="PVF158" s="207"/>
      <c r="PVG158" s="210"/>
      <c r="PVH158" s="209"/>
      <c r="PVI158" s="204"/>
      <c r="PVJ158" s="204"/>
      <c r="PVK158" s="204"/>
      <c r="PVL158" s="199"/>
      <c r="PVM158" s="167"/>
      <c r="PVN158" s="199"/>
      <c r="PVO158" s="200"/>
      <c r="PVP158" s="201"/>
      <c r="PVQ158" s="202"/>
      <c r="PVR158" s="202"/>
      <c r="PVS158" s="202"/>
      <c r="PVT158" s="202"/>
      <c r="PVU158" s="203"/>
      <c r="PVV158" s="204"/>
      <c r="PVW158" s="204"/>
      <c r="PVX158" s="204"/>
      <c r="PVY158" s="205"/>
      <c r="PVZ158" s="206"/>
      <c r="PWA158" s="207"/>
      <c r="PWB158" s="207"/>
      <c r="PWC158" s="208"/>
      <c r="PWD158" s="209"/>
      <c r="PWE158" s="207"/>
      <c r="PWF158" s="210"/>
      <c r="PWG158" s="209"/>
      <c r="PWH158" s="204"/>
      <c r="PWI158" s="204"/>
      <c r="PWJ158" s="204"/>
      <c r="PWK158" s="199"/>
      <c r="PWL158" s="167"/>
      <c r="PWM158" s="199"/>
      <c r="PWN158" s="200"/>
      <c r="PWO158" s="201"/>
      <c r="PWP158" s="202"/>
      <c r="PWQ158" s="202"/>
      <c r="PWR158" s="202"/>
      <c r="PWS158" s="202"/>
      <c r="PWT158" s="203"/>
      <c r="PWU158" s="204"/>
      <c r="PWV158" s="204"/>
      <c r="PWW158" s="204"/>
      <c r="PWX158" s="205"/>
      <c r="PWY158" s="206"/>
      <c r="PWZ158" s="207"/>
      <c r="PXA158" s="207"/>
      <c r="PXB158" s="208"/>
      <c r="PXC158" s="209"/>
      <c r="PXD158" s="207"/>
      <c r="PXE158" s="210"/>
      <c r="PXF158" s="209"/>
      <c r="PXG158" s="204"/>
      <c r="PXH158" s="204"/>
      <c r="PXI158" s="204"/>
      <c r="PXJ158" s="199"/>
      <c r="PXK158" s="167"/>
      <c r="PXL158" s="199"/>
      <c r="PXM158" s="200"/>
      <c r="PXN158" s="201"/>
      <c r="PXO158" s="202"/>
      <c r="PXP158" s="202"/>
      <c r="PXQ158" s="202"/>
      <c r="PXR158" s="202"/>
      <c r="PXS158" s="203"/>
      <c r="PXT158" s="204"/>
      <c r="PXU158" s="204"/>
      <c r="PXV158" s="204"/>
      <c r="PXW158" s="205"/>
      <c r="PXX158" s="206"/>
      <c r="PXY158" s="207"/>
      <c r="PXZ158" s="207"/>
      <c r="PYA158" s="208"/>
      <c r="PYB158" s="209"/>
      <c r="PYC158" s="207"/>
      <c r="PYD158" s="210"/>
      <c r="PYE158" s="209"/>
      <c r="PYF158" s="204"/>
      <c r="PYG158" s="204"/>
      <c r="PYH158" s="204"/>
      <c r="PYI158" s="199"/>
      <c r="PYJ158" s="167"/>
      <c r="PYK158" s="199"/>
      <c r="PYL158" s="200"/>
      <c r="PYM158" s="201"/>
      <c r="PYN158" s="202"/>
      <c r="PYO158" s="202"/>
      <c r="PYP158" s="202"/>
      <c r="PYQ158" s="202"/>
      <c r="PYR158" s="203"/>
      <c r="PYS158" s="204"/>
      <c r="PYT158" s="204"/>
      <c r="PYU158" s="204"/>
      <c r="PYV158" s="205"/>
      <c r="PYW158" s="206"/>
      <c r="PYX158" s="207"/>
      <c r="PYY158" s="207"/>
      <c r="PYZ158" s="208"/>
      <c r="PZA158" s="209"/>
      <c r="PZB158" s="207"/>
      <c r="PZC158" s="210"/>
      <c r="PZD158" s="209"/>
      <c r="PZE158" s="204"/>
      <c r="PZF158" s="204"/>
      <c r="PZG158" s="204"/>
      <c r="PZH158" s="199"/>
      <c r="PZI158" s="167"/>
      <c r="PZJ158" s="199"/>
      <c r="PZK158" s="200"/>
      <c r="PZL158" s="201"/>
      <c r="PZM158" s="202"/>
      <c r="PZN158" s="202"/>
      <c r="PZO158" s="202"/>
      <c r="PZP158" s="202"/>
      <c r="PZQ158" s="203"/>
      <c r="PZR158" s="204"/>
      <c r="PZS158" s="204"/>
      <c r="PZT158" s="204"/>
      <c r="PZU158" s="205"/>
      <c r="PZV158" s="206"/>
      <c r="PZW158" s="207"/>
      <c r="PZX158" s="207"/>
      <c r="PZY158" s="208"/>
      <c r="PZZ158" s="209"/>
      <c r="QAA158" s="207"/>
      <c r="QAB158" s="210"/>
      <c r="QAC158" s="209"/>
      <c r="QAD158" s="204"/>
      <c r="QAE158" s="204"/>
      <c r="QAF158" s="204"/>
      <c r="QAG158" s="199"/>
      <c r="QAH158" s="167"/>
      <c r="QAI158" s="199"/>
      <c r="QAJ158" s="200"/>
      <c r="QAK158" s="201"/>
      <c r="QAL158" s="202"/>
      <c r="QAM158" s="202"/>
      <c r="QAN158" s="202"/>
      <c r="QAO158" s="202"/>
      <c r="QAP158" s="203"/>
      <c r="QAQ158" s="204"/>
      <c r="QAR158" s="204"/>
      <c r="QAS158" s="204"/>
      <c r="QAT158" s="205"/>
      <c r="QAU158" s="206"/>
      <c r="QAV158" s="207"/>
      <c r="QAW158" s="207"/>
      <c r="QAX158" s="208"/>
      <c r="QAY158" s="209"/>
      <c r="QAZ158" s="207"/>
      <c r="QBA158" s="210"/>
      <c r="QBB158" s="209"/>
      <c r="QBC158" s="204"/>
      <c r="QBD158" s="204"/>
      <c r="QBE158" s="204"/>
      <c r="QBF158" s="199"/>
      <c r="QBG158" s="167"/>
      <c r="QBH158" s="199"/>
      <c r="QBI158" s="200"/>
      <c r="QBJ158" s="201"/>
      <c r="QBK158" s="202"/>
      <c r="QBL158" s="202"/>
      <c r="QBM158" s="202"/>
      <c r="QBN158" s="202"/>
      <c r="QBO158" s="203"/>
      <c r="QBP158" s="204"/>
      <c r="QBQ158" s="204"/>
      <c r="QBR158" s="204"/>
      <c r="QBS158" s="205"/>
      <c r="QBT158" s="206"/>
      <c r="QBU158" s="207"/>
      <c r="QBV158" s="207"/>
      <c r="QBW158" s="208"/>
      <c r="QBX158" s="209"/>
      <c r="QBY158" s="207"/>
      <c r="QBZ158" s="210"/>
      <c r="QCA158" s="209"/>
      <c r="QCB158" s="204"/>
      <c r="QCC158" s="204"/>
      <c r="QCD158" s="204"/>
      <c r="QCE158" s="199"/>
      <c r="QCF158" s="167"/>
      <c r="QCG158" s="199"/>
      <c r="QCH158" s="200"/>
      <c r="QCI158" s="201"/>
      <c r="QCJ158" s="202"/>
      <c r="QCK158" s="202"/>
      <c r="QCL158" s="202"/>
      <c r="QCM158" s="202"/>
      <c r="QCN158" s="203"/>
      <c r="QCO158" s="204"/>
      <c r="QCP158" s="204"/>
      <c r="QCQ158" s="204"/>
      <c r="QCR158" s="205"/>
      <c r="QCS158" s="206"/>
      <c r="QCT158" s="207"/>
      <c r="QCU158" s="207"/>
      <c r="QCV158" s="208"/>
      <c r="QCW158" s="209"/>
      <c r="QCX158" s="207"/>
      <c r="QCY158" s="210"/>
      <c r="QCZ158" s="209"/>
      <c r="QDA158" s="204"/>
      <c r="QDB158" s="204"/>
      <c r="QDC158" s="204"/>
      <c r="QDD158" s="199"/>
      <c r="QDE158" s="167"/>
      <c r="QDF158" s="199"/>
      <c r="QDG158" s="200"/>
      <c r="QDH158" s="201"/>
      <c r="QDI158" s="202"/>
      <c r="QDJ158" s="202"/>
      <c r="QDK158" s="202"/>
      <c r="QDL158" s="202"/>
      <c r="QDM158" s="203"/>
      <c r="QDN158" s="204"/>
      <c r="QDO158" s="204"/>
      <c r="QDP158" s="204"/>
      <c r="QDQ158" s="205"/>
      <c r="QDR158" s="206"/>
      <c r="QDS158" s="207"/>
      <c r="QDT158" s="207"/>
      <c r="QDU158" s="208"/>
      <c r="QDV158" s="209"/>
      <c r="QDW158" s="207"/>
      <c r="QDX158" s="210"/>
      <c r="QDY158" s="209"/>
      <c r="QDZ158" s="204"/>
      <c r="QEA158" s="204"/>
      <c r="QEB158" s="204"/>
      <c r="QEC158" s="199"/>
      <c r="QED158" s="167"/>
      <c r="QEE158" s="199"/>
      <c r="QEF158" s="200"/>
      <c r="QEG158" s="201"/>
      <c r="QEH158" s="202"/>
      <c r="QEI158" s="202"/>
      <c r="QEJ158" s="202"/>
      <c r="QEK158" s="202"/>
      <c r="QEL158" s="203"/>
      <c r="QEM158" s="204"/>
      <c r="QEN158" s="204"/>
      <c r="QEO158" s="204"/>
      <c r="QEP158" s="205"/>
      <c r="QEQ158" s="206"/>
      <c r="QER158" s="207"/>
      <c r="QES158" s="207"/>
      <c r="QET158" s="208"/>
      <c r="QEU158" s="209"/>
      <c r="QEV158" s="207"/>
      <c r="QEW158" s="210"/>
      <c r="QEX158" s="209"/>
      <c r="QEY158" s="204"/>
      <c r="QEZ158" s="204"/>
      <c r="QFA158" s="204"/>
      <c r="QFB158" s="199"/>
      <c r="QFC158" s="167"/>
      <c r="QFD158" s="199"/>
      <c r="QFE158" s="200"/>
      <c r="QFF158" s="201"/>
      <c r="QFG158" s="202"/>
      <c r="QFH158" s="202"/>
      <c r="QFI158" s="202"/>
      <c r="QFJ158" s="202"/>
      <c r="QFK158" s="203"/>
      <c r="QFL158" s="204"/>
      <c r="QFM158" s="204"/>
      <c r="QFN158" s="204"/>
      <c r="QFO158" s="205"/>
      <c r="QFP158" s="206"/>
      <c r="QFQ158" s="207"/>
      <c r="QFR158" s="207"/>
      <c r="QFS158" s="208"/>
      <c r="QFT158" s="209"/>
      <c r="QFU158" s="207"/>
      <c r="QFV158" s="210"/>
      <c r="QFW158" s="209"/>
      <c r="QFX158" s="204"/>
      <c r="QFY158" s="204"/>
      <c r="QFZ158" s="204"/>
      <c r="QGA158" s="199"/>
      <c r="QGB158" s="167"/>
      <c r="QGC158" s="199"/>
      <c r="QGD158" s="200"/>
      <c r="QGE158" s="201"/>
      <c r="QGF158" s="202"/>
      <c r="QGG158" s="202"/>
      <c r="QGH158" s="202"/>
      <c r="QGI158" s="202"/>
      <c r="QGJ158" s="203"/>
      <c r="QGK158" s="204"/>
      <c r="QGL158" s="204"/>
      <c r="QGM158" s="204"/>
      <c r="QGN158" s="205"/>
      <c r="QGO158" s="206"/>
      <c r="QGP158" s="207"/>
      <c r="QGQ158" s="207"/>
      <c r="QGR158" s="208"/>
      <c r="QGS158" s="209"/>
      <c r="QGT158" s="207"/>
      <c r="QGU158" s="210"/>
      <c r="QGV158" s="209"/>
      <c r="QGW158" s="204"/>
      <c r="QGX158" s="204"/>
      <c r="QGY158" s="204"/>
      <c r="QGZ158" s="199"/>
      <c r="QHA158" s="167"/>
      <c r="QHB158" s="199"/>
      <c r="QHC158" s="200"/>
      <c r="QHD158" s="201"/>
      <c r="QHE158" s="202"/>
      <c r="QHF158" s="202"/>
      <c r="QHG158" s="202"/>
      <c r="QHH158" s="202"/>
      <c r="QHI158" s="203"/>
      <c r="QHJ158" s="204"/>
      <c r="QHK158" s="204"/>
      <c r="QHL158" s="204"/>
      <c r="QHM158" s="205"/>
      <c r="QHN158" s="206"/>
      <c r="QHO158" s="207"/>
      <c r="QHP158" s="207"/>
      <c r="QHQ158" s="208"/>
      <c r="QHR158" s="209"/>
      <c r="QHS158" s="207"/>
      <c r="QHT158" s="210"/>
      <c r="QHU158" s="209"/>
      <c r="QHV158" s="204"/>
      <c r="QHW158" s="204"/>
      <c r="QHX158" s="204"/>
      <c r="QHY158" s="199"/>
      <c r="QHZ158" s="167"/>
      <c r="QIA158" s="199"/>
      <c r="QIB158" s="200"/>
      <c r="QIC158" s="201"/>
      <c r="QID158" s="202"/>
      <c r="QIE158" s="202"/>
      <c r="QIF158" s="202"/>
      <c r="QIG158" s="202"/>
      <c r="QIH158" s="203"/>
      <c r="QII158" s="204"/>
      <c r="QIJ158" s="204"/>
      <c r="QIK158" s="204"/>
      <c r="QIL158" s="205"/>
      <c r="QIM158" s="206"/>
      <c r="QIN158" s="207"/>
      <c r="QIO158" s="207"/>
      <c r="QIP158" s="208"/>
      <c r="QIQ158" s="209"/>
      <c r="QIR158" s="207"/>
      <c r="QIS158" s="210"/>
      <c r="QIT158" s="209"/>
      <c r="QIU158" s="204"/>
      <c r="QIV158" s="204"/>
      <c r="QIW158" s="204"/>
      <c r="QIX158" s="199"/>
      <c r="QIY158" s="167"/>
      <c r="QIZ158" s="199"/>
      <c r="QJA158" s="200"/>
      <c r="QJB158" s="201"/>
      <c r="QJC158" s="202"/>
      <c r="QJD158" s="202"/>
      <c r="QJE158" s="202"/>
      <c r="QJF158" s="202"/>
      <c r="QJG158" s="203"/>
      <c r="QJH158" s="204"/>
      <c r="QJI158" s="204"/>
      <c r="QJJ158" s="204"/>
      <c r="QJK158" s="205"/>
      <c r="QJL158" s="206"/>
      <c r="QJM158" s="207"/>
      <c r="QJN158" s="207"/>
      <c r="QJO158" s="208"/>
      <c r="QJP158" s="209"/>
      <c r="QJQ158" s="207"/>
      <c r="QJR158" s="210"/>
      <c r="QJS158" s="209"/>
      <c r="QJT158" s="204"/>
      <c r="QJU158" s="204"/>
      <c r="QJV158" s="204"/>
      <c r="QJW158" s="199"/>
      <c r="QJX158" s="167"/>
      <c r="QJY158" s="199"/>
      <c r="QJZ158" s="200"/>
      <c r="QKA158" s="201"/>
      <c r="QKB158" s="202"/>
      <c r="QKC158" s="202"/>
      <c r="QKD158" s="202"/>
      <c r="QKE158" s="202"/>
      <c r="QKF158" s="203"/>
      <c r="QKG158" s="204"/>
      <c r="QKH158" s="204"/>
      <c r="QKI158" s="204"/>
      <c r="QKJ158" s="205"/>
      <c r="QKK158" s="206"/>
      <c r="QKL158" s="207"/>
      <c r="QKM158" s="207"/>
      <c r="QKN158" s="208"/>
      <c r="QKO158" s="209"/>
      <c r="QKP158" s="207"/>
      <c r="QKQ158" s="210"/>
      <c r="QKR158" s="209"/>
      <c r="QKS158" s="204"/>
      <c r="QKT158" s="204"/>
      <c r="QKU158" s="204"/>
      <c r="QKV158" s="199"/>
      <c r="QKW158" s="167"/>
      <c r="QKX158" s="199"/>
      <c r="QKY158" s="200"/>
      <c r="QKZ158" s="201"/>
      <c r="QLA158" s="202"/>
      <c r="QLB158" s="202"/>
      <c r="QLC158" s="202"/>
      <c r="QLD158" s="202"/>
      <c r="QLE158" s="203"/>
      <c r="QLF158" s="204"/>
      <c r="QLG158" s="204"/>
      <c r="QLH158" s="204"/>
      <c r="QLI158" s="205"/>
      <c r="QLJ158" s="206"/>
      <c r="QLK158" s="207"/>
      <c r="QLL158" s="207"/>
      <c r="QLM158" s="208"/>
      <c r="QLN158" s="209"/>
      <c r="QLO158" s="207"/>
      <c r="QLP158" s="210"/>
      <c r="QLQ158" s="209"/>
      <c r="QLR158" s="204"/>
      <c r="QLS158" s="204"/>
      <c r="QLT158" s="204"/>
      <c r="QLU158" s="199"/>
      <c r="QLV158" s="167"/>
      <c r="QLW158" s="199"/>
      <c r="QLX158" s="200"/>
      <c r="QLY158" s="201"/>
      <c r="QLZ158" s="202"/>
      <c r="QMA158" s="202"/>
      <c r="QMB158" s="202"/>
      <c r="QMC158" s="202"/>
      <c r="QMD158" s="203"/>
      <c r="QME158" s="204"/>
      <c r="QMF158" s="204"/>
      <c r="QMG158" s="204"/>
      <c r="QMH158" s="205"/>
      <c r="QMI158" s="206"/>
      <c r="QMJ158" s="207"/>
      <c r="QMK158" s="207"/>
      <c r="QML158" s="208"/>
      <c r="QMM158" s="209"/>
      <c r="QMN158" s="207"/>
      <c r="QMO158" s="210"/>
      <c r="QMP158" s="209"/>
      <c r="QMQ158" s="204"/>
      <c r="QMR158" s="204"/>
      <c r="QMS158" s="204"/>
      <c r="QMT158" s="199"/>
      <c r="QMU158" s="167"/>
      <c r="QMV158" s="199"/>
      <c r="QMW158" s="200"/>
      <c r="QMX158" s="201"/>
      <c r="QMY158" s="202"/>
      <c r="QMZ158" s="202"/>
      <c r="QNA158" s="202"/>
      <c r="QNB158" s="202"/>
      <c r="QNC158" s="203"/>
      <c r="QND158" s="204"/>
      <c r="QNE158" s="204"/>
      <c r="QNF158" s="204"/>
      <c r="QNG158" s="205"/>
      <c r="QNH158" s="206"/>
      <c r="QNI158" s="207"/>
      <c r="QNJ158" s="207"/>
      <c r="QNK158" s="208"/>
      <c r="QNL158" s="209"/>
      <c r="QNM158" s="207"/>
      <c r="QNN158" s="210"/>
      <c r="QNO158" s="209"/>
      <c r="QNP158" s="204"/>
      <c r="QNQ158" s="204"/>
      <c r="QNR158" s="204"/>
      <c r="QNS158" s="199"/>
      <c r="QNT158" s="167"/>
      <c r="QNU158" s="199"/>
      <c r="QNV158" s="200"/>
      <c r="QNW158" s="201"/>
      <c r="QNX158" s="202"/>
      <c r="QNY158" s="202"/>
      <c r="QNZ158" s="202"/>
      <c r="QOA158" s="202"/>
      <c r="QOB158" s="203"/>
      <c r="QOC158" s="204"/>
      <c r="QOD158" s="204"/>
      <c r="QOE158" s="204"/>
      <c r="QOF158" s="205"/>
      <c r="QOG158" s="206"/>
      <c r="QOH158" s="207"/>
      <c r="QOI158" s="207"/>
      <c r="QOJ158" s="208"/>
      <c r="QOK158" s="209"/>
      <c r="QOL158" s="207"/>
      <c r="QOM158" s="210"/>
      <c r="QON158" s="209"/>
      <c r="QOO158" s="204"/>
      <c r="QOP158" s="204"/>
      <c r="QOQ158" s="204"/>
      <c r="QOR158" s="199"/>
      <c r="QOS158" s="167"/>
      <c r="QOT158" s="199"/>
      <c r="QOU158" s="200"/>
      <c r="QOV158" s="201"/>
      <c r="QOW158" s="202"/>
      <c r="QOX158" s="202"/>
      <c r="QOY158" s="202"/>
      <c r="QOZ158" s="202"/>
      <c r="QPA158" s="203"/>
      <c r="QPB158" s="204"/>
      <c r="QPC158" s="204"/>
      <c r="QPD158" s="204"/>
      <c r="QPE158" s="205"/>
      <c r="QPF158" s="206"/>
      <c r="QPG158" s="207"/>
      <c r="QPH158" s="207"/>
      <c r="QPI158" s="208"/>
      <c r="QPJ158" s="209"/>
      <c r="QPK158" s="207"/>
      <c r="QPL158" s="210"/>
      <c r="QPM158" s="209"/>
      <c r="QPN158" s="204"/>
      <c r="QPO158" s="204"/>
      <c r="QPP158" s="204"/>
      <c r="QPQ158" s="199"/>
      <c r="QPR158" s="167"/>
      <c r="QPS158" s="199"/>
      <c r="QPT158" s="200"/>
      <c r="QPU158" s="201"/>
      <c r="QPV158" s="202"/>
      <c r="QPW158" s="202"/>
      <c r="QPX158" s="202"/>
      <c r="QPY158" s="202"/>
      <c r="QPZ158" s="203"/>
      <c r="QQA158" s="204"/>
      <c r="QQB158" s="204"/>
      <c r="QQC158" s="204"/>
      <c r="QQD158" s="205"/>
      <c r="QQE158" s="206"/>
      <c r="QQF158" s="207"/>
      <c r="QQG158" s="207"/>
      <c r="QQH158" s="208"/>
      <c r="QQI158" s="209"/>
      <c r="QQJ158" s="207"/>
      <c r="QQK158" s="210"/>
      <c r="QQL158" s="209"/>
      <c r="QQM158" s="204"/>
      <c r="QQN158" s="204"/>
      <c r="QQO158" s="204"/>
      <c r="QQP158" s="199"/>
      <c r="QQQ158" s="167"/>
      <c r="QQR158" s="199"/>
      <c r="QQS158" s="200"/>
      <c r="QQT158" s="201"/>
      <c r="QQU158" s="202"/>
      <c r="QQV158" s="202"/>
      <c r="QQW158" s="202"/>
      <c r="QQX158" s="202"/>
      <c r="QQY158" s="203"/>
      <c r="QQZ158" s="204"/>
      <c r="QRA158" s="204"/>
      <c r="QRB158" s="204"/>
      <c r="QRC158" s="205"/>
      <c r="QRD158" s="206"/>
      <c r="QRE158" s="207"/>
      <c r="QRF158" s="207"/>
      <c r="QRG158" s="208"/>
      <c r="QRH158" s="209"/>
      <c r="QRI158" s="207"/>
      <c r="QRJ158" s="210"/>
      <c r="QRK158" s="209"/>
      <c r="QRL158" s="204"/>
      <c r="QRM158" s="204"/>
      <c r="QRN158" s="204"/>
      <c r="QRO158" s="199"/>
      <c r="QRP158" s="167"/>
      <c r="QRQ158" s="199"/>
      <c r="QRR158" s="200"/>
      <c r="QRS158" s="201"/>
      <c r="QRT158" s="202"/>
      <c r="QRU158" s="202"/>
      <c r="QRV158" s="202"/>
      <c r="QRW158" s="202"/>
      <c r="QRX158" s="203"/>
      <c r="QRY158" s="204"/>
      <c r="QRZ158" s="204"/>
      <c r="QSA158" s="204"/>
      <c r="QSB158" s="205"/>
      <c r="QSC158" s="206"/>
      <c r="QSD158" s="207"/>
      <c r="QSE158" s="207"/>
      <c r="QSF158" s="208"/>
      <c r="QSG158" s="209"/>
      <c r="QSH158" s="207"/>
      <c r="QSI158" s="210"/>
      <c r="QSJ158" s="209"/>
      <c r="QSK158" s="204"/>
      <c r="QSL158" s="204"/>
      <c r="QSM158" s="204"/>
      <c r="QSN158" s="199"/>
      <c r="QSO158" s="167"/>
      <c r="QSP158" s="199"/>
      <c r="QSQ158" s="200"/>
      <c r="QSR158" s="201"/>
      <c r="QSS158" s="202"/>
      <c r="QST158" s="202"/>
      <c r="QSU158" s="202"/>
      <c r="QSV158" s="202"/>
      <c r="QSW158" s="203"/>
      <c r="QSX158" s="204"/>
      <c r="QSY158" s="204"/>
      <c r="QSZ158" s="204"/>
      <c r="QTA158" s="205"/>
      <c r="QTB158" s="206"/>
      <c r="QTC158" s="207"/>
      <c r="QTD158" s="207"/>
      <c r="QTE158" s="208"/>
      <c r="QTF158" s="209"/>
      <c r="QTG158" s="207"/>
      <c r="QTH158" s="210"/>
      <c r="QTI158" s="209"/>
      <c r="QTJ158" s="204"/>
      <c r="QTK158" s="204"/>
      <c r="QTL158" s="204"/>
      <c r="QTM158" s="199"/>
      <c r="QTN158" s="167"/>
      <c r="QTO158" s="199"/>
      <c r="QTP158" s="200"/>
      <c r="QTQ158" s="201"/>
      <c r="QTR158" s="202"/>
      <c r="QTS158" s="202"/>
      <c r="QTT158" s="202"/>
      <c r="QTU158" s="202"/>
      <c r="QTV158" s="203"/>
      <c r="QTW158" s="204"/>
      <c r="QTX158" s="204"/>
      <c r="QTY158" s="204"/>
      <c r="QTZ158" s="205"/>
      <c r="QUA158" s="206"/>
      <c r="QUB158" s="207"/>
      <c r="QUC158" s="207"/>
      <c r="QUD158" s="208"/>
      <c r="QUE158" s="209"/>
      <c r="QUF158" s="207"/>
      <c r="QUG158" s="210"/>
      <c r="QUH158" s="209"/>
      <c r="QUI158" s="204"/>
      <c r="QUJ158" s="204"/>
      <c r="QUK158" s="204"/>
      <c r="QUL158" s="199"/>
      <c r="QUM158" s="167"/>
      <c r="QUN158" s="199"/>
      <c r="QUO158" s="200"/>
      <c r="QUP158" s="201"/>
      <c r="QUQ158" s="202"/>
      <c r="QUR158" s="202"/>
      <c r="QUS158" s="202"/>
      <c r="QUT158" s="202"/>
      <c r="QUU158" s="203"/>
      <c r="QUV158" s="204"/>
      <c r="QUW158" s="204"/>
      <c r="QUX158" s="204"/>
      <c r="QUY158" s="205"/>
      <c r="QUZ158" s="206"/>
      <c r="QVA158" s="207"/>
      <c r="QVB158" s="207"/>
      <c r="QVC158" s="208"/>
      <c r="QVD158" s="209"/>
      <c r="QVE158" s="207"/>
      <c r="QVF158" s="210"/>
      <c r="QVG158" s="209"/>
      <c r="QVH158" s="204"/>
      <c r="QVI158" s="204"/>
      <c r="QVJ158" s="204"/>
      <c r="QVK158" s="199"/>
      <c r="QVL158" s="167"/>
      <c r="QVM158" s="199"/>
      <c r="QVN158" s="200"/>
      <c r="QVO158" s="201"/>
      <c r="QVP158" s="202"/>
      <c r="QVQ158" s="202"/>
      <c r="QVR158" s="202"/>
      <c r="QVS158" s="202"/>
      <c r="QVT158" s="203"/>
      <c r="QVU158" s="204"/>
      <c r="QVV158" s="204"/>
      <c r="QVW158" s="204"/>
      <c r="QVX158" s="205"/>
      <c r="QVY158" s="206"/>
      <c r="QVZ158" s="207"/>
      <c r="QWA158" s="207"/>
      <c r="QWB158" s="208"/>
      <c r="QWC158" s="209"/>
      <c r="QWD158" s="207"/>
      <c r="QWE158" s="210"/>
      <c r="QWF158" s="209"/>
      <c r="QWG158" s="204"/>
      <c r="QWH158" s="204"/>
      <c r="QWI158" s="204"/>
      <c r="QWJ158" s="199"/>
      <c r="QWK158" s="167"/>
      <c r="QWL158" s="199"/>
      <c r="QWM158" s="200"/>
      <c r="QWN158" s="201"/>
      <c r="QWO158" s="202"/>
      <c r="QWP158" s="202"/>
      <c r="QWQ158" s="202"/>
      <c r="QWR158" s="202"/>
      <c r="QWS158" s="203"/>
      <c r="QWT158" s="204"/>
      <c r="QWU158" s="204"/>
      <c r="QWV158" s="204"/>
      <c r="QWW158" s="205"/>
      <c r="QWX158" s="206"/>
      <c r="QWY158" s="207"/>
      <c r="QWZ158" s="207"/>
      <c r="QXA158" s="208"/>
      <c r="QXB158" s="209"/>
      <c r="QXC158" s="207"/>
      <c r="QXD158" s="210"/>
      <c r="QXE158" s="209"/>
      <c r="QXF158" s="204"/>
      <c r="QXG158" s="204"/>
      <c r="QXH158" s="204"/>
      <c r="QXI158" s="199"/>
      <c r="QXJ158" s="167"/>
      <c r="QXK158" s="199"/>
      <c r="QXL158" s="200"/>
      <c r="QXM158" s="201"/>
      <c r="QXN158" s="202"/>
      <c r="QXO158" s="202"/>
      <c r="QXP158" s="202"/>
      <c r="QXQ158" s="202"/>
      <c r="QXR158" s="203"/>
      <c r="QXS158" s="204"/>
      <c r="QXT158" s="204"/>
      <c r="QXU158" s="204"/>
      <c r="QXV158" s="205"/>
      <c r="QXW158" s="206"/>
      <c r="QXX158" s="207"/>
      <c r="QXY158" s="207"/>
      <c r="QXZ158" s="208"/>
      <c r="QYA158" s="209"/>
      <c r="QYB158" s="207"/>
      <c r="QYC158" s="210"/>
      <c r="QYD158" s="209"/>
      <c r="QYE158" s="204"/>
      <c r="QYF158" s="204"/>
      <c r="QYG158" s="204"/>
      <c r="QYH158" s="199"/>
      <c r="QYI158" s="167"/>
      <c r="QYJ158" s="199"/>
      <c r="QYK158" s="200"/>
      <c r="QYL158" s="201"/>
      <c r="QYM158" s="202"/>
      <c r="QYN158" s="202"/>
      <c r="QYO158" s="202"/>
      <c r="QYP158" s="202"/>
      <c r="QYQ158" s="203"/>
      <c r="QYR158" s="204"/>
      <c r="QYS158" s="204"/>
      <c r="QYT158" s="204"/>
      <c r="QYU158" s="205"/>
      <c r="QYV158" s="206"/>
      <c r="QYW158" s="207"/>
      <c r="QYX158" s="207"/>
      <c r="QYY158" s="208"/>
      <c r="QYZ158" s="209"/>
      <c r="QZA158" s="207"/>
      <c r="QZB158" s="210"/>
      <c r="QZC158" s="209"/>
      <c r="QZD158" s="204"/>
      <c r="QZE158" s="204"/>
      <c r="QZF158" s="204"/>
      <c r="QZG158" s="199"/>
      <c r="QZH158" s="167"/>
      <c r="QZI158" s="199"/>
      <c r="QZJ158" s="200"/>
      <c r="QZK158" s="201"/>
      <c r="QZL158" s="202"/>
      <c r="QZM158" s="202"/>
      <c r="QZN158" s="202"/>
      <c r="QZO158" s="202"/>
      <c r="QZP158" s="203"/>
      <c r="QZQ158" s="204"/>
      <c r="QZR158" s="204"/>
      <c r="QZS158" s="204"/>
      <c r="QZT158" s="205"/>
      <c r="QZU158" s="206"/>
      <c r="QZV158" s="207"/>
      <c r="QZW158" s="207"/>
      <c r="QZX158" s="208"/>
      <c r="QZY158" s="209"/>
      <c r="QZZ158" s="207"/>
      <c r="RAA158" s="210"/>
      <c r="RAB158" s="209"/>
      <c r="RAC158" s="204"/>
      <c r="RAD158" s="204"/>
      <c r="RAE158" s="204"/>
      <c r="RAF158" s="199"/>
      <c r="RAG158" s="167"/>
      <c r="RAH158" s="199"/>
      <c r="RAI158" s="200"/>
      <c r="RAJ158" s="201"/>
      <c r="RAK158" s="202"/>
      <c r="RAL158" s="202"/>
      <c r="RAM158" s="202"/>
      <c r="RAN158" s="202"/>
      <c r="RAO158" s="203"/>
      <c r="RAP158" s="204"/>
      <c r="RAQ158" s="204"/>
      <c r="RAR158" s="204"/>
      <c r="RAS158" s="205"/>
      <c r="RAT158" s="206"/>
      <c r="RAU158" s="207"/>
      <c r="RAV158" s="207"/>
      <c r="RAW158" s="208"/>
      <c r="RAX158" s="209"/>
      <c r="RAY158" s="207"/>
      <c r="RAZ158" s="210"/>
      <c r="RBA158" s="209"/>
      <c r="RBB158" s="204"/>
      <c r="RBC158" s="204"/>
      <c r="RBD158" s="204"/>
      <c r="RBE158" s="199"/>
      <c r="RBF158" s="167"/>
      <c r="RBG158" s="199"/>
      <c r="RBH158" s="200"/>
      <c r="RBI158" s="201"/>
      <c r="RBJ158" s="202"/>
      <c r="RBK158" s="202"/>
      <c r="RBL158" s="202"/>
      <c r="RBM158" s="202"/>
      <c r="RBN158" s="203"/>
      <c r="RBO158" s="204"/>
      <c r="RBP158" s="204"/>
      <c r="RBQ158" s="204"/>
      <c r="RBR158" s="205"/>
      <c r="RBS158" s="206"/>
      <c r="RBT158" s="207"/>
      <c r="RBU158" s="207"/>
      <c r="RBV158" s="208"/>
      <c r="RBW158" s="209"/>
      <c r="RBX158" s="207"/>
      <c r="RBY158" s="210"/>
      <c r="RBZ158" s="209"/>
      <c r="RCA158" s="204"/>
      <c r="RCB158" s="204"/>
      <c r="RCC158" s="204"/>
      <c r="RCD158" s="199"/>
      <c r="RCE158" s="167"/>
      <c r="RCF158" s="199"/>
      <c r="RCG158" s="200"/>
      <c r="RCH158" s="201"/>
      <c r="RCI158" s="202"/>
      <c r="RCJ158" s="202"/>
      <c r="RCK158" s="202"/>
      <c r="RCL158" s="202"/>
      <c r="RCM158" s="203"/>
      <c r="RCN158" s="204"/>
      <c r="RCO158" s="204"/>
      <c r="RCP158" s="204"/>
      <c r="RCQ158" s="205"/>
      <c r="RCR158" s="206"/>
      <c r="RCS158" s="207"/>
      <c r="RCT158" s="207"/>
      <c r="RCU158" s="208"/>
      <c r="RCV158" s="209"/>
      <c r="RCW158" s="207"/>
      <c r="RCX158" s="210"/>
      <c r="RCY158" s="209"/>
      <c r="RCZ158" s="204"/>
      <c r="RDA158" s="204"/>
      <c r="RDB158" s="204"/>
      <c r="RDC158" s="199"/>
      <c r="RDD158" s="167"/>
      <c r="RDE158" s="199"/>
      <c r="RDF158" s="200"/>
      <c r="RDG158" s="201"/>
      <c r="RDH158" s="202"/>
      <c r="RDI158" s="202"/>
      <c r="RDJ158" s="202"/>
      <c r="RDK158" s="202"/>
      <c r="RDL158" s="203"/>
      <c r="RDM158" s="204"/>
      <c r="RDN158" s="204"/>
      <c r="RDO158" s="204"/>
      <c r="RDP158" s="205"/>
      <c r="RDQ158" s="206"/>
      <c r="RDR158" s="207"/>
      <c r="RDS158" s="207"/>
      <c r="RDT158" s="208"/>
      <c r="RDU158" s="209"/>
      <c r="RDV158" s="207"/>
      <c r="RDW158" s="210"/>
      <c r="RDX158" s="209"/>
      <c r="RDY158" s="204"/>
      <c r="RDZ158" s="204"/>
      <c r="REA158" s="204"/>
      <c r="REB158" s="199"/>
      <c r="REC158" s="167"/>
      <c r="RED158" s="199"/>
      <c r="REE158" s="200"/>
      <c r="REF158" s="201"/>
      <c r="REG158" s="202"/>
      <c r="REH158" s="202"/>
      <c r="REI158" s="202"/>
      <c r="REJ158" s="202"/>
      <c r="REK158" s="203"/>
      <c r="REL158" s="204"/>
      <c r="REM158" s="204"/>
      <c r="REN158" s="204"/>
      <c r="REO158" s="205"/>
      <c r="REP158" s="206"/>
      <c r="REQ158" s="207"/>
      <c r="RER158" s="207"/>
      <c r="RES158" s="208"/>
      <c r="RET158" s="209"/>
      <c r="REU158" s="207"/>
      <c r="REV158" s="210"/>
      <c r="REW158" s="209"/>
      <c r="REX158" s="204"/>
      <c r="REY158" s="204"/>
      <c r="REZ158" s="204"/>
      <c r="RFA158" s="199"/>
      <c r="RFB158" s="167"/>
      <c r="RFC158" s="199"/>
      <c r="RFD158" s="200"/>
      <c r="RFE158" s="201"/>
      <c r="RFF158" s="202"/>
      <c r="RFG158" s="202"/>
      <c r="RFH158" s="202"/>
      <c r="RFI158" s="202"/>
      <c r="RFJ158" s="203"/>
      <c r="RFK158" s="204"/>
      <c r="RFL158" s="204"/>
      <c r="RFM158" s="204"/>
      <c r="RFN158" s="205"/>
      <c r="RFO158" s="206"/>
      <c r="RFP158" s="207"/>
      <c r="RFQ158" s="207"/>
      <c r="RFR158" s="208"/>
      <c r="RFS158" s="209"/>
      <c r="RFT158" s="207"/>
      <c r="RFU158" s="210"/>
      <c r="RFV158" s="209"/>
      <c r="RFW158" s="204"/>
      <c r="RFX158" s="204"/>
      <c r="RFY158" s="204"/>
      <c r="RFZ158" s="199"/>
      <c r="RGA158" s="167"/>
      <c r="RGB158" s="199"/>
      <c r="RGC158" s="200"/>
      <c r="RGD158" s="201"/>
      <c r="RGE158" s="202"/>
      <c r="RGF158" s="202"/>
      <c r="RGG158" s="202"/>
      <c r="RGH158" s="202"/>
      <c r="RGI158" s="203"/>
      <c r="RGJ158" s="204"/>
      <c r="RGK158" s="204"/>
      <c r="RGL158" s="204"/>
      <c r="RGM158" s="205"/>
      <c r="RGN158" s="206"/>
      <c r="RGO158" s="207"/>
      <c r="RGP158" s="207"/>
      <c r="RGQ158" s="208"/>
      <c r="RGR158" s="209"/>
      <c r="RGS158" s="207"/>
      <c r="RGT158" s="210"/>
      <c r="RGU158" s="209"/>
      <c r="RGV158" s="204"/>
      <c r="RGW158" s="204"/>
      <c r="RGX158" s="204"/>
      <c r="RGY158" s="199"/>
      <c r="RGZ158" s="167"/>
      <c r="RHA158" s="199"/>
      <c r="RHB158" s="200"/>
      <c r="RHC158" s="201"/>
      <c r="RHD158" s="202"/>
      <c r="RHE158" s="202"/>
      <c r="RHF158" s="202"/>
      <c r="RHG158" s="202"/>
      <c r="RHH158" s="203"/>
      <c r="RHI158" s="204"/>
      <c r="RHJ158" s="204"/>
      <c r="RHK158" s="204"/>
      <c r="RHL158" s="205"/>
      <c r="RHM158" s="206"/>
      <c r="RHN158" s="207"/>
      <c r="RHO158" s="207"/>
      <c r="RHP158" s="208"/>
      <c r="RHQ158" s="209"/>
      <c r="RHR158" s="207"/>
      <c r="RHS158" s="210"/>
      <c r="RHT158" s="209"/>
      <c r="RHU158" s="204"/>
      <c r="RHV158" s="204"/>
      <c r="RHW158" s="204"/>
      <c r="RHX158" s="199"/>
      <c r="RHY158" s="167"/>
      <c r="RHZ158" s="199"/>
      <c r="RIA158" s="200"/>
      <c r="RIB158" s="201"/>
      <c r="RIC158" s="202"/>
      <c r="RID158" s="202"/>
      <c r="RIE158" s="202"/>
      <c r="RIF158" s="202"/>
      <c r="RIG158" s="203"/>
      <c r="RIH158" s="204"/>
      <c r="RII158" s="204"/>
      <c r="RIJ158" s="204"/>
      <c r="RIK158" s="205"/>
      <c r="RIL158" s="206"/>
      <c r="RIM158" s="207"/>
      <c r="RIN158" s="207"/>
      <c r="RIO158" s="208"/>
      <c r="RIP158" s="209"/>
      <c r="RIQ158" s="207"/>
      <c r="RIR158" s="210"/>
      <c r="RIS158" s="209"/>
      <c r="RIT158" s="204"/>
      <c r="RIU158" s="204"/>
      <c r="RIV158" s="204"/>
      <c r="RIW158" s="199"/>
      <c r="RIX158" s="167"/>
      <c r="RIY158" s="199"/>
      <c r="RIZ158" s="200"/>
      <c r="RJA158" s="201"/>
      <c r="RJB158" s="202"/>
      <c r="RJC158" s="202"/>
      <c r="RJD158" s="202"/>
      <c r="RJE158" s="202"/>
      <c r="RJF158" s="203"/>
      <c r="RJG158" s="204"/>
      <c r="RJH158" s="204"/>
      <c r="RJI158" s="204"/>
      <c r="RJJ158" s="205"/>
      <c r="RJK158" s="206"/>
      <c r="RJL158" s="207"/>
      <c r="RJM158" s="207"/>
      <c r="RJN158" s="208"/>
      <c r="RJO158" s="209"/>
      <c r="RJP158" s="207"/>
      <c r="RJQ158" s="210"/>
      <c r="RJR158" s="209"/>
      <c r="RJS158" s="204"/>
      <c r="RJT158" s="204"/>
      <c r="RJU158" s="204"/>
      <c r="RJV158" s="199"/>
      <c r="RJW158" s="167"/>
      <c r="RJX158" s="199"/>
      <c r="RJY158" s="200"/>
      <c r="RJZ158" s="201"/>
      <c r="RKA158" s="202"/>
      <c r="RKB158" s="202"/>
      <c r="RKC158" s="202"/>
      <c r="RKD158" s="202"/>
      <c r="RKE158" s="203"/>
      <c r="RKF158" s="204"/>
      <c r="RKG158" s="204"/>
      <c r="RKH158" s="204"/>
      <c r="RKI158" s="205"/>
      <c r="RKJ158" s="206"/>
      <c r="RKK158" s="207"/>
      <c r="RKL158" s="207"/>
      <c r="RKM158" s="208"/>
      <c r="RKN158" s="209"/>
      <c r="RKO158" s="207"/>
      <c r="RKP158" s="210"/>
      <c r="RKQ158" s="209"/>
      <c r="RKR158" s="204"/>
      <c r="RKS158" s="204"/>
      <c r="RKT158" s="204"/>
      <c r="RKU158" s="199"/>
      <c r="RKV158" s="167"/>
      <c r="RKW158" s="199"/>
      <c r="RKX158" s="200"/>
      <c r="RKY158" s="201"/>
      <c r="RKZ158" s="202"/>
      <c r="RLA158" s="202"/>
      <c r="RLB158" s="202"/>
      <c r="RLC158" s="202"/>
      <c r="RLD158" s="203"/>
      <c r="RLE158" s="204"/>
      <c r="RLF158" s="204"/>
      <c r="RLG158" s="204"/>
      <c r="RLH158" s="205"/>
      <c r="RLI158" s="206"/>
      <c r="RLJ158" s="207"/>
      <c r="RLK158" s="207"/>
      <c r="RLL158" s="208"/>
      <c r="RLM158" s="209"/>
      <c r="RLN158" s="207"/>
      <c r="RLO158" s="210"/>
      <c r="RLP158" s="209"/>
      <c r="RLQ158" s="204"/>
      <c r="RLR158" s="204"/>
      <c r="RLS158" s="204"/>
      <c r="RLT158" s="199"/>
      <c r="RLU158" s="167"/>
      <c r="RLV158" s="199"/>
      <c r="RLW158" s="200"/>
      <c r="RLX158" s="201"/>
      <c r="RLY158" s="202"/>
      <c r="RLZ158" s="202"/>
      <c r="RMA158" s="202"/>
      <c r="RMB158" s="202"/>
      <c r="RMC158" s="203"/>
      <c r="RMD158" s="204"/>
      <c r="RME158" s="204"/>
      <c r="RMF158" s="204"/>
      <c r="RMG158" s="205"/>
      <c r="RMH158" s="206"/>
      <c r="RMI158" s="207"/>
      <c r="RMJ158" s="207"/>
      <c r="RMK158" s="208"/>
      <c r="RML158" s="209"/>
      <c r="RMM158" s="207"/>
      <c r="RMN158" s="210"/>
      <c r="RMO158" s="209"/>
      <c r="RMP158" s="204"/>
      <c r="RMQ158" s="204"/>
      <c r="RMR158" s="204"/>
      <c r="RMS158" s="199"/>
      <c r="RMT158" s="167"/>
      <c r="RMU158" s="199"/>
      <c r="RMV158" s="200"/>
      <c r="RMW158" s="201"/>
      <c r="RMX158" s="202"/>
      <c r="RMY158" s="202"/>
      <c r="RMZ158" s="202"/>
      <c r="RNA158" s="202"/>
      <c r="RNB158" s="203"/>
      <c r="RNC158" s="204"/>
      <c r="RND158" s="204"/>
      <c r="RNE158" s="204"/>
      <c r="RNF158" s="205"/>
      <c r="RNG158" s="206"/>
      <c r="RNH158" s="207"/>
      <c r="RNI158" s="207"/>
      <c r="RNJ158" s="208"/>
      <c r="RNK158" s="209"/>
      <c r="RNL158" s="207"/>
      <c r="RNM158" s="210"/>
      <c r="RNN158" s="209"/>
      <c r="RNO158" s="204"/>
      <c r="RNP158" s="204"/>
      <c r="RNQ158" s="204"/>
      <c r="RNR158" s="199"/>
      <c r="RNS158" s="167"/>
      <c r="RNT158" s="199"/>
      <c r="RNU158" s="200"/>
      <c r="RNV158" s="201"/>
      <c r="RNW158" s="202"/>
      <c r="RNX158" s="202"/>
      <c r="RNY158" s="202"/>
      <c r="RNZ158" s="202"/>
      <c r="ROA158" s="203"/>
      <c r="ROB158" s="204"/>
      <c r="ROC158" s="204"/>
      <c r="ROD158" s="204"/>
      <c r="ROE158" s="205"/>
      <c r="ROF158" s="206"/>
      <c r="ROG158" s="207"/>
      <c r="ROH158" s="207"/>
      <c r="ROI158" s="208"/>
      <c r="ROJ158" s="209"/>
      <c r="ROK158" s="207"/>
      <c r="ROL158" s="210"/>
      <c r="ROM158" s="209"/>
      <c r="RON158" s="204"/>
      <c r="ROO158" s="204"/>
      <c r="ROP158" s="204"/>
      <c r="ROQ158" s="199"/>
      <c r="ROR158" s="167"/>
      <c r="ROS158" s="199"/>
      <c r="ROT158" s="200"/>
      <c r="ROU158" s="201"/>
      <c r="ROV158" s="202"/>
      <c r="ROW158" s="202"/>
      <c r="ROX158" s="202"/>
      <c r="ROY158" s="202"/>
      <c r="ROZ158" s="203"/>
      <c r="RPA158" s="204"/>
      <c r="RPB158" s="204"/>
      <c r="RPC158" s="204"/>
      <c r="RPD158" s="205"/>
      <c r="RPE158" s="206"/>
      <c r="RPF158" s="207"/>
      <c r="RPG158" s="207"/>
      <c r="RPH158" s="208"/>
      <c r="RPI158" s="209"/>
      <c r="RPJ158" s="207"/>
      <c r="RPK158" s="210"/>
      <c r="RPL158" s="209"/>
      <c r="RPM158" s="204"/>
      <c r="RPN158" s="204"/>
      <c r="RPO158" s="204"/>
      <c r="RPP158" s="199"/>
      <c r="RPQ158" s="167"/>
      <c r="RPR158" s="199"/>
      <c r="RPS158" s="200"/>
      <c r="RPT158" s="201"/>
      <c r="RPU158" s="202"/>
      <c r="RPV158" s="202"/>
      <c r="RPW158" s="202"/>
      <c r="RPX158" s="202"/>
      <c r="RPY158" s="203"/>
      <c r="RPZ158" s="204"/>
      <c r="RQA158" s="204"/>
      <c r="RQB158" s="204"/>
      <c r="RQC158" s="205"/>
      <c r="RQD158" s="206"/>
      <c r="RQE158" s="207"/>
      <c r="RQF158" s="207"/>
      <c r="RQG158" s="208"/>
      <c r="RQH158" s="209"/>
      <c r="RQI158" s="207"/>
      <c r="RQJ158" s="210"/>
      <c r="RQK158" s="209"/>
      <c r="RQL158" s="204"/>
      <c r="RQM158" s="204"/>
      <c r="RQN158" s="204"/>
      <c r="RQO158" s="199"/>
      <c r="RQP158" s="167"/>
      <c r="RQQ158" s="199"/>
      <c r="RQR158" s="200"/>
      <c r="RQS158" s="201"/>
      <c r="RQT158" s="202"/>
      <c r="RQU158" s="202"/>
      <c r="RQV158" s="202"/>
      <c r="RQW158" s="202"/>
      <c r="RQX158" s="203"/>
      <c r="RQY158" s="204"/>
      <c r="RQZ158" s="204"/>
      <c r="RRA158" s="204"/>
      <c r="RRB158" s="205"/>
      <c r="RRC158" s="206"/>
      <c r="RRD158" s="207"/>
      <c r="RRE158" s="207"/>
      <c r="RRF158" s="208"/>
      <c r="RRG158" s="209"/>
      <c r="RRH158" s="207"/>
      <c r="RRI158" s="210"/>
      <c r="RRJ158" s="209"/>
      <c r="RRK158" s="204"/>
      <c r="RRL158" s="204"/>
      <c r="RRM158" s="204"/>
      <c r="RRN158" s="199"/>
      <c r="RRO158" s="167"/>
      <c r="RRP158" s="199"/>
      <c r="RRQ158" s="200"/>
      <c r="RRR158" s="201"/>
      <c r="RRS158" s="202"/>
      <c r="RRT158" s="202"/>
      <c r="RRU158" s="202"/>
      <c r="RRV158" s="202"/>
      <c r="RRW158" s="203"/>
      <c r="RRX158" s="204"/>
      <c r="RRY158" s="204"/>
      <c r="RRZ158" s="204"/>
      <c r="RSA158" s="205"/>
      <c r="RSB158" s="206"/>
      <c r="RSC158" s="207"/>
      <c r="RSD158" s="207"/>
      <c r="RSE158" s="208"/>
      <c r="RSF158" s="209"/>
      <c r="RSG158" s="207"/>
      <c r="RSH158" s="210"/>
      <c r="RSI158" s="209"/>
      <c r="RSJ158" s="204"/>
      <c r="RSK158" s="204"/>
      <c r="RSL158" s="204"/>
      <c r="RSM158" s="199"/>
      <c r="RSN158" s="167"/>
      <c r="RSO158" s="199"/>
      <c r="RSP158" s="200"/>
      <c r="RSQ158" s="201"/>
      <c r="RSR158" s="202"/>
      <c r="RSS158" s="202"/>
      <c r="RST158" s="202"/>
      <c r="RSU158" s="202"/>
      <c r="RSV158" s="203"/>
      <c r="RSW158" s="204"/>
      <c r="RSX158" s="204"/>
      <c r="RSY158" s="204"/>
      <c r="RSZ158" s="205"/>
      <c r="RTA158" s="206"/>
      <c r="RTB158" s="207"/>
      <c r="RTC158" s="207"/>
      <c r="RTD158" s="208"/>
      <c r="RTE158" s="209"/>
      <c r="RTF158" s="207"/>
      <c r="RTG158" s="210"/>
      <c r="RTH158" s="209"/>
      <c r="RTI158" s="204"/>
      <c r="RTJ158" s="204"/>
      <c r="RTK158" s="204"/>
      <c r="RTL158" s="199"/>
      <c r="RTM158" s="167"/>
      <c r="RTN158" s="199"/>
      <c r="RTO158" s="200"/>
      <c r="RTP158" s="201"/>
      <c r="RTQ158" s="202"/>
      <c r="RTR158" s="202"/>
      <c r="RTS158" s="202"/>
      <c r="RTT158" s="202"/>
      <c r="RTU158" s="203"/>
      <c r="RTV158" s="204"/>
      <c r="RTW158" s="204"/>
      <c r="RTX158" s="204"/>
      <c r="RTY158" s="205"/>
      <c r="RTZ158" s="206"/>
      <c r="RUA158" s="207"/>
      <c r="RUB158" s="207"/>
      <c r="RUC158" s="208"/>
      <c r="RUD158" s="209"/>
      <c r="RUE158" s="207"/>
      <c r="RUF158" s="210"/>
      <c r="RUG158" s="209"/>
      <c r="RUH158" s="204"/>
      <c r="RUI158" s="204"/>
      <c r="RUJ158" s="204"/>
      <c r="RUK158" s="199"/>
      <c r="RUL158" s="167"/>
      <c r="RUM158" s="199"/>
      <c r="RUN158" s="200"/>
      <c r="RUO158" s="201"/>
      <c r="RUP158" s="202"/>
      <c r="RUQ158" s="202"/>
      <c r="RUR158" s="202"/>
      <c r="RUS158" s="202"/>
      <c r="RUT158" s="203"/>
      <c r="RUU158" s="204"/>
      <c r="RUV158" s="204"/>
      <c r="RUW158" s="204"/>
      <c r="RUX158" s="205"/>
      <c r="RUY158" s="206"/>
      <c r="RUZ158" s="207"/>
      <c r="RVA158" s="207"/>
      <c r="RVB158" s="208"/>
      <c r="RVC158" s="209"/>
      <c r="RVD158" s="207"/>
      <c r="RVE158" s="210"/>
      <c r="RVF158" s="209"/>
      <c r="RVG158" s="204"/>
      <c r="RVH158" s="204"/>
      <c r="RVI158" s="204"/>
      <c r="RVJ158" s="199"/>
      <c r="RVK158" s="167"/>
      <c r="RVL158" s="199"/>
      <c r="RVM158" s="200"/>
      <c r="RVN158" s="201"/>
      <c r="RVO158" s="202"/>
      <c r="RVP158" s="202"/>
      <c r="RVQ158" s="202"/>
      <c r="RVR158" s="202"/>
      <c r="RVS158" s="203"/>
      <c r="RVT158" s="204"/>
      <c r="RVU158" s="204"/>
      <c r="RVV158" s="204"/>
      <c r="RVW158" s="205"/>
      <c r="RVX158" s="206"/>
      <c r="RVY158" s="207"/>
      <c r="RVZ158" s="207"/>
      <c r="RWA158" s="208"/>
      <c r="RWB158" s="209"/>
      <c r="RWC158" s="207"/>
      <c r="RWD158" s="210"/>
      <c r="RWE158" s="209"/>
      <c r="RWF158" s="204"/>
      <c r="RWG158" s="204"/>
      <c r="RWH158" s="204"/>
      <c r="RWI158" s="199"/>
      <c r="RWJ158" s="167"/>
      <c r="RWK158" s="199"/>
      <c r="RWL158" s="200"/>
      <c r="RWM158" s="201"/>
      <c r="RWN158" s="202"/>
      <c r="RWO158" s="202"/>
      <c r="RWP158" s="202"/>
      <c r="RWQ158" s="202"/>
      <c r="RWR158" s="203"/>
      <c r="RWS158" s="204"/>
      <c r="RWT158" s="204"/>
      <c r="RWU158" s="204"/>
      <c r="RWV158" s="205"/>
      <c r="RWW158" s="206"/>
      <c r="RWX158" s="207"/>
      <c r="RWY158" s="207"/>
      <c r="RWZ158" s="208"/>
      <c r="RXA158" s="209"/>
      <c r="RXB158" s="207"/>
      <c r="RXC158" s="210"/>
      <c r="RXD158" s="209"/>
      <c r="RXE158" s="204"/>
      <c r="RXF158" s="204"/>
      <c r="RXG158" s="204"/>
      <c r="RXH158" s="199"/>
      <c r="RXI158" s="167"/>
      <c r="RXJ158" s="199"/>
      <c r="RXK158" s="200"/>
      <c r="RXL158" s="201"/>
      <c r="RXM158" s="202"/>
      <c r="RXN158" s="202"/>
      <c r="RXO158" s="202"/>
      <c r="RXP158" s="202"/>
      <c r="RXQ158" s="203"/>
      <c r="RXR158" s="204"/>
      <c r="RXS158" s="204"/>
      <c r="RXT158" s="204"/>
      <c r="RXU158" s="205"/>
      <c r="RXV158" s="206"/>
      <c r="RXW158" s="207"/>
      <c r="RXX158" s="207"/>
      <c r="RXY158" s="208"/>
      <c r="RXZ158" s="209"/>
      <c r="RYA158" s="207"/>
      <c r="RYB158" s="210"/>
      <c r="RYC158" s="209"/>
      <c r="RYD158" s="204"/>
      <c r="RYE158" s="204"/>
      <c r="RYF158" s="204"/>
      <c r="RYG158" s="199"/>
      <c r="RYH158" s="167"/>
      <c r="RYI158" s="199"/>
      <c r="RYJ158" s="200"/>
      <c r="RYK158" s="201"/>
      <c r="RYL158" s="202"/>
      <c r="RYM158" s="202"/>
      <c r="RYN158" s="202"/>
      <c r="RYO158" s="202"/>
      <c r="RYP158" s="203"/>
      <c r="RYQ158" s="204"/>
      <c r="RYR158" s="204"/>
      <c r="RYS158" s="204"/>
      <c r="RYT158" s="205"/>
      <c r="RYU158" s="206"/>
      <c r="RYV158" s="207"/>
      <c r="RYW158" s="207"/>
      <c r="RYX158" s="208"/>
      <c r="RYY158" s="209"/>
      <c r="RYZ158" s="207"/>
      <c r="RZA158" s="210"/>
      <c r="RZB158" s="209"/>
      <c r="RZC158" s="204"/>
      <c r="RZD158" s="204"/>
      <c r="RZE158" s="204"/>
      <c r="RZF158" s="199"/>
      <c r="RZG158" s="167"/>
      <c r="RZH158" s="199"/>
      <c r="RZI158" s="200"/>
      <c r="RZJ158" s="201"/>
      <c r="RZK158" s="202"/>
      <c r="RZL158" s="202"/>
      <c r="RZM158" s="202"/>
      <c r="RZN158" s="202"/>
      <c r="RZO158" s="203"/>
      <c r="RZP158" s="204"/>
      <c r="RZQ158" s="204"/>
      <c r="RZR158" s="204"/>
      <c r="RZS158" s="205"/>
      <c r="RZT158" s="206"/>
      <c r="RZU158" s="207"/>
      <c r="RZV158" s="207"/>
      <c r="RZW158" s="208"/>
      <c r="RZX158" s="209"/>
      <c r="RZY158" s="207"/>
      <c r="RZZ158" s="210"/>
      <c r="SAA158" s="209"/>
      <c r="SAB158" s="204"/>
      <c r="SAC158" s="204"/>
      <c r="SAD158" s="204"/>
      <c r="SAE158" s="199"/>
      <c r="SAF158" s="167"/>
      <c r="SAG158" s="199"/>
      <c r="SAH158" s="200"/>
      <c r="SAI158" s="201"/>
      <c r="SAJ158" s="202"/>
      <c r="SAK158" s="202"/>
      <c r="SAL158" s="202"/>
      <c r="SAM158" s="202"/>
      <c r="SAN158" s="203"/>
      <c r="SAO158" s="204"/>
      <c r="SAP158" s="204"/>
      <c r="SAQ158" s="204"/>
      <c r="SAR158" s="205"/>
      <c r="SAS158" s="206"/>
      <c r="SAT158" s="207"/>
      <c r="SAU158" s="207"/>
      <c r="SAV158" s="208"/>
      <c r="SAW158" s="209"/>
      <c r="SAX158" s="207"/>
      <c r="SAY158" s="210"/>
      <c r="SAZ158" s="209"/>
      <c r="SBA158" s="204"/>
      <c r="SBB158" s="204"/>
      <c r="SBC158" s="204"/>
      <c r="SBD158" s="199"/>
      <c r="SBE158" s="167"/>
      <c r="SBF158" s="199"/>
      <c r="SBG158" s="200"/>
      <c r="SBH158" s="201"/>
      <c r="SBI158" s="202"/>
      <c r="SBJ158" s="202"/>
      <c r="SBK158" s="202"/>
      <c r="SBL158" s="202"/>
      <c r="SBM158" s="203"/>
      <c r="SBN158" s="204"/>
      <c r="SBO158" s="204"/>
      <c r="SBP158" s="204"/>
      <c r="SBQ158" s="205"/>
      <c r="SBR158" s="206"/>
      <c r="SBS158" s="207"/>
      <c r="SBT158" s="207"/>
      <c r="SBU158" s="208"/>
      <c r="SBV158" s="209"/>
      <c r="SBW158" s="207"/>
      <c r="SBX158" s="210"/>
      <c r="SBY158" s="209"/>
      <c r="SBZ158" s="204"/>
      <c r="SCA158" s="204"/>
      <c r="SCB158" s="204"/>
      <c r="SCC158" s="199"/>
      <c r="SCD158" s="167"/>
      <c r="SCE158" s="199"/>
      <c r="SCF158" s="200"/>
      <c r="SCG158" s="201"/>
      <c r="SCH158" s="202"/>
      <c r="SCI158" s="202"/>
      <c r="SCJ158" s="202"/>
      <c r="SCK158" s="202"/>
      <c r="SCL158" s="203"/>
      <c r="SCM158" s="204"/>
      <c r="SCN158" s="204"/>
      <c r="SCO158" s="204"/>
      <c r="SCP158" s="205"/>
      <c r="SCQ158" s="206"/>
      <c r="SCR158" s="207"/>
      <c r="SCS158" s="207"/>
      <c r="SCT158" s="208"/>
      <c r="SCU158" s="209"/>
      <c r="SCV158" s="207"/>
      <c r="SCW158" s="210"/>
      <c r="SCX158" s="209"/>
      <c r="SCY158" s="204"/>
      <c r="SCZ158" s="204"/>
      <c r="SDA158" s="204"/>
      <c r="SDB158" s="199"/>
      <c r="SDC158" s="167"/>
      <c r="SDD158" s="199"/>
      <c r="SDE158" s="200"/>
      <c r="SDF158" s="201"/>
      <c r="SDG158" s="202"/>
      <c r="SDH158" s="202"/>
      <c r="SDI158" s="202"/>
      <c r="SDJ158" s="202"/>
      <c r="SDK158" s="203"/>
      <c r="SDL158" s="204"/>
      <c r="SDM158" s="204"/>
      <c r="SDN158" s="204"/>
      <c r="SDO158" s="205"/>
      <c r="SDP158" s="206"/>
      <c r="SDQ158" s="207"/>
      <c r="SDR158" s="207"/>
      <c r="SDS158" s="208"/>
      <c r="SDT158" s="209"/>
      <c r="SDU158" s="207"/>
      <c r="SDV158" s="210"/>
      <c r="SDW158" s="209"/>
      <c r="SDX158" s="204"/>
      <c r="SDY158" s="204"/>
      <c r="SDZ158" s="204"/>
      <c r="SEA158" s="199"/>
      <c r="SEB158" s="167"/>
      <c r="SEC158" s="199"/>
      <c r="SED158" s="200"/>
      <c r="SEE158" s="201"/>
      <c r="SEF158" s="202"/>
      <c r="SEG158" s="202"/>
      <c r="SEH158" s="202"/>
      <c r="SEI158" s="202"/>
      <c r="SEJ158" s="203"/>
      <c r="SEK158" s="204"/>
      <c r="SEL158" s="204"/>
      <c r="SEM158" s="204"/>
      <c r="SEN158" s="205"/>
      <c r="SEO158" s="206"/>
      <c r="SEP158" s="207"/>
      <c r="SEQ158" s="207"/>
      <c r="SER158" s="208"/>
      <c r="SES158" s="209"/>
      <c r="SET158" s="207"/>
      <c r="SEU158" s="210"/>
      <c r="SEV158" s="209"/>
      <c r="SEW158" s="204"/>
      <c r="SEX158" s="204"/>
      <c r="SEY158" s="204"/>
      <c r="SEZ158" s="199"/>
      <c r="SFA158" s="167"/>
      <c r="SFB158" s="199"/>
      <c r="SFC158" s="200"/>
      <c r="SFD158" s="201"/>
      <c r="SFE158" s="202"/>
      <c r="SFF158" s="202"/>
      <c r="SFG158" s="202"/>
      <c r="SFH158" s="202"/>
      <c r="SFI158" s="203"/>
      <c r="SFJ158" s="204"/>
      <c r="SFK158" s="204"/>
      <c r="SFL158" s="204"/>
      <c r="SFM158" s="205"/>
      <c r="SFN158" s="206"/>
      <c r="SFO158" s="207"/>
      <c r="SFP158" s="207"/>
      <c r="SFQ158" s="208"/>
      <c r="SFR158" s="209"/>
      <c r="SFS158" s="207"/>
      <c r="SFT158" s="210"/>
      <c r="SFU158" s="209"/>
      <c r="SFV158" s="204"/>
      <c r="SFW158" s="204"/>
      <c r="SFX158" s="204"/>
      <c r="SFY158" s="199"/>
      <c r="SFZ158" s="167"/>
      <c r="SGA158" s="199"/>
      <c r="SGB158" s="200"/>
      <c r="SGC158" s="201"/>
      <c r="SGD158" s="202"/>
      <c r="SGE158" s="202"/>
      <c r="SGF158" s="202"/>
      <c r="SGG158" s="202"/>
      <c r="SGH158" s="203"/>
      <c r="SGI158" s="204"/>
      <c r="SGJ158" s="204"/>
      <c r="SGK158" s="204"/>
      <c r="SGL158" s="205"/>
      <c r="SGM158" s="206"/>
      <c r="SGN158" s="207"/>
      <c r="SGO158" s="207"/>
      <c r="SGP158" s="208"/>
      <c r="SGQ158" s="209"/>
      <c r="SGR158" s="207"/>
      <c r="SGS158" s="210"/>
      <c r="SGT158" s="209"/>
      <c r="SGU158" s="204"/>
      <c r="SGV158" s="204"/>
      <c r="SGW158" s="204"/>
      <c r="SGX158" s="199"/>
      <c r="SGY158" s="167"/>
      <c r="SGZ158" s="199"/>
      <c r="SHA158" s="200"/>
      <c r="SHB158" s="201"/>
      <c r="SHC158" s="202"/>
      <c r="SHD158" s="202"/>
      <c r="SHE158" s="202"/>
      <c r="SHF158" s="202"/>
      <c r="SHG158" s="203"/>
      <c r="SHH158" s="204"/>
      <c r="SHI158" s="204"/>
      <c r="SHJ158" s="204"/>
      <c r="SHK158" s="205"/>
      <c r="SHL158" s="206"/>
      <c r="SHM158" s="207"/>
      <c r="SHN158" s="207"/>
      <c r="SHO158" s="208"/>
      <c r="SHP158" s="209"/>
      <c r="SHQ158" s="207"/>
      <c r="SHR158" s="210"/>
      <c r="SHS158" s="209"/>
      <c r="SHT158" s="204"/>
      <c r="SHU158" s="204"/>
      <c r="SHV158" s="204"/>
      <c r="SHW158" s="199"/>
      <c r="SHX158" s="167"/>
      <c r="SHY158" s="199"/>
      <c r="SHZ158" s="200"/>
      <c r="SIA158" s="201"/>
      <c r="SIB158" s="202"/>
      <c r="SIC158" s="202"/>
      <c r="SID158" s="202"/>
      <c r="SIE158" s="202"/>
      <c r="SIF158" s="203"/>
      <c r="SIG158" s="204"/>
      <c r="SIH158" s="204"/>
      <c r="SII158" s="204"/>
      <c r="SIJ158" s="205"/>
      <c r="SIK158" s="206"/>
      <c r="SIL158" s="207"/>
      <c r="SIM158" s="207"/>
      <c r="SIN158" s="208"/>
      <c r="SIO158" s="209"/>
      <c r="SIP158" s="207"/>
      <c r="SIQ158" s="210"/>
      <c r="SIR158" s="209"/>
      <c r="SIS158" s="204"/>
      <c r="SIT158" s="204"/>
      <c r="SIU158" s="204"/>
      <c r="SIV158" s="199"/>
      <c r="SIW158" s="167"/>
      <c r="SIX158" s="199"/>
      <c r="SIY158" s="200"/>
      <c r="SIZ158" s="201"/>
      <c r="SJA158" s="202"/>
      <c r="SJB158" s="202"/>
      <c r="SJC158" s="202"/>
      <c r="SJD158" s="202"/>
      <c r="SJE158" s="203"/>
      <c r="SJF158" s="204"/>
      <c r="SJG158" s="204"/>
      <c r="SJH158" s="204"/>
      <c r="SJI158" s="205"/>
      <c r="SJJ158" s="206"/>
      <c r="SJK158" s="207"/>
      <c r="SJL158" s="207"/>
      <c r="SJM158" s="208"/>
      <c r="SJN158" s="209"/>
      <c r="SJO158" s="207"/>
      <c r="SJP158" s="210"/>
      <c r="SJQ158" s="209"/>
      <c r="SJR158" s="204"/>
      <c r="SJS158" s="204"/>
      <c r="SJT158" s="204"/>
      <c r="SJU158" s="199"/>
      <c r="SJV158" s="167"/>
      <c r="SJW158" s="199"/>
      <c r="SJX158" s="200"/>
      <c r="SJY158" s="201"/>
      <c r="SJZ158" s="202"/>
      <c r="SKA158" s="202"/>
      <c r="SKB158" s="202"/>
      <c r="SKC158" s="202"/>
      <c r="SKD158" s="203"/>
      <c r="SKE158" s="204"/>
      <c r="SKF158" s="204"/>
      <c r="SKG158" s="204"/>
      <c r="SKH158" s="205"/>
      <c r="SKI158" s="206"/>
      <c r="SKJ158" s="207"/>
      <c r="SKK158" s="207"/>
      <c r="SKL158" s="208"/>
      <c r="SKM158" s="209"/>
      <c r="SKN158" s="207"/>
      <c r="SKO158" s="210"/>
      <c r="SKP158" s="209"/>
      <c r="SKQ158" s="204"/>
      <c r="SKR158" s="204"/>
      <c r="SKS158" s="204"/>
      <c r="SKT158" s="199"/>
      <c r="SKU158" s="167"/>
      <c r="SKV158" s="199"/>
      <c r="SKW158" s="200"/>
      <c r="SKX158" s="201"/>
      <c r="SKY158" s="202"/>
      <c r="SKZ158" s="202"/>
      <c r="SLA158" s="202"/>
      <c r="SLB158" s="202"/>
      <c r="SLC158" s="203"/>
      <c r="SLD158" s="204"/>
      <c r="SLE158" s="204"/>
      <c r="SLF158" s="204"/>
      <c r="SLG158" s="205"/>
      <c r="SLH158" s="206"/>
      <c r="SLI158" s="207"/>
      <c r="SLJ158" s="207"/>
      <c r="SLK158" s="208"/>
      <c r="SLL158" s="209"/>
      <c r="SLM158" s="207"/>
      <c r="SLN158" s="210"/>
      <c r="SLO158" s="209"/>
      <c r="SLP158" s="204"/>
      <c r="SLQ158" s="204"/>
      <c r="SLR158" s="204"/>
      <c r="SLS158" s="199"/>
      <c r="SLT158" s="167"/>
      <c r="SLU158" s="199"/>
      <c r="SLV158" s="200"/>
      <c r="SLW158" s="201"/>
      <c r="SLX158" s="202"/>
      <c r="SLY158" s="202"/>
      <c r="SLZ158" s="202"/>
      <c r="SMA158" s="202"/>
      <c r="SMB158" s="203"/>
      <c r="SMC158" s="204"/>
      <c r="SMD158" s="204"/>
      <c r="SME158" s="204"/>
      <c r="SMF158" s="205"/>
      <c r="SMG158" s="206"/>
      <c r="SMH158" s="207"/>
      <c r="SMI158" s="207"/>
      <c r="SMJ158" s="208"/>
      <c r="SMK158" s="209"/>
      <c r="SML158" s="207"/>
      <c r="SMM158" s="210"/>
      <c r="SMN158" s="209"/>
      <c r="SMO158" s="204"/>
      <c r="SMP158" s="204"/>
      <c r="SMQ158" s="204"/>
      <c r="SMR158" s="199"/>
      <c r="SMS158" s="167"/>
      <c r="SMT158" s="199"/>
      <c r="SMU158" s="200"/>
      <c r="SMV158" s="201"/>
      <c r="SMW158" s="202"/>
      <c r="SMX158" s="202"/>
      <c r="SMY158" s="202"/>
      <c r="SMZ158" s="202"/>
      <c r="SNA158" s="203"/>
      <c r="SNB158" s="204"/>
      <c r="SNC158" s="204"/>
      <c r="SND158" s="204"/>
      <c r="SNE158" s="205"/>
      <c r="SNF158" s="206"/>
      <c r="SNG158" s="207"/>
      <c r="SNH158" s="207"/>
      <c r="SNI158" s="208"/>
      <c r="SNJ158" s="209"/>
      <c r="SNK158" s="207"/>
      <c r="SNL158" s="210"/>
      <c r="SNM158" s="209"/>
      <c r="SNN158" s="204"/>
      <c r="SNO158" s="204"/>
      <c r="SNP158" s="204"/>
      <c r="SNQ158" s="199"/>
      <c r="SNR158" s="167"/>
      <c r="SNS158" s="199"/>
      <c r="SNT158" s="200"/>
      <c r="SNU158" s="201"/>
      <c r="SNV158" s="202"/>
      <c r="SNW158" s="202"/>
      <c r="SNX158" s="202"/>
      <c r="SNY158" s="202"/>
      <c r="SNZ158" s="203"/>
      <c r="SOA158" s="204"/>
      <c r="SOB158" s="204"/>
      <c r="SOC158" s="204"/>
      <c r="SOD158" s="205"/>
      <c r="SOE158" s="206"/>
      <c r="SOF158" s="207"/>
      <c r="SOG158" s="207"/>
      <c r="SOH158" s="208"/>
      <c r="SOI158" s="209"/>
      <c r="SOJ158" s="207"/>
      <c r="SOK158" s="210"/>
      <c r="SOL158" s="209"/>
      <c r="SOM158" s="204"/>
      <c r="SON158" s="204"/>
      <c r="SOO158" s="204"/>
      <c r="SOP158" s="199"/>
      <c r="SOQ158" s="167"/>
      <c r="SOR158" s="199"/>
      <c r="SOS158" s="200"/>
      <c r="SOT158" s="201"/>
      <c r="SOU158" s="202"/>
      <c r="SOV158" s="202"/>
      <c r="SOW158" s="202"/>
      <c r="SOX158" s="202"/>
      <c r="SOY158" s="203"/>
      <c r="SOZ158" s="204"/>
      <c r="SPA158" s="204"/>
      <c r="SPB158" s="204"/>
      <c r="SPC158" s="205"/>
      <c r="SPD158" s="206"/>
      <c r="SPE158" s="207"/>
      <c r="SPF158" s="207"/>
      <c r="SPG158" s="208"/>
      <c r="SPH158" s="209"/>
      <c r="SPI158" s="207"/>
      <c r="SPJ158" s="210"/>
      <c r="SPK158" s="209"/>
      <c r="SPL158" s="204"/>
      <c r="SPM158" s="204"/>
      <c r="SPN158" s="204"/>
      <c r="SPO158" s="199"/>
      <c r="SPP158" s="167"/>
      <c r="SPQ158" s="199"/>
      <c r="SPR158" s="200"/>
      <c r="SPS158" s="201"/>
      <c r="SPT158" s="202"/>
      <c r="SPU158" s="202"/>
      <c r="SPV158" s="202"/>
      <c r="SPW158" s="202"/>
      <c r="SPX158" s="203"/>
      <c r="SPY158" s="204"/>
      <c r="SPZ158" s="204"/>
      <c r="SQA158" s="204"/>
      <c r="SQB158" s="205"/>
      <c r="SQC158" s="206"/>
      <c r="SQD158" s="207"/>
      <c r="SQE158" s="207"/>
      <c r="SQF158" s="208"/>
      <c r="SQG158" s="209"/>
      <c r="SQH158" s="207"/>
      <c r="SQI158" s="210"/>
      <c r="SQJ158" s="209"/>
      <c r="SQK158" s="204"/>
      <c r="SQL158" s="204"/>
      <c r="SQM158" s="204"/>
      <c r="SQN158" s="199"/>
      <c r="SQO158" s="167"/>
      <c r="SQP158" s="199"/>
      <c r="SQQ158" s="200"/>
      <c r="SQR158" s="201"/>
      <c r="SQS158" s="202"/>
      <c r="SQT158" s="202"/>
      <c r="SQU158" s="202"/>
      <c r="SQV158" s="202"/>
      <c r="SQW158" s="203"/>
      <c r="SQX158" s="204"/>
      <c r="SQY158" s="204"/>
      <c r="SQZ158" s="204"/>
      <c r="SRA158" s="205"/>
      <c r="SRB158" s="206"/>
      <c r="SRC158" s="207"/>
      <c r="SRD158" s="207"/>
      <c r="SRE158" s="208"/>
      <c r="SRF158" s="209"/>
      <c r="SRG158" s="207"/>
      <c r="SRH158" s="210"/>
      <c r="SRI158" s="209"/>
      <c r="SRJ158" s="204"/>
      <c r="SRK158" s="204"/>
      <c r="SRL158" s="204"/>
      <c r="SRM158" s="199"/>
      <c r="SRN158" s="167"/>
      <c r="SRO158" s="199"/>
      <c r="SRP158" s="200"/>
      <c r="SRQ158" s="201"/>
      <c r="SRR158" s="202"/>
      <c r="SRS158" s="202"/>
      <c r="SRT158" s="202"/>
      <c r="SRU158" s="202"/>
      <c r="SRV158" s="203"/>
      <c r="SRW158" s="204"/>
      <c r="SRX158" s="204"/>
      <c r="SRY158" s="204"/>
      <c r="SRZ158" s="205"/>
      <c r="SSA158" s="206"/>
      <c r="SSB158" s="207"/>
      <c r="SSC158" s="207"/>
      <c r="SSD158" s="208"/>
      <c r="SSE158" s="209"/>
      <c r="SSF158" s="207"/>
      <c r="SSG158" s="210"/>
      <c r="SSH158" s="209"/>
      <c r="SSI158" s="204"/>
      <c r="SSJ158" s="204"/>
      <c r="SSK158" s="204"/>
      <c r="SSL158" s="199"/>
      <c r="SSM158" s="167"/>
      <c r="SSN158" s="199"/>
      <c r="SSO158" s="200"/>
      <c r="SSP158" s="201"/>
      <c r="SSQ158" s="202"/>
      <c r="SSR158" s="202"/>
      <c r="SSS158" s="202"/>
      <c r="SST158" s="202"/>
      <c r="SSU158" s="203"/>
      <c r="SSV158" s="204"/>
      <c r="SSW158" s="204"/>
      <c r="SSX158" s="204"/>
      <c r="SSY158" s="205"/>
      <c r="SSZ158" s="206"/>
      <c r="STA158" s="207"/>
      <c r="STB158" s="207"/>
      <c r="STC158" s="208"/>
      <c r="STD158" s="209"/>
      <c r="STE158" s="207"/>
      <c r="STF158" s="210"/>
      <c r="STG158" s="209"/>
      <c r="STH158" s="204"/>
      <c r="STI158" s="204"/>
      <c r="STJ158" s="204"/>
      <c r="STK158" s="199"/>
      <c r="STL158" s="167"/>
      <c r="STM158" s="199"/>
      <c r="STN158" s="200"/>
      <c r="STO158" s="201"/>
      <c r="STP158" s="202"/>
      <c r="STQ158" s="202"/>
      <c r="STR158" s="202"/>
      <c r="STS158" s="202"/>
      <c r="STT158" s="203"/>
      <c r="STU158" s="204"/>
      <c r="STV158" s="204"/>
      <c r="STW158" s="204"/>
      <c r="STX158" s="205"/>
      <c r="STY158" s="206"/>
      <c r="STZ158" s="207"/>
      <c r="SUA158" s="207"/>
      <c r="SUB158" s="208"/>
      <c r="SUC158" s="209"/>
      <c r="SUD158" s="207"/>
      <c r="SUE158" s="210"/>
      <c r="SUF158" s="209"/>
      <c r="SUG158" s="204"/>
      <c r="SUH158" s="204"/>
      <c r="SUI158" s="204"/>
      <c r="SUJ158" s="199"/>
      <c r="SUK158" s="167"/>
      <c r="SUL158" s="199"/>
      <c r="SUM158" s="200"/>
      <c r="SUN158" s="201"/>
      <c r="SUO158" s="202"/>
      <c r="SUP158" s="202"/>
      <c r="SUQ158" s="202"/>
      <c r="SUR158" s="202"/>
      <c r="SUS158" s="203"/>
      <c r="SUT158" s="204"/>
      <c r="SUU158" s="204"/>
      <c r="SUV158" s="204"/>
      <c r="SUW158" s="205"/>
      <c r="SUX158" s="206"/>
      <c r="SUY158" s="207"/>
      <c r="SUZ158" s="207"/>
      <c r="SVA158" s="208"/>
      <c r="SVB158" s="209"/>
      <c r="SVC158" s="207"/>
      <c r="SVD158" s="210"/>
      <c r="SVE158" s="209"/>
      <c r="SVF158" s="204"/>
      <c r="SVG158" s="204"/>
      <c r="SVH158" s="204"/>
      <c r="SVI158" s="199"/>
      <c r="SVJ158" s="167"/>
      <c r="SVK158" s="199"/>
      <c r="SVL158" s="200"/>
      <c r="SVM158" s="201"/>
      <c r="SVN158" s="202"/>
      <c r="SVO158" s="202"/>
      <c r="SVP158" s="202"/>
      <c r="SVQ158" s="202"/>
      <c r="SVR158" s="203"/>
      <c r="SVS158" s="204"/>
      <c r="SVT158" s="204"/>
      <c r="SVU158" s="204"/>
      <c r="SVV158" s="205"/>
      <c r="SVW158" s="206"/>
      <c r="SVX158" s="207"/>
      <c r="SVY158" s="207"/>
      <c r="SVZ158" s="208"/>
      <c r="SWA158" s="209"/>
      <c r="SWB158" s="207"/>
      <c r="SWC158" s="210"/>
      <c r="SWD158" s="209"/>
      <c r="SWE158" s="204"/>
      <c r="SWF158" s="204"/>
      <c r="SWG158" s="204"/>
      <c r="SWH158" s="199"/>
      <c r="SWI158" s="167"/>
      <c r="SWJ158" s="199"/>
      <c r="SWK158" s="200"/>
      <c r="SWL158" s="201"/>
      <c r="SWM158" s="202"/>
      <c r="SWN158" s="202"/>
      <c r="SWO158" s="202"/>
      <c r="SWP158" s="202"/>
      <c r="SWQ158" s="203"/>
      <c r="SWR158" s="204"/>
      <c r="SWS158" s="204"/>
      <c r="SWT158" s="204"/>
      <c r="SWU158" s="205"/>
      <c r="SWV158" s="206"/>
      <c r="SWW158" s="207"/>
      <c r="SWX158" s="207"/>
      <c r="SWY158" s="208"/>
      <c r="SWZ158" s="209"/>
      <c r="SXA158" s="207"/>
      <c r="SXB158" s="210"/>
      <c r="SXC158" s="209"/>
      <c r="SXD158" s="204"/>
      <c r="SXE158" s="204"/>
      <c r="SXF158" s="204"/>
      <c r="SXG158" s="199"/>
      <c r="SXH158" s="167"/>
      <c r="SXI158" s="199"/>
      <c r="SXJ158" s="200"/>
      <c r="SXK158" s="201"/>
      <c r="SXL158" s="202"/>
      <c r="SXM158" s="202"/>
      <c r="SXN158" s="202"/>
      <c r="SXO158" s="202"/>
      <c r="SXP158" s="203"/>
      <c r="SXQ158" s="204"/>
      <c r="SXR158" s="204"/>
      <c r="SXS158" s="204"/>
      <c r="SXT158" s="205"/>
      <c r="SXU158" s="206"/>
      <c r="SXV158" s="207"/>
      <c r="SXW158" s="207"/>
      <c r="SXX158" s="208"/>
      <c r="SXY158" s="209"/>
      <c r="SXZ158" s="207"/>
      <c r="SYA158" s="210"/>
      <c r="SYB158" s="209"/>
      <c r="SYC158" s="204"/>
      <c r="SYD158" s="204"/>
      <c r="SYE158" s="204"/>
      <c r="SYF158" s="199"/>
      <c r="SYG158" s="167"/>
      <c r="SYH158" s="199"/>
      <c r="SYI158" s="200"/>
      <c r="SYJ158" s="201"/>
      <c r="SYK158" s="202"/>
      <c r="SYL158" s="202"/>
      <c r="SYM158" s="202"/>
      <c r="SYN158" s="202"/>
      <c r="SYO158" s="203"/>
      <c r="SYP158" s="204"/>
      <c r="SYQ158" s="204"/>
      <c r="SYR158" s="204"/>
      <c r="SYS158" s="205"/>
      <c r="SYT158" s="206"/>
      <c r="SYU158" s="207"/>
      <c r="SYV158" s="207"/>
      <c r="SYW158" s="208"/>
      <c r="SYX158" s="209"/>
      <c r="SYY158" s="207"/>
      <c r="SYZ158" s="210"/>
      <c r="SZA158" s="209"/>
      <c r="SZB158" s="204"/>
      <c r="SZC158" s="204"/>
      <c r="SZD158" s="204"/>
      <c r="SZE158" s="199"/>
      <c r="SZF158" s="167"/>
      <c r="SZG158" s="199"/>
      <c r="SZH158" s="200"/>
      <c r="SZI158" s="201"/>
      <c r="SZJ158" s="202"/>
      <c r="SZK158" s="202"/>
      <c r="SZL158" s="202"/>
      <c r="SZM158" s="202"/>
      <c r="SZN158" s="203"/>
      <c r="SZO158" s="204"/>
      <c r="SZP158" s="204"/>
      <c r="SZQ158" s="204"/>
      <c r="SZR158" s="205"/>
      <c r="SZS158" s="206"/>
      <c r="SZT158" s="207"/>
      <c r="SZU158" s="207"/>
      <c r="SZV158" s="208"/>
      <c r="SZW158" s="209"/>
      <c r="SZX158" s="207"/>
      <c r="SZY158" s="210"/>
      <c r="SZZ158" s="209"/>
      <c r="TAA158" s="204"/>
      <c r="TAB158" s="204"/>
      <c r="TAC158" s="204"/>
      <c r="TAD158" s="199"/>
      <c r="TAE158" s="167"/>
      <c r="TAF158" s="199"/>
      <c r="TAG158" s="200"/>
      <c r="TAH158" s="201"/>
      <c r="TAI158" s="202"/>
      <c r="TAJ158" s="202"/>
      <c r="TAK158" s="202"/>
      <c r="TAL158" s="202"/>
      <c r="TAM158" s="203"/>
      <c r="TAN158" s="204"/>
      <c r="TAO158" s="204"/>
      <c r="TAP158" s="204"/>
      <c r="TAQ158" s="205"/>
      <c r="TAR158" s="206"/>
      <c r="TAS158" s="207"/>
      <c r="TAT158" s="207"/>
      <c r="TAU158" s="208"/>
      <c r="TAV158" s="209"/>
      <c r="TAW158" s="207"/>
      <c r="TAX158" s="210"/>
      <c r="TAY158" s="209"/>
      <c r="TAZ158" s="204"/>
      <c r="TBA158" s="204"/>
      <c r="TBB158" s="204"/>
      <c r="TBC158" s="199"/>
      <c r="TBD158" s="167"/>
      <c r="TBE158" s="199"/>
      <c r="TBF158" s="200"/>
      <c r="TBG158" s="201"/>
      <c r="TBH158" s="202"/>
      <c r="TBI158" s="202"/>
      <c r="TBJ158" s="202"/>
      <c r="TBK158" s="202"/>
      <c r="TBL158" s="203"/>
      <c r="TBM158" s="204"/>
      <c r="TBN158" s="204"/>
      <c r="TBO158" s="204"/>
      <c r="TBP158" s="205"/>
      <c r="TBQ158" s="206"/>
      <c r="TBR158" s="207"/>
      <c r="TBS158" s="207"/>
      <c r="TBT158" s="208"/>
      <c r="TBU158" s="209"/>
      <c r="TBV158" s="207"/>
      <c r="TBW158" s="210"/>
      <c r="TBX158" s="209"/>
      <c r="TBY158" s="204"/>
      <c r="TBZ158" s="204"/>
      <c r="TCA158" s="204"/>
      <c r="TCB158" s="199"/>
      <c r="TCC158" s="167"/>
      <c r="TCD158" s="199"/>
      <c r="TCE158" s="200"/>
      <c r="TCF158" s="201"/>
      <c r="TCG158" s="202"/>
      <c r="TCH158" s="202"/>
      <c r="TCI158" s="202"/>
      <c r="TCJ158" s="202"/>
      <c r="TCK158" s="203"/>
      <c r="TCL158" s="204"/>
      <c r="TCM158" s="204"/>
      <c r="TCN158" s="204"/>
      <c r="TCO158" s="205"/>
      <c r="TCP158" s="206"/>
      <c r="TCQ158" s="207"/>
      <c r="TCR158" s="207"/>
      <c r="TCS158" s="208"/>
      <c r="TCT158" s="209"/>
      <c r="TCU158" s="207"/>
      <c r="TCV158" s="210"/>
      <c r="TCW158" s="209"/>
      <c r="TCX158" s="204"/>
      <c r="TCY158" s="204"/>
      <c r="TCZ158" s="204"/>
      <c r="TDA158" s="199"/>
      <c r="TDB158" s="167"/>
      <c r="TDC158" s="199"/>
      <c r="TDD158" s="200"/>
      <c r="TDE158" s="201"/>
      <c r="TDF158" s="202"/>
      <c r="TDG158" s="202"/>
      <c r="TDH158" s="202"/>
      <c r="TDI158" s="202"/>
      <c r="TDJ158" s="203"/>
      <c r="TDK158" s="204"/>
      <c r="TDL158" s="204"/>
      <c r="TDM158" s="204"/>
      <c r="TDN158" s="205"/>
      <c r="TDO158" s="206"/>
      <c r="TDP158" s="207"/>
      <c r="TDQ158" s="207"/>
      <c r="TDR158" s="208"/>
      <c r="TDS158" s="209"/>
      <c r="TDT158" s="207"/>
      <c r="TDU158" s="210"/>
      <c r="TDV158" s="209"/>
      <c r="TDW158" s="204"/>
      <c r="TDX158" s="204"/>
      <c r="TDY158" s="204"/>
      <c r="TDZ158" s="199"/>
      <c r="TEA158" s="167"/>
      <c r="TEB158" s="199"/>
      <c r="TEC158" s="200"/>
      <c r="TED158" s="201"/>
      <c r="TEE158" s="202"/>
      <c r="TEF158" s="202"/>
      <c r="TEG158" s="202"/>
      <c r="TEH158" s="202"/>
      <c r="TEI158" s="203"/>
      <c r="TEJ158" s="204"/>
      <c r="TEK158" s="204"/>
      <c r="TEL158" s="204"/>
      <c r="TEM158" s="205"/>
      <c r="TEN158" s="206"/>
      <c r="TEO158" s="207"/>
      <c r="TEP158" s="207"/>
      <c r="TEQ158" s="208"/>
      <c r="TER158" s="209"/>
      <c r="TES158" s="207"/>
      <c r="TET158" s="210"/>
      <c r="TEU158" s="209"/>
      <c r="TEV158" s="204"/>
      <c r="TEW158" s="204"/>
      <c r="TEX158" s="204"/>
      <c r="TEY158" s="199"/>
      <c r="TEZ158" s="167"/>
      <c r="TFA158" s="199"/>
      <c r="TFB158" s="200"/>
      <c r="TFC158" s="201"/>
      <c r="TFD158" s="202"/>
      <c r="TFE158" s="202"/>
      <c r="TFF158" s="202"/>
      <c r="TFG158" s="202"/>
      <c r="TFH158" s="203"/>
      <c r="TFI158" s="204"/>
      <c r="TFJ158" s="204"/>
      <c r="TFK158" s="204"/>
      <c r="TFL158" s="205"/>
      <c r="TFM158" s="206"/>
      <c r="TFN158" s="207"/>
      <c r="TFO158" s="207"/>
      <c r="TFP158" s="208"/>
      <c r="TFQ158" s="209"/>
      <c r="TFR158" s="207"/>
      <c r="TFS158" s="210"/>
      <c r="TFT158" s="209"/>
      <c r="TFU158" s="204"/>
      <c r="TFV158" s="204"/>
      <c r="TFW158" s="204"/>
      <c r="TFX158" s="199"/>
      <c r="TFY158" s="167"/>
      <c r="TFZ158" s="199"/>
      <c r="TGA158" s="200"/>
      <c r="TGB158" s="201"/>
      <c r="TGC158" s="202"/>
      <c r="TGD158" s="202"/>
      <c r="TGE158" s="202"/>
      <c r="TGF158" s="202"/>
      <c r="TGG158" s="203"/>
      <c r="TGH158" s="204"/>
      <c r="TGI158" s="204"/>
      <c r="TGJ158" s="204"/>
      <c r="TGK158" s="205"/>
      <c r="TGL158" s="206"/>
      <c r="TGM158" s="207"/>
      <c r="TGN158" s="207"/>
      <c r="TGO158" s="208"/>
      <c r="TGP158" s="209"/>
      <c r="TGQ158" s="207"/>
      <c r="TGR158" s="210"/>
      <c r="TGS158" s="209"/>
      <c r="TGT158" s="204"/>
      <c r="TGU158" s="204"/>
      <c r="TGV158" s="204"/>
      <c r="TGW158" s="199"/>
      <c r="TGX158" s="167"/>
      <c r="TGY158" s="199"/>
      <c r="TGZ158" s="200"/>
      <c r="THA158" s="201"/>
      <c r="THB158" s="202"/>
      <c r="THC158" s="202"/>
      <c r="THD158" s="202"/>
      <c r="THE158" s="202"/>
      <c r="THF158" s="203"/>
      <c r="THG158" s="204"/>
      <c r="THH158" s="204"/>
      <c r="THI158" s="204"/>
      <c r="THJ158" s="205"/>
      <c r="THK158" s="206"/>
      <c r="THL158" s="207"/>
      <c r="THM158" s="207"/>
      <c r="THN158" s="208"/>
      <c r="THO158" s="209"/>
      <c r="THP158" s="207"/>
      <c r="THQ158" s="210"/>
      <c r="THR158" s="209"/>
      <c r="THS158" s="204"/>
      <c r="THT158" s="204"/>
      <c r="THU158" s="204"/>
      <c r="THV158" s="199"/>
      <c r="THW158" s="167"/>
      <c r="THX158" s="199"/>
      <c r="THY158" s="200"/>
      <c r="THZ158" s="201"/>
      <c r="TIA158" s="202"/>
      <c r="TIB158" s="202"/>
      <c r="TIC158" s="202"/>
      <c r="TID158" s="202"/>
      <c r="TIE158" s="203"/>
      <c r="TIF158" s="204"/>
      <c r="TIG158" s="204"/>
      <c r="TIH158" s="204"/>
      <c r="TII158" s="205"/>
      <c r="TIJ158" s="206"/>
      <c r="TIK158" s="207"/>
      <c r="TIL158" s="207"/>
      <c r="TIM158" s="208"/>
      <c r="TIN158" s="209"/>
      <c r="TIO158" s="207"/>
      <c r="TIP158" s="210"/>
      <c r="TIQ158" s="209"/>
      <c r="TIR158" s="204"/>
      <c r="TIS158" s="204"/>
      <c r="TIT158" s="204"/>
      <c r="TIU158" s="199"/>
      <c r="TIV158" s="167"/>
      <c r="TIW158" s="199"/>
      <c r="TIX158" s="200"/>
      <c r="TIY158" s="201"/>
      <c r="TIZ158" s="202"/>
      <c r="TJA158" s="202"/>
      <c r="TJB158" s="202"/>
      <c r="TJC158" s="202"/>
      <c r="TJD158" s="203"/>
      <c r="TJE158" s="204"/>
      <c r="TJF158" s="204"/>
      <c r="TJG158" s="204"/>
      <c r="TJH158" s="205"/>
      <c r="TJI158" s="206"/>
      <c r="TJJ158" s="207"/>
      <c r="TJK158" s="207"/>
      <c r="TJL158" s="208"/>
      <c r="TJM158" s="209"/>
      <c r="TJN158" s="207"/>
      <c r="TJO158" s="210"/>
      <c r="TJP158" s="209"/>
      <c r="TJQ158" s="204"/>
      <c r="TJR158" s="204"/>
      <c r="TJS158" s="204"/>
      <c r="TJT158" s="199"/>
      <c r="TJU158" s="167"/>
      <c r="TJV158" s="199"/>
      <c r="TJW158" s="200"/>
      <c r="TJX158" s="201"/>
      <c r="TJY158" s="202"/>
      <c r="TJZ158" s="202"/>
      <c r="TKA158" s="202"/>
      <c r="TKB158" s="202"/>
      <c r="TKC158" s="203"/>
      <c r="TKD158" s="204"/>
      <c r="TKE158" s="204"/>
      <c r="TKF158" s="204"/>
      <c r="TKG158" s="205"/>
      <c r="TKH158" s="206"/>
      <c r="TKI158" s="207"/>
      <c r="TKJ158" s="207"/>
      <c r="TKK158" s="208"/>
      <c r="TKL158" s="209"/>
      <c r="TKM158" s="207"/>
      <c r="TKN158" s="210"/>
      <c r="TKO158" s="209"/>
      <c r="TKP158" s="204"/>
      <c r="TKQ158" s="204"/>
      <c r="TKR158" s="204"/>
      <c r="TKS158" s="199"/>
      <c r="TKT158" s="167"/>
      <c r="TKU158" s="199"/>
      <c r="TKV158" s="200"/>
      <c r="TKW158" s="201"/>
      <c r="TKX158" s="202"/>
      <c r="TKY158" s="202"/>
      <c r="TKZ158" s="202"/>
      <c r="TLA158" s="202"/>
      <c r="TLB158" s="203"/>
      <c r="TLC158" s="204"/>
      <c r="TLD158" s="204"/>
      <c r="TLE158" s="204"/>
      <c r="TLF158" s="205"/>
      <c r="TLG158" s="206"/>
      <c r="TLH158" s="207"/>
      <c r="TLI158" s="207"/>
      <c r="TLJ158" s="208"/>
      <c r="TLK158" s="209"/>
      <c r="TLL158" s="207"/>
      <c r="TLM158" s="210"/>
      <c r="TLN158" s="209"/>
      <c r="TLO158" s="204"/>
      <c r="TLP158" s="204"/>
      <c r="TLQ158" s="204"/>
      <c r="TLR158" s="199"/>
      <c r="TLS158" s="167"/>
      <c r="TLT158" s="199"/>
      <c r="TLU158" s="200"/>
      <c r="TLV158" s="201"/>
      <c r="TLW158" s="202"/>
      <c r="TLX158" s="202"/>
      <c r="TLY158" s="202"/>
      <c r="TLZ158" s="202"/>
      <c r="TMA158" s="203"/>
      <c r="TMB158" s="204"/>
      <c r="TMC158" s="204"/>
      <c r="TMD158" s="204"/>
      <c r="TME158" s="205"/>
      <c r="TMF158" s="206"/>
      <c r="TMG158" s="207"/>
      <c r="TMH158" s="207"/>
      <c r="TMI158" s="208"/>
      <c r="TMJ158" s="209"/>
      <c r="TMK158" s="207"/>
      <c r="TML158" s="210"/>
      <c r="TMM158" s="209"/>
      <c r="TMN158" s="204"/>
      <c r="TMO158" s="204"/>
      <c r="TMP158" s="204"/>
      <c r="TMQ158" s="199"/>
      <c r="TMR158" s="167"/>
      <c r="TMS158" s="199"/>
      <c r="TMT158" s="200"/>
      <c r="TMU158" s="201"/>
      <c r="TMV158" s="202"/>
      <c r="TMW158" s="202"/>
      <c r="TMX158" s="202"/>
      <c r="TMY158" s="202"/>
      <c r="TMZ158" s="203"/>
      <c r="TNA158" s="204"/>
      <c r="TNB158" s="204"/>
      <c r="TNC158" s="204"/>
      <c r="TND158" s="205"/>
      <c r="TNE158" s="206"/>
      <c r="TNF158" s="207"/>
      <c r="TNG158" s="207"/>
      <c r="TNH158" s="208"/>
      <c r="TNI158" s="209"/>
      <c r="TNJ158" s="207"/>
      <c r="TNK158" s="210"/>
      <c r="TNL158" s="209"/>
      <c r="TNM158" s="204"/>
      <c r="TNN158" s="204"/>
      <c r="TNO158" s="204"/>
      <c r="TNP158" s="199"/>
      <c r="TNQ158" s="167"/>
      <c r="TNR158" s="199"/>
      <c r="TNS158" s="200"/>
      <c r="TNT158" s="201"/>
      <c r="TNU158" s="202"/>
      <c r="TNV158" s="202"/>
      <c r="TNW158" s="202"/>
      <c r="TNX158" s="202"/>
      <c r="TNY158" s="203"/>
      <c r="TNZ158" s="204"/>
      <c r="TOA158" s="204"/>
      <c r="TOB158" s="204"/>
      <c r="TOC158" s="205"/>
      <c r="TOD158" s="206"/>
      <c r="TOE158" s="207"/>
      <c r="TOF158" s="207"/>
      <c r="TOG158" s="208"/>
      <c r="TOH158" s="209"/>
      <c r="TOI158" s="207"/>
      <c r="TOJ158" s="210"/>
      <c r="TOK158" s="209"/>
      <c r="TOL158" s="204"/>
      <c r="TOM158" s="204"/>
      <c r="TON158" s="204"/>
      <c r="TOO158" s="199"/>
      <c r="TOP158" s="167"/>
      <c r="TOQ158" s="199"/>
      <c r="TOR158" s="200"/>
      <c r="TOS158" s="201"/>
      <c r="TOT158" s="202"/>
      <c r="TOU158" s="202"/>
      <c r="TOV158" s="202"/>
      <c r="TOW158" s="202"/>
      <c r="TOX158" s="203"/>
      <c r="TOY158" s="204"/>
      <c r="TOZ158" s="204"/>
      <c r="TPA158" s="204"/>
      <c r="TPB158" s="205"/>
      <c r="TPC158" s="206"/>
      <c r="TPD158" s="207"/>
      <c r="TPE158" s="207"/>
      <c r="TPF158" s="208"/>
      <c r="TPG158" s="209"/>
      <c r="TPH158" s="207"/>
      <c r="TPI158" s="210"/>
      <c r="TPJ158" s="209"/>
      <c r="TPK158" s="204"/>
      <c r="TPL158" s="204"/>
      <c r="TPM158" s="204"/>
      <c r="TPN158" s="199"/>
      <c r="TPO158" s="167"/>
      <c r="TPP158" s="199"/>
      <c r="TPQ158" s="200"/>
      <c r="TPR158" s="201"/>
      <c r="TPS158" s="202"/>
      <c r="TPT158" s="202"/>
      <c r="TPU158" s="202"/>
      <c r="TPV158" s="202"/>
      <c r="TPW158" s="203"/>
      <c r="TPX158" s="204"/>
      <c r="TPY158" s="204"/>
      <c r="TPZ158" s="204"/>
      <c r="TQA158" s="205"/>
      <c r="TQB158" s="206"/>
      <c r="TQC158" s="207"/>
      <c r="TQD158" s="207"/>
      <c r="TQE158" s="208"/>
      <c r="TQF158" s="209"/>
      <c r="TQG158" s="207"/>
      <c r="TQH158" s="210"/>
      <c r="TQI158" s="209"/>
      <c r="TQJ158" s="204"/>
      <c r="TQK158" s="204"/>
      <c r="TQL158" s="204"/>
      <c r="TQM158" s="199"/>
      <c r="TQN158" s="167"/>
      <c r="TQO158" s="199"/>
      <c r="TQP158" s="200"/>
      <c r="TQQ158" s="201"/>
      <c r="TQR158" s="202"/>
      <c r="TQS158" s="202"/>
      <c r="TQT158" s="202"/>
      <c r="TQU158" s="202"/>
      <c r="TQV158" s="203"/>
      <c r="TQW158" s="204"/>
      <c r="TQX158" s="204"/>
      <c r="TQY158" s="204"/>
      <c r="TQZ158" s="205"/>
      <c r="TRA158" s="206"/>
      <c r="TRB158" s="207"/>
      <c r="TRC158" s="207"/>
      <c r="TRD158" s="208"/>
      <c r="TRE158" s="209"/>
      <c r="TRF158" s="207"/>
      <c r="TRG158" s="210"/>
      <c r="TRH158" s="209"/>
      <c r="TRI158" s="204"/>
      <c r="TRJ158" s="204"/>
      <c r="TRK158" s="204"/>
      <c r="TRL158" s="199"/>
      <c r="TRM158" s="167"/>
      <c r="TRN158" s="199"/>
      <c r="TRO158" s="200"/>
      <c r="TRP158" s="201"/>
      <c r="TRQ158" s="202"/>
      <c r="TRR158" s="202"/>
      <c r="TRS158" s="202"/>
      <c r="TRT158" s="202"/>
      <c r="TRU158" s="203"/>
      <c r="TRV158" s="204"/>
      <c r="TRW158" s="204"/>
      <c r="TRX158" s="204"/>
      <c r="TRY158" s="205"/>
      <c r="TRZ158" s="206"/>
      <c r="TSA158" s="207"/>
      <c r="TSB158" s="207"/>
      <c r="TSC158" s="208"/>
      <c r="TSD158" s="209"/>
      <c r="TSE158" s="207"/>
      <c r="TSF158" s="210"/>
      <c r="TSG158" s="209"/>
      <c r="TSH158" s="204"/>
      <c r="TSI158" s="204"/>
      <c r="TSJ158" s="204"/>
      <c r="TSK158" s="199"/>
      <c r="TSL158" s="167"/>
      <c r="TSM158" s="199"/>
      <c r="TSN158" s="200"/>
      <c r="TSO158" s="201"/>
      <c r="TSP158" s="202"/>
      <c r="TSQ158" s="202"/>
      <c r="TSR158" s="202"/>
      <c r="TSS158" s="202"/>
      <c r="TST158" s="203"/>
      <c r="TSU158" s="204"/>
      <c r="TSV158" s="204"/>
      <c r="TSW158" s="204"/>
      <c r="TSX158" s="205"/>
      <c r="TSY158" s="206"/>
      <c r="TSZ158" s="207"/>
      <c r="TTA158" s="207"/>
      <c r="TTB158" s="208"/>
      <c r="TTC158" s="209"/>
      <c r="TTD158" s="207"/>
      <c r="TTE158" s="210"/>
      <c r="TTF158" s="209"/>
      <c r="TTG158" s="204"/>
      <c r="TTH158" s="204"/>
      <c r="TTI158" s="204"/>
      <c r="TTJ158" s="199"/>
      <c r="TTK158" s="167"/>
      <c r="TTL158" s="199"/>
      <c r="TTM158" s="200"/>
      <c r="TTN158" s="201"/>
      <c r="TTO158" s="202"/>
      <c r="TTP158" s="202"/>
      <c r="TTQ158" s="202"/>
      <c r="TTR158" s="202"/>
      <c r="TTS158" s="203"/>
      <c r="TTT158" s="204"/>
      <c r="TTU158" s="204"/>
      <c r="TTV158" s="204"/>
      <c r="TTW158" s="205"/>
      <c r="TTX158" s="206"/>
      <c r="TTY158" s="207"/>
      <c r="TTZ158" s="207"/>
      <c r="TUA158" s="208"/>
      <c r="TUB158" s="209"/>
      <c r="TUC158" s="207"/>
      <c r="TUD158" s="210"/>
      <c r="TUE158" s="209"/>
      <c r="TUF158" s="204"/>
      <c r="TUG158" s="204"/>
      <c r="TUH158" s="204"/>
      <c r="TUI158" s="199"/>
      <c r="TUJ158" s="167"/>
      <c r="TUK158" s="199"/>
      <c r="TUL158" s="200"/>
      <c r="TUM158" s="201"/>
      <c r="TUN158" s="202"/>
      <c r="TUO158" s="202"/>
      <c r="TUP158" s="202"/>
      <c r="TUQ158" s="202"/>
      <c r="TUR158" s="203"/>
      <c r="TUS158" s="204"/>
      <c r="TUT158" s="204"/>
      <c r="TUU158" s="204"/>
      <c r="TUV158" s="205"/>
      <c r="TUW158" s="206"/>
      <c r="TUX158" s="207"/>
      <c r="TUY158" s="207"/>
      <c r="TUZ158" s="208"/>
      <c r="TVA158" s="209"/>
      <c r="TVB158" s="207"/>
      <c r="TVC158" s="210"/>
      <c r="TVD158" s="209"/>
      <c r="TVE158" s="204"/>
      <c r="TVF158" s="204"/>
      <c r="TVG158" s="204"/>
      <c r="TVH158" s="199"/>
      <c r="TVI158" s="167"/>
      <c r="TVJ158" s="199"/>
      <c r="TVK158" s="200"/>
      <c r="TVL158" s="201"/>
      <c r="TVM158" s="202"/>
      <c r="TVN158" s="202"/>
      <c r="TVO158" s="202"/>
      <c r="TVP158" s="202"/>
      <c r="TVQ158" s="203"/>
      <c r="TVR158" s="204"/>
      <c r="TVS158" s="204"/>
      <c r="TVT158" s="204"/>
      <c r="TVU158" s="205"/>
      <c r="TVV158" s="206"/>
      <c r="TVW158" s="207"/>
      <c r="TVX158" s="207"/>
      <c r="TVY158" s="208"/>
      <c r="TVZ158" s="209"/>
      <c r="TWA158" s="207"/>
      <c r="TWB158" s="210"/>
      <c r="TWC158" s="209"/>
      <c r="TWD158" s="204"/>
      <c r="TWE158" s="204"/>
      <c r="TWF158" s="204"/>
      <c r="TWG158" s="199"/>
      <c r="TWH158" s="167"/>
      <c r="TWI158" s="199"/>
      <c r="TWJ158" s="200"/>
      <c r="TWK158" s="201"/>
      <c r="TWL158" s="202"/>
      <c r="TWM158" s="202"/>
      <c r="TWN158" s="202"/>
      <c r="TWO158" s="202"/>
      <c r="TWP158" s="203"/>
      <c r="TWQ158" s="204"/>
      <c r="TWR158" s="204"/>
      <c r="TWS158" s="204"/>
      <c r="TWT158" s="205"/>
      <c r="TWU158" s="206"/>
      <c r="TWV158" s="207"/>
      <c r="TWW158" s="207"/>
      <c r="TWX158" s="208"/>
      <c r="TWY158" s="209"/>
      <c r="TWZ158" s="207"/>
      <c r="TXA158" s="210"/>
      <c r="TXB158" s="209"/>
      <c r="TXC158" s="204"/>
      <c r="TXD158" s="204"/>
      <c r="TXE158" s="204"/>
      <c r="TXF158" s="199"/>
      <c r="TXG158" s="167"/>
      <c r="TXH158" s="199"/>
      <c r="TXI158" s="200"/>
      <c r="TXJ158" s="201"/>
      <c r="TXK158" s="202"/>
      <c r="TXL158" s="202"/>
      <c r="TXM158" s="202"/>
      <c r="TXN158" s="202"/>
      <c r="TXO158" s="203"/>
      <c r="TXP158" s="204"/>
      <c r="TXQ158" s="204"/>
      <c r="TXR158" s="204"/>
      <c r="TXS158" s="205"/>
      <c r="TXT158" s="206"/>
      <c r="TXU158" s="207"/>
      <c r="TXV158" s="207"/>
      <c r="TXW158" s="208"/>
      <c r="TXX158" s="209"/>
      <c r="TXY158" s="207"/>
      <c r="TXZ158" s="210"/>
      <c r="TYA158" s="209"/>
      <c r="TYB158" s="204"/>
      <c r="TYC158" s="204"/>
      <c r="TYD158" s="204"/>
      <c r="TYE158" s="199"/>
      <c r="TYF158" s="167"/>
      <c r="TYG158" s="199"/>
      <c r="TYH158" s="200"/>
      <c r="TYI158" s="201"/>
      <c r="TYJ158" s="202"/>
      <c r="TYK158" s="202"/>
      <c r="TYL158" s="202"/>
      <c r="TYM158" s="202"/>
      <c r="TYN158" s="203"/>
      <c r="TYO158" s="204"/>
      <c r="TYP158" s="204"/>
      <c r="TYQ158" s="204"/>
      <c r="TYR158" s="205"/>
      <c r="TYS158" s="206"/>
      <c r="TYT158" s="207"/>
      <c r="TYU158" s="207"/>
      <c r="TYV158" s="208"/>
      <c r="TYW158" s="209"/>
      <c r="TYX158" s="207"/>
      <c r="TYY158" s="210"/>
      <c r="TYZ158" s="209"/>
      <c r="TZA158" s="204"/>
      <c r="TZB158" s="204"/>
      <c r="TZC158" s="204"/>
      <c r="TZD158" s="199"/>
      <c r="TZE158" s="167"/>
      <c r="TZF158" s="199"/>
      <c r="TZG158" s="200"/>
      <c r="TZH158" s="201"/>
      <c r="TZI158" s="202"/>
      <c r="TZJ158" s="202"/>
      <c r="TZK158" s="202"/>
      <c r="TZL158" s="202"/>
      <c r="TZM158" s="203"/>
      <c r="TZN158" s="204"/>
      <c r="TZO158" s="204"/>
      <c r="TZP158" s="204"/>
      <c r="TZQ158" s="205"/>
      <c r="TZR158" s="206"/>
      <c r="TZS158" s="207"/>
      <c r="TZT158" s="207"/>
      <c r="TZU158" s="208"/>
      <c r="TZV158" s="209"/>
      <c r="TZW158" s="207"/>
      <c r="TZX158" s="210"/>
      <c r="TZY158" s="209"/>
      <c r="TZZ158" s="204"/>
      <c r="UAA158" s="204"/>
      <c r="UAB158" s="204"/>
      <c r="UAC158" s="199"/>
      <c r="UAD158" s="167"/>
      <c r="UAE158" s="199"/>
      <c r="UAF158" s="200"/>
      <c r="UAG158" s="201"/>
      <c r="UAH158" s="202"/>
      <c r="UAI158" s="202"/>
      <c r="UAJ158" s="202"/>
      <c r="UAK158" s="202"/>
      <c r="UAL158" s="203"/>
      <c r="UAM158" s="204"/>
      <c r="UAN158" s="204"/>
      <c r="UAO158" s="204"/>
      <c r="UAP158" s="205"/>
      <c r="UAQ158" s="206"/>
      <c r="UAR158" s="207"/>
      <c r="UAS158" s="207"/>
      <c r="UAT158" s="208"/>
      <c r="UAU158" s="209"/>
      <c r="UAV158" s="207"/>
      <c r="UAW158" s="210"/>
      <c r="UAX158" s="209"/>
      <c r="UAY158" s="204"/>
      <c r="UAZ158" s="204"/>
      <c r="UBA158" s="204"/>
      <c r="UBB158" s="199"/>
      <c r="UBC158" s="167"/>
      <c r="UBD158" s="199"/>
      <c r="UBE158" s="200"/>
      <c r="UBF158" s="201"/>
      <c r="UBG158" s="202"/>
      <c r="UBH158" s="202"/>
      <c r="UBI158" s="202"/>
      <c r="UBJ158" s="202"/>
      <c r="UBK158" s="203"/>
      <c r="UBL158" s="204"/>
      <c r="UBM158" s="204"/>
      <c r="UBN158" s="204"/>
      <c r="UBO158" s="205"/>
      <c r="UBP158" s="206"/>
      <c r="UBQ158" s="207"/>
      <c r="UBR158" s="207"/>
      <c r="UBS158" s="208"/>
      <c r="UBT158" s="209"/>
      <c r="UBU158" s="207"/>
      <c r="UBV158" s="210"/>
      <c r="UBW158" s="209"/>
      <c r="UBX158" s="204"/>
      <c r="UBY158" s="204"/>
      <c r="UBZ158" s="204"/>
      <c r="UCA158" s="199"/>
      <c r="UCB158" s="167"/>
      <c r="UCC158" s="199"/>
      <c r="UCD158" s="200"/>
      <c r="UCE158" s="201"/>
      <c r="UCF158" s="202"/>
      <c r="UCG158" s="202"/>
      <c r="UCH158" s="202"/>
      <c r="UCI158" s="202"/>
      <c r="UCJ158" s="203"/>
      <c r="UCK158" s="204"/>
      <c r="UCL158" s="204"/>
      <c r="UCM158" s="204"/>
      <c r="UCN158" s="205"/>
      <c r="UCO158" s="206"/>
      <c r="UCP158" s="207"/>
      <c r="UCQ158" s="207"/>
      <c r="UCR158" s="208"/>
      <c r="UCS158" s="209"/>
      <c r="UCT158" s="207"/>
      <c r="UCU158" s="210"/>
      <c r="UCV158" s="209"/>
      <c r="UCW158" s="204"/>
      <c r="UCX158" s="204"/>
      <c r="UCY158" s="204"/>
      <c r="UCZ158" s="199"/>
      <c r="UDA158" s="167"/>
      <c r="UDB158" s="199"/>
      <c r="UDC158" s="200"/>
      <c r="UDD158" s="201"/>
      <c r="UDE158" s="202"/>
      <c r="UDF158" s="202"/>
      <c r="UDG158" s="202"/>
      <c r="UDH158" s="202"/>
      <c r="UDI158" s="203"/>
      <c r="UDJ158" s="204"/>
      <c r="UDK158" s="204"/>
      <c r="UDL158" s="204"/>
      <c r="UDM158" s="205"/>
      <c r="UDN158" s="206"/>
      <c r="UDO158" s="207"/>
      <c r="UDP158" s="207"/>
      <c r="UDQ158" s="208"/>
      <c r="UDR158" s="209"/>
      <c r="UDS158" s="207"/>
      <c r="UDT158" s="210"/>
      <c r="UDU158" s="209"/>
      <c r="UDV158" s="204"/>
      <c r="UDW158" s="204"/>
      <c r="UDX158" s="204"/>
      <c r="UDY158" s="199"/>
      <c r="UDZ158" s="167"/>
      <c r="UEA158" s="199"/>
      <c r="UEB158" s="200"/>
      <c r="UEC158" s="201"/>
      <c r="UED158" s="202"/>
      <c r="UEE158" s="202"/>
      <c r="UEF158" s="202"/>
      <c r="UEG158" s="202"/>
      <c r="UEH158" s="203"/>
      <c r="UEI158" s="204"/>
      <c r="UEJ158" s="204"/>
      <c r="UEK158" s="204"/>
      <c r="UEL158" s="205"/>
      <c r="UEM158" s="206"/>
      <c r="UEN158" s="207"/>
      <c r="UEO158" s="207"/>
      <c r="UEP158" s="208"/>
      <c r="UEQ158" s="209"/>
      <c r="UER158" s="207"/>
      <c r="UES158" s="210"/>
      <c r="UET158" s="209"/>
      <c r="UEU158" s="204"/>
      <c r="UEV158" s="204"/>
      <c r="UEW158" s="204"/>
      <c r="UEX158" s="199"/>
      <c r="UEY158" s="167"/>
      <c r="UEZ158" s="199"/>
      <c r="UFA158" s="200"/>
      <c r="UFB158" s="201"/>
      <c r="UFC158" s="202"/>
      <c r="UFD158" s="202"/>
      <c r="UFE158" s="202"/>
      <c r="UFF158" s="202"/>
      <c r="UFG158" s="203"/>
      <c r="UFH158" s="204"/>
      <c r="UFI158" s="204"/>
      <c r="UFJ158" s="204"/>
      <c r="UFK158" s="205"/>
      <c r="UFL158" s="206"/>
      <c r="UFM158" s="207"/>
      <c r="UFN158" s="207"/>
      <c r="UFO158" s="208"/>
      <c r="UFP158" s="209"/>
      <c r="UFQ158" s="207"/>
      <c r="UFR158" s="210"/>
      <c r="UFS158" s="209"/>
      <c r="UFT158" s="204"/>
      <c r="UFU158" s="204"/>
      <c r="UFV158" s="204"/>
      <c r="UFW158" s="199"/>
      <c r="UFX158" s="167"/>
      <c r="UFY158" s="199"/>
      <c r="UFZ158" s="200"/>
      <c r="UGA158" s="201"/>
      <c r="UGB158" s="202"/>
      <c r="UGC158" s="202"/>
      <c r="UGD158" s="202"/>
      <c r="UGE158" s="202"/>
      <c r="UGF158" s="203"/>
      <c r="UGG158" s="204"/>
      <c r="UGH158" s="204"/>
      <c r="UGI158" s="204"/>
      <c r="UGJ158" s="205"/>
      <c r="UGK158" s="206"/>
      <c r="UGL158" s="207"/>
      <c r="UGM158" s="207"/>
      <c r="UGN158" s="208"/>
      <c r="UGO158" s="209"/>
      <c r="UGP158" s="207"/>
      <c r="UGQ158" s="210"/>
      <c r="UGR158" s="209"/>
      <c r="UGS158" s="204"/>
      <c r="UGT158" s="204"/>
      <c r="UGU158" s="204"/>
      <c r="UGV158" s="199"/>
      <c r="UGW158" s="167"/>
      <c r="UGX158" s="199"/>
      <c r="UGY158" s="200"/>
      <c r="UGZ158" s="201"/>
      <c r="UHA158" s="202"/>
      <c r="UHB158" s="202"/>
      <c r="UHC158" s="202"/>
      <c r="UHD158" s="202"/>
      <c r="UHE158" s="203"/>
      <c r="UHF158" s="204"/>
      <c r="UHG158" s="204"/>
      <c r="UHH158" s="204"/>
      <c r="UHI158" s="205"/>
      <c r="UHJ158" s="206"/>
      <c r="UHK158" s="207"/>
      <c r="UHL158" s="207"/>
      <c r="UHM158" s="208"/>
      <c r="UHN158" s="209"/>
      <c r="UHO158" s="207"/>
      <c r="UHP158" s="210"/>
      <c r="UHQ158" s="209"/>
      <c r="UHR158" s="204"/>
      <c r="UHS158" s="204"/>
      <c r="UHT158" s="204"/>
      <c r="UHU158" s="199"/>
      <c r="UHV158" s="167"/>
      <c r="UHW158" s="199"/>
      <c r="UHX158" s="200"/>
      <c r="UHY158" s="201"/>
      <c r="UHZ158" s="202"/>
      <c r="UIA158" s="202"/>
      <c r="UIB158" s="202"/>
      <c r="UIC158" s="202"/>
      <c r="UID158" s="203"/>
      <c r="UIE158" s="204"/>
      <c r="UIF158" s="204"/>
      <c r="UIG158" s="204"/>
      <c r="UIH158" s="205"/>
      <c r="UII158" s="206"/>
      <c r="UIJ158" s="207"/>
      <c r="UIK158" s="207"/>
      <c r="UIL158" s="208"/>
      <c r="UIM158" s="209"/>
      <c r="UIN158" s="207"/>
      <c r="UIO158" s="210"/>
      <c r="UIP158" s="209"/>
      <c r="UIQ158" s="204"/>
      <c r="UIR158" s="204"/>
      <c r="UIS158" s="204"/>
      <c r="UIT158" s="199"/>
      <c r="UIU158" s="167"/>
      <c r="UIV158" s="199"/>
      <c r="UIW158" s="200"/>
      <c r="UIX158" s="201"/>
      <c r="UIY158" s="202"/>
      <c r="UIZ158" s="202"/>
      <c r="UJA158" s="202"/>
      <c r="UJB158" s="202"/>
      <c r="UJC158" s="203"/>
      <c r="UJD158" s="204"/>
      <c r="UJE158" s="204"/>
      <c r="UJF158" s="204"/>
      <c r="UJG158" s="205"/>
      <c r="UJH158" s="206"/>
      <c r="UJI158" s="207"/>
      <c r="UJJ158" s="207"/>
      <c r="UJK158" s="208"/>
      <c r="UJL158" s="209"/>
      <c r="UJM158" s="207"/>
      <c r="UJN158" s="210"/>
      <c r="UJO158" s="209"/>
      <c r="UJP158" s="204"/>
      <c r="UJQ158" s="204"/>
      <c r="UJR158" s="204"/>
      <c r="UJS158" s="199"/>
      <c r="UJT158" s="167"/>
      <c r="UJU158" s="199"/>
      <c r="UJV158" s="200"/>
      <c r="UJW158" s="201"/>
      <c r="UJX158" s="202"/>
      <c r="UJY158" s="202"/>
      <c r="UJZ158" s="202"/>
      <c r="UKA158" s="202"/>
      <c r="UKB158" s="203"/>
      <c r="UKC158" s="204"/>
      <c r="UKD158" s="204"/>
      <c r="UKE158" s="204"/>
      <c r="UKF158" s="205"/>
      <c r="UKG158" s="206"/>
      <c r="UKH158" s="207"/>
      <c r="UKI158" s="207"/>
      <c r="UKJ158" s="208"/>
      <c r="UKK158" s="209"/>
      <c r="UKL158" s="207"/>
      <c r="UKM158" s="210"/>
      <c r="UKN158" s="209"/>
      <c r="UKO158" s="204"/>
      <c r="UKP158" s="204"/>
      <c r="UKQ158" s="204"/>
      <c r="UKR158" s="199"/>
      <c r="UKS158" s="167"/>
      <c r="UKT158" s="199"/>
      <c r="UKU158" s="200"/>
      <c r="UKV158" s="201"/>
      <c r="UKW158" s="202"/>
      <c r="UKX158" s="202"/>
      <c r="UKY158" s="202"/>
      <c r="UKZ158" s="202"/>
      <c r="ULA158" s="203"/>
      <c r="ULB158" s="204"/>
      <c r="ULC158" s="204"/>
      <c r="ULD158" s="204"/>
      <c r="ULE158" s="205"/>
      <c r="ULF158" s="206"/>
      <c r="ULG158" s="207"/>
      <c r="ULH158" s="207"/>
      <c r="ULI158" s="208"/>
      <c r="ULJ158" s="209"/>
      <c r="ULK158" s="207"/>
      <c r="ULL158" s="210"/>
      <c r="ULM158" s="209"/>
      <c r="ULN158" s="204"/>
      <c r="ULO158" s="204"/>
      <c r="ULP158" s="204"/>
      <c r="ULQ158" s="199"/>
      <c r="ULR158" s="167"/>
      <c r="ULS158" s="199"/>
      <c r="ULT158" s="200"/>
      <c r="ULU158" s="201"/>
      <c r="ULV158" s="202"/>
      <c r="ULW158" s="202"/>
      <c r="ULX158" s="202"/>
      <c r="ULY158" s="202"/>
      <c r="ULZ158" s="203"/>
      <c r="UMA158" s="204"/>
      <c r="UMB158" s="204"/>
      <c r="UMC158" s="204"/>
      <c r="UMD158" s="205"/>
      <c r="UME158" s="206"/>
      <c r="UMF158" s="207"/>
      <c r="UMG158" s="207"/>
      <c r="UMH158" s="208"/>
      <c r="UMI158" s="209"/>
      <c r="UMJ158" s="207"/>
      <c r="UMK158" s="210"/>
      <c r="UML158" s="209"/>
      <c r="UMM158" s="204"/>
      <c r="UMN158" s="204"/>
      <c r="UMO158" s="204"/>
      <c r="UMP158" s="199"/>
      <c r="UMQ158" s="167"/>
      <c r="UMR158" s="199"/>
      <c r="UMS158" s="200"/>
      <c r="UMT158" s="201"/>
      <c r="UMU158" s="202"/>
      <c r="UMV158" s="202"/>
      <c r="UMW158" s="202"/>
      <c r="UMX158" s="202"/>
      <c r="UMY158" s="203"/>
      <c r="UMZ158" s="204"/>
      <c r="UNA158" s="204"/>
      <c r="UNB158" s="204"/>
      <c r="UNC158" s="205"/>
      <c r="UND158" s="206"/>
      <c r="UNE158" s="207"/>
      <c r="UNF158" s="207"/>
      <c r="UNG158" s="208"/>
      <c r="UNH158" s="209"/>
      <c r="UNI158" s="207"/>
      <c r="UNJ158" s="210"/>
      <c r="UNK158" s="209"/>
      <c r="UNL158" s="204"/>
      <c r="UNM158" s="204"/>
      <c r="UNN158" s="204"/>
      <c r="UNO158" s="199"/>
      <c r="UNP158" s="167"/>
      <c r="UNQ158" s="199"/>
      <c r="UNR158" s="200"/>
      <c r="UNS158" s="201"/>
      <c r="UNT158" s="202"/>
      <c r="UNU158" s="202"/>
      <c r="UNV158" s="202"/>
      <c r="UNW158" s="202"/>
      <c r="UNX158" s="203"/>
      <c r="UNY158" s="204"/>
      <c r="UNZ158" s="204"/>
      <c r="UOA158" s="204"/>
      <c r="UOB158" s="205"/>
      <c r="UOC158" s="206"/>
      <c r="UOD158" s="207"/>
      <c r="UOE158" s="207"/>
      <c r="UOF158" s="208"/>
      <c r="UOG158" s="209"/>
      <c r="UOH158" s="207"/>
      <c r="UOI158" s="210"/>
      <c r="UOJ158" s="209"/>
      <c r="UOK158" s="204"/>
      <c r="UOL158" s="204"/>
      <c r="UOM158" s="204"/>
      <c r="UON158" s="199"/>
      <c r="UOO158" s="167"/>
      <c r="UOP158" s="199"/>
      <c r="UOQ158" s="200"/>
      <c r="UOR158" s="201"/>
      <c r="UOS158" s="202"/>
      <c r="UOT158" s="202"/>
      <c r="UOU158" s="202"/>
      <c r="UOV158" s="202"/>
      <c r="UOW158" s="203"/>
      <c r="UOX158" s="204"/>
      <c r="UOY158" s="204"/>
      <c r="UOZ158" s="204"/>
      <c r="UPA158" s="205"/>
      <c r="UPB158" s="206"/>
      <c r="UPC158" s="207"/>
      <c r="UPD158" s="207"/>
      <c r="UPE158" s="208"/>
      <c r="UPF158" s="209"/>
      <c r="UPG158" s="207"/>
      <c r="UPH158" s="210"/>
      <c r="UPI158" s="209"/>
      <c r="UPJ158" s="204"/>
      <c r="UPK158" s="204"/>
      <c r="UPL158" s="204"/>
      <c r="UPM158" s="199"/>
      <c r="UPN158" s="167"/>
      <c r="UPO158" s="199"/>
      <c r="UPP158" s="200"/>
      <c r="UPQ158" s="201"/>
      <c r="UPR158" s="202"/>
      <c r="UPS158" s="202"/>
      <c r="UPT158" s="202"/>
      <c r="UPU158" s="202"/>
      <c r="UPV158" s="203"/>
      <c r="UPW158" s="204"/>
      <c r="UPX158" s="204"/>
      <c r="UPY158" s="204"/>
      <c r="UPZ158" s="205"/>
      <c r="UQA158" s="206"/>
      <c r="UQB158" s="207"/>
      <c r="UQC158" s="207"/>
      <c r="UQD158" s="208"/>
      <c r="UQE158" s="209"/>
      <c r="UQF158" s="207"/>
      <c r="UQG158" s="210"/>
      <c r="UQH158" s="209"/>
      <c r="UQI158" s="204"/>
      <c r="UQJ158" s="204"/>
      <c r="UQK158" s="204"/>
      <c r="UQL158" s="199"/>
      <c r="UQM158" s="167"/>
      <c r="UQN158" s="199"/>
      <c r="UQO158" s="200"/>
      <c r="UQP158" s="201"/>
      <c r="UQQ158" s="202"/>
      <c r="UQR158" s="202"/>
      <c r="UQS158" s="202"/>
      <c r="UQT158" s="202"/>
      <c r="UQU158" s="203"/>
      <c r="UQV158" s="204"/>
      <c r="UQW158" s="204"/>
      <c r="UQX158" s="204"/>
      <c r="UQY158" s="205"/>
      <c r="UQZ158" s="206"/>
      <c r="URA158" s="207"/>
      <c r="URB158" s="207"/>
      <c r="URC158" s="208"/>
      <c r="URD158" s="209"/>
      <c r="URE158" s="207"/>
      <c r="URF158" s="210"/>
      <c r="URG158" s="209"/>
      <c r="URH158" s="204"/>
      <c r="URI158" s="204"/>
      <c r="URJ158" s="204"/>
      <c r="URK158" s="199"/>
      <c r="URL158" s="167"/>
      <c r="URM158" s="199"/>
      <c r="URN158" s="200"/>
      <c r="URO158" s="201"/>
      <c r="URP158" s="202"/>
      <c r="URQ158" s="202"/>
      <c r="URR158" s="202"/>
      <c r="URS158" s="202"/>
      <c r="URT158" s="203"/>
      <c r="URU158" s="204"/>
      <c r="URV158" s="204"/>
      <c r="URW158" s="204"/>
      <c r="URX158" s="205"/>
      <c r="URY158" s="206"/>
      <c r="URZ158" s="207"/>
      <c r="USA158" s="207"/>
      <c r="USB158" s="208"/>
      <c r="USC158" s="209"/>
      <c r="USD158" s="207"/>
      <c r="USE158" s="210"/>
      <c r="USF158" s="209"/>
      <c r="USG158" s="204"/>
      <c r="USH158" s="204"/>
      <c r="USI158" s="204"/>
      <c r="USJ158" s="199"/>
      <c r="USK158" s="167"/>
      <c r="USL158" s="199"/>
      <c r="USM158" s="200"/>
      <c r="USN158" s="201"/>
      <c r="USO158" s="202"/>
      <c r="USP158" s="202"/>
      <c r="USQ158" s="202"/>
      <c r="USR158" s="202"/>
      <c r="USS158" s="203"/>
      <c r="UST158" s="204"/>
      <c r="USU158" s="204"/>
      <c r="USV158" s="204"/>
      <c r="USW158" s="205"/>
      <c r="USX158" s="206"/>
      <c r="USY158" s="207"/>
      <c r="USZ158" s="207"/>
      <c r="UTA158" s="208"/>
      <c r="UTB158" s="209"/>
      <c r="UTC158" s="207"/>
      <c r="UTD158" s="210"/>
      <c r="UTE158" s="209"/>
      <c r="UTF158" s="204"/>
      <c r="UTG158" s="204"/>
      <c r="UTH158" s="204"/>
      <c r="UTI158" s="199"/>
      <c r="UTJ158" s="167"/>
      <c r="UTK158" s="199"/>
      <c r="UTL158" s="200"/>
      <c r="UTM158" s="201"/>
      <c r="UTN158" s="202"/>
      <c r="UTO158" s="202"/>
      <c r="UTP158" s="202"/>
      <c r="UTQ158" s="202"/>
      <c r="UTR158" s="203"/>
      <c r="UTS158" s="204"/>
      <c r="UTT158" s="204"/>
      <c r="UTU158" s="204"/>
      <c r="UTV158" s="205"/>
      <c r="UTW158" s="206"/>
      <c r="UTX158" s="207"/>
      <c r="UTY158" s="207"/>
      <c r="UTZ158" s="208"/>
      <c r="UUA158" s="209"/>
      <c r="UUB158" s="207"/>
      <c r="UUC158" s="210"/>
      <c r="UUD158" s="209"/>
      <c r="UUE158" s="204"/>
      <c r="UUF158" s="204"/>
      <c r="UUG158" s="204"/>
      <c r="UUH158" s="199"/>
      <c r="UUI158" s="167"/>
      <c r="UUJ158" s="199"/>
      <c r="UUK158" s="200"/>
      <c r="UUL158" s="201"/>
      <c r="UUM158" s="202"/>
      <c r="UUN158" s="202"/>
      <c r="UUO158" s="202"/>
      <c r="UUP158" s="202"/>
      <c r="UUQ158" s="203"/>
      <c r="UUR158" s="204"/>
      <c r="UUS158" s="204"/>
      <c r="UUT158" s="204"/>
      <c r="UUU158" s="205"/>
      <c r="UUV158" s="206"/>
      <c r="UUW158" s="207"/>
      <c r="UUX158" s="207"/>
      <c r="UUY158" s="208"/>
      <c r="UUZ158" s="209"/>
      <c r="UVA158" s="207"/>
      <c r="UVB158" s="210"/>
      <c r="UVC158" s="209"/>
      <c r="UVD158" s="204"/>
      <c r="UVE158" s="204"/>
      <c r="UVF158" s="204"/>
      <c r="UVG158" s="199"/>
      <c r="UVH158" s="167"/>
      <c r="UVI158" s="199"/>
      <c r="UVJ158" s="200"/>
      <c r="UVK158" s="201"/>
      <c r="UVL158" s="202"/>
      <c r="UVM158" s="202"/>
      <c r="UVN158" s="202"/>
      <c r="UVO158" s="202"/>
      <c r="UVP158" s="203"/>
      <c r="UVQ158" s="204"/>
      <c r="UVR158" s="204"/>
      <c r="UVS158" s="204"/>
      <c r="UVT158" s="205"/>
      <c r="UVU158" s="206"/>
      <c r="UVV158" s="207"/>
      <c r="UVW158" s="207"/>
      <c r="UVX158" s="208"/>
      <c r="UVY158" s="209"/>
      <c r="UVZ158" s="207"/>
      <c r="UWA158" s="210"/>
      <c r="UWB158" s="209"/>
      <c r="UWC158" s="204"/>
      <c r="UWD158" s="204"/>
      <c r="UWE158" s="204"/>
      <c r="UWF158" s="199"/>
      <c r="UWG158" s="167"/>
      <c r="UWH158" s="199"/>
      <c r="UWI158" s="200"/>
      <c r="UWJ158" s="201"/>
      <c r="UWK158" s="202"/>
      <c r="UWL158" s="202"/>
      <c r="UWM158" s="202"/>
      <c r="UWN158" s="202"/>
      <c r="UWO158" s="203"/>
      <c r="UWP158" s="204"/>
      <c r="UWQ158" s="204"/>
      <c r="UWR158" s="204"/>
      <c r="UWS158" s="205"/>
      <c r="UWT158" s="206"/>
      <c r="UWU158" s="207"/>
      <c r="UWV158" s="207"/>
      <c r="UWW158" s="208"/>
      <c r="UWX158" s="209"/>
      <c r="UWY158" s="207"/>
      <c r="UWZ158" s="210"/>
      <c r="UXA158" s="209"/>
      <c r="UXB158" s="204"/>
      <c r="UXC158" s="204"/>
      <c r="UXD158" s="204"/>
      <c r="UXE158" s="199"/>
      <c r="UXF158" s="167"/>
      <c r="UXG158" s="199"/>
      <c r="UXH158" s="200"/>
      <c r="UXI158" s="201"/>
      <c r="UXJ158" s="202"/>
      <c r="UXK158" s="202"/>
      <c r="UXL158" s="202"/>
      <c r="UXM158" s="202"/>
      <c r="UXN158" s="203"/>
      <c r="UXO158" s="204"/>
      <c r="UXP158" s="204"/>
      <c r="UXQ158" s="204"/>
      <c r="UXR158" s="205"/>
      <c r="UXS158" s="206"/>
      <c r="UXT158" s="207"/>
      <c r="UXU158" s="207"/>
      <c r="UXV158" s="208"/>
      <c r="UXW158" s="209"/>
      <c r="UXX158" s="207"/>
      <c r="UXY158" s="210"/>
      <c r="UXZ158" s="209"/>
      <c r="UYA158" s="204"/>
      <c r="UYB158" s="204"/>
      <c r="UYC158" s="204"/>
      <c r="UYD158" s="199"/>
      <c r="UYE158" s="167"/>
      <c r="UYF158" s="199"/>
      <c r="UYG158" s="200"/>
      <c r="UYH158" s="201"/>
      <c r="UYI158" s="202"/>
      <c r="UYJ158" s="202"/>
      <c r="UYK158" s="202"/>
      <c r="UYL158" s="202"/>
      <c r="UYM158" s="203"/>
      <c r="UYN158" s="204"/>
      <c r="UYO158" s="204"/>
      <c r="UYP158" s="204"/>
      <c r="UYQ158" s="205"/>
      <c r="UYR158" s="206"/>
      <c r="UYS158" s="207"/>
      <c r="UYT158" s="207"/>
      <c r="UYU158" s="208"/>
      <c r="UYV158" s="209"/>
      <c r="UYW158" s="207"/>
      <c r="UYX158" s="210"/>
      <c r="UYY158" s="209"/>
      <c r="UYZ158" s="204"/>
      <c r="UZA158" s="204"/>
      <c r="UZB158" s="204"/>
      <c r="UZC158" s="199"/>
      <c r="UZD158" s="167"/>
      <c r="UZE158" s="199"/>
      <c r="UZF158" s="200"/>
      <c r="UZG158" s="201"/>
      <c r="UZH158" s="202"/>
      <c r="UZI158" s="202"/>
      <c r="UZJ158" s="202"/>
      <c r="UZK158" s="202"/>
      <c r="UZL158" s="203"/>
      <c r="UZM158" s="204"/>
      <c r="UZN158" s="204"/>
      <c r="UZO158" s="204"/>
      <c r="UZP158" s="205"/>
      <c r="UZQ158" s="206"/>
      <c r="UZR158" s="207"/>
      <c r="UZS158" s="207"/>
      <c r="UZT158" s="208"/>
      <c r="UZU158" s="209"/>
      <c r="UZV158" s="207"/>
      <c r="UZW158" s="210"/>
      <c r="UZX158" s="209"/>
      <c r="UZY158" s="204"/>
      <c r="UZZ158" s="204"/>
      <c r="VAA158" s="204"/>
      <c r="VAB158" s="199"/>
      <c r="VAC158" s="167"/>
      <c r="VAD158" s="199"/>
      <c r="VAE158" s="200"/>
      <c r="VAF158" s="201"/>
      <c r="VAG158" s="202"/>
      <c r="VAH158" s="202"/>
      <c r="VAI158" s="202"/>
      <c r="VAJ158" s="202"/>
      <c r="VAK158" s="203"/>
      <c r="VAL158" s="204"/>
      <c r="VAM158" s="204"/>
      <c r="VAN158" s="204"/>
      <c r="VAO158" s="205"/>
      <c r="VAP158" s="206"/>
      <c r="VAQ158" s="207"/>
      <c r="VAR158" s="207"/>
      <c r="VAS158" s="208"/>
      <c r="VAT158" s="209"/>
      <c r="VAU158" s="207"/>
      <c r="VAV158" s="210"/>
      <c r="VAW158" s="209"/>
      <c r="VAX158" s="204"/>
      <c r="VAY158" s="204"/>
      <c r="VAZ158" s="204"/>
      <c r="VBA158" s="199"/>
      <c r="VBB158" s="167"/>
      <c r="VBC158" s="199"/>
      <c r="VBD158" s="200"/>
      <c r="VBE158" s="201"/>
      <c r="VBF158" s="202"/>
      <c r="VBG158" s="202"/>
      <c r="VBH158" s="202"/>
      <c r="VBI158" s="202"/>
      <c r="VBJ158" s="203"/>
      <c r="VBK158" s="204"/>
      <c r="VBL158" s="204"/>
      <c r="VBM158" s="204"/>
      <c r="VBN158" s="205"/>
      <c r="VBO158" s="206"/>
      <c r="VBP158" s="207"/>
      <c r="VBQ158" s="207"/>
      <c r="VBR158" s="208"/>
      <c r="VBS158" s="209"/>
      <c r="VBT158" s="207"/>
      <c r="VBU158" s="210"/>
      <c r="VBV158" s="209"/>
      <c r="VBW158" s="204"/>
      <c r="VBX158" s="204"/>
      <c r="VBY158" s="204"/>
      <c r="VBZ158" s="199"/>
      <c r="VCA158" s="167"/>
      <c r="VCB158" s="199"/>
      <c r="VCC158" s="200"/>
      <c r="VCD158" s="201"/>
      <c r="VCE158" s="202"/>
      <c r="VCF158" s="202"/>
      <c r="VCG158" s="202"/>
      <c r="VCH158" s="202"/>
      <c r="VCI158" s="203"/>
      <c r="VCJ158" s="204"/>
      <c r="VCK158" s="204"/>
      <c r="VCL158" s="204"/>
      <c r="VCM158" s="205"/>
      <c r="VCN158" s="206"/>
      <c r="VCO158" s="207"/>
      <c r="VCP158" s="207"/>
      <c r="VCQ158" s="208"/>
      <c r="VCR158" s="209"/>
      <c r="VCS158" s="207"/>
      <c r="VCT158" s="210"/>
      <c r="VCU158" s="209"/>
      <c r="VCV158" s="204"/>
      <c r="VCW158" s="204"/>
      <c r="VCX158" s="204"/>
      <c r="VCY158" s="199"/>
      <c r="VCZ158" s="167"/>
      <c r="VDA158" s="199"/>
      <c r="VDB158" s="200"/>
      <c r="VDC158" s="201"/>
      <c r="VDD158" s="202"/>
      <c r="VDE158" s="202"/>
      <c r="VDF158" s="202"/>
      <c r="VDG158" s="202"/>
      <c r="VDH158" s="203"/>
      <c r="VDI158" s="204"/>
      <c r="VDJ158" s="204"/>
      <c r="VDK158" s="204"/>
      <c r="VDL158" s="205"/>
      <c r="VDM158" s="206"/>
      <c r="VDN158" s="207"/>
      <c r="VDO158" s="207"/>
      <c r="VDP158" s="208"/>
      <c r="VDQ158" s="209"/>
      <c r="VDR158" s="207"/>
      <c r="VDS158" s="210"/>
      <c r="VDT158" s="209"/>
      <c r="VDU158" s="204"/>
      <c r="VDV158" s="204"/>
      <c r="VDW158" s="204"/>
      <c r="VDX158" s="199"/>
      <c r="VDY158" s="167"/>
      <c r="VDZ158" s="199"/>
      <c r="VEA158" s="200"/>
      <c r="VEB158" s="201"/>
      <c r="VEC158" s="202"/>
      <c r="VED158" s="202"/>
      <c r="VEE158" s="202"/>
      <c r="VEF158" s="202"/>
      <c r="VEG158" s="203"/>
      <c r="VEH158" s="204"/>
      <c r="VEI158" s="204"/>
      <c r="VEJ158" s="204"/>
      <c r="VEK158" s="205"/>
      <c r="VEL158" s="206"/>
      <c r="VEM158" s="207"/>
      <c r="VEN158" s="207"/>
      <c r="VEO158" s="208"/>
      <c r="VEP158" s="209"/>
      <c r="VEQ158" s="207"/>
      <c r="VER158" s="210"/>
      <c r="VES158" s="209"/>
      <c r="VET158" s="204"/>
      <c r="VEU158" s="204"/>
      <c r="VEV158" s="204"/>
      <c r="VEW158" s="199"/>
      <c r="VEX158" s="167"/>
      <c r="VEY158" s="199"/>
      <c r="VEZ158" s="200"/>
      <c r="VFA158" s="201"/>
      <c r="VFB158" s="202"/>
      <c r="VFC158" s="202"/>
      <c r="VFD158" s="202"/>
      <c r="VFE158" s="202"/>
      <c r="VFF158" s="203"/>
      <c r="VFG158" s="204"/>
      <c r="VFH158" s="204"/>
      <c r="VFI158" s="204"/>
      <c r="VFJ158" s="205"/>
      <c r="VFK158" s="206"/>
      <c r="VFL158" s="207"/>
      <c r="VFM158" s="207"/>
      <c r="VFN158" s="208"/>
      <c r="VFO158" s="209"/>
      <c r="VFP158" s="207"/>
      <c r="VFQ158" s="210"/>
      <c r="VFR158" s="209"/>
      <c r="VFS158" s="204"/>
      <c r="VFT158" s="204"/>
      <c r="VFU158" s="204"/>
      <c r="VFV158" s="199"/>
      <c r="VFW158" s="167"/>
      <c r="VFX158" s="199"/>
      <c r="VFY158" s="200"/>
      <c r="VFZ158" s="201"/>
      <c r="VGA158" s="202"/>
      <c r="VGB158" s="202"/>
      <c r="VGC158" s="202"/>
      <c r="VGD158" s="202"/>
      <c r="VGE158" s="203"/>
      <c r="VGF158" s="204"/>
      <c r="VGG158" s="204"/>
      <c r="VGH158" s="204"/>
      <c r="VGI158" s="205"/>
      <c r="VGJ158" s="206"/>
      <c r="VGK158" s="207"/>
      <c r="VGL158" s="207"/>
      <c r="VGM158" s="208"/>
      <c r="VGN158" s="209"/>
      <c r="VGO158" s="207"/>
      <c r="VGP158" s="210"/>
      <c r="VGQ158" s="209"/>
      <c r="VGR158" s="204"/>
      <c r="VGS158" s="204"/>
      <c r="VGT158" s="204"/>
      <c r="VGU158" s="199"/>
      <c r="VGV158" s="167"/>
      <c r="VGW158" s="199"/>
      <c r="VGX158" s="200"/>
      <c r="VGY158" s="201"/>
      <c r="VGZ158" s="202"/>
      <c r="VHA158" s="202"/>
      <c r="VHB158" s="202"/>
      <c r="VHC158" s="202"/>
      <c r="VHD158" s="203"/>
      <c r="VHE158" s="204"/>
      <c r="VHF158" s="204"/>
      <c r="VHG158" s="204"/>
      <c r="VHH158" s="205"/>
      <c r="VHI158" s="206"/>
      <c r="VHJ158" s="207"/>
      <c r="VHK158" s="207"/>
      <c r="VHL158" s="208"/>
      <c r="VHM158" s="209"/>
      <c r="VHN158" s="207"/>
      <c r="VHO158" s="210"/>
      <c r="VHP158" s="209"/>
      <c r="VHQ158" s="204"/>
      <c r="VHR158" s="204"/>
      <c r="VHS158" s="204"/>
      <c r="VHT158" s="199"/>
      <c r="VHU158" s="167"/>
      <c r="VHV158" s="199"/>
      <c r="VHW158" s="200"/>
      <c r="VHX158" s="201"/>
      <c r="VHY158" s="202"/>
      <c r="VHZ158" s="202"/>
      <c r="VIA158" s="202"/>
      <c r="VIB158" s="202"/>
      <c r="VIC158" s="203"/>
      <c r="VID158" s="204"/>
      <c r="VIE158" s="204"/>
      <c r="VIF158" s="204"/>
      <c r="VIG158" s="205"/>
      <c r="VIH158" s="206"/>
      <c r="VII158" s="207"/>
      <c r="VIJ158" s="207"/>
      <c r="VIK158" s="208"/>
      <c r="VIL158" s="209"/>
      <c r="VIM158" s="207"/>
      <c r="VIN158" s="210"/>
      <c r="VIO158" s="209"/>
      <c r="VIP158" s="204"/>
      <c r="VIQ158" s="204"/>
      <c r="VIR158" s="204"/>
      <c r="VIS158" s="199"/>
      <c r="VIT158" s="167"/>
      <c r="VIU158" s="199"/>
      <c r="VIV158" s="200"/>
      <c r="VIW158" s="201"/>
      <c r="VIX158" s="202"/>
      <c r="VIY158" s="202"/>
      <c r="VIZ158" s="202"/>
      <c r="VJA158" s="202"/>
      <c r="VJB158" s="203"/>
      <c r="VJC158" s="204"/>
      <c r="VJD158" s="204"/>
      <c r="VJE158" s="204"/>
      <c r="VJF158" s="205"/>
      <c r="VJG158" s="206"/>
      <c r="VJH158" s="207"/>
      <c r="VJI158" s="207"/>
      <c r="VJJ158" s="208"/>
      <c r="VJK158" s="209"/>
      <c r="VJL158" s="207"/>
      <c r="VJM158" s="210"/>
      <c r="VJN158" s="209"/>
      <c r="VJO158" s="204"/>
      <c r="VJP158" s="204"/>
      <c r="VJQ158" s="204"/>
      <c r="VJR158" s="199"/>
      <c r="VJS158" s="167"/>
      <c r="VJT158" s="199"/>
      <c r="VJU158" s="200"/>
      <c r="VJV158" s="201"/>
      <c r="VJW158" s="202"/>
      <c r="VJX158" s="202"/>
      <c r="VJY158" s="202"/>
      <c r="VJZ158" s="202"/>
      <c r="VKA158" s="203"/>
      <c r="VKB158" s="204"/>
      <c r="VKC158" s="204"/>
      <c r="VKD158" s="204"/>
      <c r="VKE158" s="205"/>
      <c r="VKF158" s="206"/>
      <c r="VKG158" s="207"/>
      <c r="VKH158" s="207"/>
      <c r="VKI158" s="208"/>
      <c r="VKJ158" s="209"/>
      <c r="VKK158" s="207"/>
      <c r="VKL158" s="210"/>
      <c r="VKM158" s="209"/>
      <c r="VKN158" s="204"/>
      <c r="VKO158" s="204"/>
      <c r="VKP158" s="204"/>
      <c r="VKQ158" s="199"/>
      <c r="VKR158" s="167"/>
      <c r="VKS158" s="199"/>
      <c r="VKT158" s="200"/>
      <c r="VKU158" s="201"/>
      <c r="VKV158" s="202"/>
      <c r="VKW158" s="202"/>
      <c r="VKX158" s="202"/>
      <c r="VKY158" s="202"/>
      <c r="VKZ158" s="203"/>
      <c r="VLA158" s="204"/>
      <c r="VLB158" s="204"/>
      <c r="VLC158" s="204"/>
      <c r="VLD158" s="205"/>
      <c r="VLE158" s="206"/>
      <c r="VLF158" s="207"/>
      <c r="VLG158" s="207"/>
      <c r="VLH158" s="208"/>
      <c r="VLI158" s="209"/>
      <c r="VLJ158" s="207"/>
      <c r="VLK158" s="210"/>
      <c r="VLL158" s="209"/>
      <c r="VLM158" s="204"/>
      <c r="VLN158" s="204"/>
      <c r="VLO158" s="204"/>
      <c r="VLP158" s="199"/>
      <c r="VLQ158" s="167"/>
      <c r="VLR158" s="199"/>
      <c r="VLS158" s="200"/>
      <c r="VLT158" s="201"/>
      <c r="VLU158" s="202"/>
      <c r="VLV158" s="202"/>
      <c r="VLW158" s="202"/>
      <c r="VLX158" s="202"/>
      <c r="VLY158" s="203"/>
      <c r="VLZ158" s="204"/>
      <c r="VMA158" s="204"/>
      <c r="VMB158" s="204"/>
      <c r="VMC158" s="205"/>
      <c r="VMD158" s="206"/>
      <c r="VME158" s="207"/>
      <c r="VMF158" s="207"/>
      <c r="VMG158" s="208"/>
      <c r="VMH158" s="209"/>
      <c r="VMI158" s="207"/>
      <c r="VMJ158" s="210"/>
      <c r="VMK158" s="209"/>
      <c r="VML158" s="204"/>
      <c r="VMM158" s="204"/>
      <c r="VMN158" s="204"/>
      <c r="VMO158" s="199"/>
      <c r="VMP158" s="167"/>
      <c r="VMQ158" s="199"/>
      <c r="VMR158" s="200"/>
      <c r="VMS158" s="201"/>
      <c r="VMT158" s="202"/>
      <c r="VMU158" s="202"/>
      <c r="VMV158" s="202"/>
      <c r="VMW158" s="202"/>
      <c r="VMX158" s="203"/>
      <c r="VMY158" s="204"/>
      <c r="VMZ158" s="204"/>
      <c r="VNA158" s="204"/>
      <c r="VNB158" s="205"/>
      <c r="VNC158" s="206"/>
      <c r="VND158" s="207"/>
      <c r="VNE158" s="207"/>
      <c r="VNF158" s="208"/>
      <c r="VNG158" s="209"/>
      <c r="VNH158" s="207"/>
      <c r="VNI158" s="210"/>
      <c r="VNJ158" s="209"/>
      <c r="VNK158" s="204"/>
      <c r="VNL158" s="204"/>
      <c r="VNM158" s="204"/>
      <c r="VNN158" s="199"/>
      <c r="VNO158" s="167"/>
      <c r="VNP158" s="199"/>
      <c r="VNQ158" s="200"/>
      <c r="VNR158" s="201"/>
      <c r="VNS158" s="202"/>
      <c r="VNT158" s="202"/>
      <c r="VNU158" s="202"/>
      <c r="VNV158" s="202"/>
      <c r="VNW158" s="203"/>
      <c r="VNX158" s="204"/>
      <c r="VNY158" s="204"/>
      <c r="VNZ158" s="204"/>
      <c r="VOA158" s="205"/>
      <c r="VOB158" s="206"/>
      <c r="VOC158" s="207"/>
      <c r="VOD158" s="207"/>
      <c r="VOE158" s="208"/>
      <c r="VOF158" s="209"/>
      <c r="VOG158" s="207"/>
      <c r="VOH158" s="210"/>
      <c r="VOI158" s="209"/>
      <c r="VOJ158" s="204"/>
      <c r="VOK158" s="204"/>
      <c r="VOL158" s="204"/>
      <c r="VOM158" s="199"/>
      <c r="VON158" s="167"/>
      <c r="VOO158" s="199"/>
      <c r="VOP158" s="200"/>
      <c r="VOQ158" s="201"/>
      <c r="VOR158" s="202"/>
      <c r="VOS158" s="202"/>
      <c r="VOT158" s="202"/>
      <c r="VOU158" s="202"/>
      <c r="VOV158" s="203"/>
      <c r="VOW158" s="204"/>
      <c r="VOX158" s="204"/>
      <c r="VOY158" s="204"/>
      <c r="VOZ158" s="205"/>
      <c r="VPA158" s="206"/>
      <c r="VPB158" s="207"/>
      <c r="VPC158" s="207"/>
      <c r="VPD158" s="208"/>
      <c r="VPE158" s="209"/>
      <c r="VPF158" s="207"/>
      <c r="VPG158" s="210"/>
      <c r="VPH158" s="209"/>
      <c r="VPI158" s="204"/>
      <c r="VPJ158" s="204"/>
      <c r="VPK158" s="204"/>
      <c r="VPL158" s="199"/>
      <c r="VPM158" s="167"/>
      <c r="VPN158" s="199"/>
      <c r="VPO158" s="200"/>
      <c r="VPP158" s="201"/>
      <c r="VPQ158" s="202"/>
      <c r="VPR158" s="202"/>
      <c r="VPS158" s="202"/>
      <c r="VPT158" s="202"/>
      <c r="VPU158" s="203"/>
      <c r="VPV158" s="204"/>
      <c r="VPW158" s="204"/>
      <c r="VPX158" s="204"/>
      <c r="VPY158" s="205"/>
      <c r="VPZ158" s="206"/>
      <c r="VQA158" s="207"/>
      <c r="VQB158" s="207"/>
      <c r="VQC158" s="208"/>
      <c r="VQD158" s="209"/>
      <c r="VQE158" s="207"/>
      <c r="VQF158" s="210"/>
      <c r="VQG158" s="209"/>
      <c r="VQH158" s="204"/>
      <c r="VQI158" s="204"/>
      <c r="VQJ158" s="204"/>
      <c r="VQK158" s="199"/>
      <c r="VQL158" s="167"/>
      <c r="VQM158" s="199"/>
      <c r="VQN158" s="200"/>
      <c r="VQO158" s="201"/>
      <c r="VQP158" s="202"/>
      <c r="VQQ158" s="202"/>
      <c r="VQR158" s="202"/>
      <c r="VQS158" s="202"/>
      <c r="VQT158" s="203"/>
      <c r="VQU158" s="204"/>
      <c r="VQV158" s="204"/>
      <c r="VQW158" s="204"/>
      <c r="VQX158" s="205"/>
      <c r="VQY158" s="206"/>
      <c r="VQZ158" s="207"/>
      <c r="VRA158" s="207"/>
      <c r="VRB158" s="208"/>
      <c r="VRC158" s="209"/>
      <c r="VRD158" s="207"/>
      <c r="VRE158" s="210"/>
      <c r="VRF158" s="209"/>
      <c r="VRG158" s="204"/>
      <c r="VRH158" s="204"/>
      <c r="VRI158" s="204"/>
      <c r="VRJ158" s="199"/>
      <c r="VRK158" s="167"/>
      <c r="VRL158" s="199"/>
      <c r="VRM158" s="200"/>
      <c r="VRN158" s="201"/>
      <c r="VRO158" s="202"/>
      <c r="VRP158" s="202"/>
      <c r="VRQ158" s="202"/>
      <c r="VRR158" s="202"/>
      <c r="VRS158" s="203"/>
      <c r="VRT158" s="204"/>
      <c r="VRU158" s="204"/>
      <c r="VRV158" s="204"/>
      <c r="VRW158" s="205"/>
      <c r="VRX158" s="206"/>
      <c r="VRY158" s="207"/>
      <c r="VRZ158" s="207"/>
      <c r="VSA158" s="208"/>
      <c r="VSB158" s="209"/>
      <c r="VSC158" s="207"/>
      <c r="VSD158" s="210"/>
      <c r="VSE158" s="209"/>
      <c r="VSF158" s="204"/>
      <c r="VSG158" s="204"/>
      <c r="VSH158" s="204"/>
      <c r="VSI158" s="199"/>
      <c r="VSJ158" s="167"/>
      <c r="VSK158" s="199"/>
      <c r="VSL158" s="200"/>
      <c r="VSM158" s="201"/>
      <c r="VSN158" s="202"/>
      <c r="VSO158" s="202"/>
      <c r="VSP158" s="202"/>
      <c r="VSQ158" s="202"/>
      <c r="VSR158" s="203"/>
      <c r="VSS158" s="204"/>
      <c r="VST158" s="204"/>
      <c r="VSU158" s="204"/>
      <c r="VSV158" s="205"/>
      <c r="VSW158" s="206"/>
      <c r="VSX158" s="207"/>
      <c r="VSY158" s="207"/>
      <c r="VSZ158" s="208"/>
      <c r="VTA158" s="209"/>
      <c r="VTB158" s="207"/>
      <c r="VTC158" s="210"/>
      <c r="VTD158" s="209"/>
      <c r="VTE158" s="204"/>
      <c r="VTF158" s="204"/>
      <c r="VTG158" s="204"/>
      <c r="VTH158" s="199"/>
      <c r="VTI158" s="167"/>
      <c r="VTJ158" s="199"/>
      <c r="VTK158" s="200"/>
      <c r="VTL158" s="201"/>
      <c r="VTM158" s="202"/>
      <c r="VTN158" s="202"/>
      <c r="VTO158" s="202"/>
      <c r="VTP158" s="202"/>
      <c r="VTQ158" s="203"/>
      <c r="VTR158" s="204"/>
      <c r="VTS158" s="204"/>
      <c r="VTT158" s="204"/>
      <c r="VTU158" s="205"/>
      <c r="VTV158" s="206"/>
      <c r="VTW158" s="207"/>
      <c r="VTX158" s="207"/>
      <c r="VTY158" s="208"/>
      <c r="VTZ158" s="209"/>
      <c r="VUA158" s="207"/>
      <c r="VUB158" s="210"/>
      <c r="VUC158" s="209"/>
      <c r="VUD158" s="204"/>
      <c r="VUE158" s="204"/>
      <c r="VUF158" s="204"/>
      <c r="VUG158" s="199"/>
      <c r="VUH158" s="167"/>
      <c r="VUI158" s="199"/>
      <c r="VUJ158" s="200"/>
      <c r="VUK158" s="201"/>
      <c r="VUL158" s="202"/>
      <c r="VUM158" s="202"/>
      <c r="VUN158" s="202"/>
      <c r="VUO158" s="202"/>
      <c r="VUP158" s="203"/>
      <c r="VUQ158" s="204"/>
      <c r="VUR158" s="204"/>
      <c r="VUS158" s="204"/>
      <c r="VUT158" s="205"/>
      <c r="VUU158" s="206"/>
      <c r="VUV158" s="207"/>
      <c r="VUW158" s="207"/>
      <c r="VUX158" s="208"/>
      <c r="VUY158" s="209"/>
      <c r="VUZ158" s="207"/>
      <c r="VVA158" s="210"/>
      <c r="VVB158" s="209"/>
      <c r="VVC158" s="204"/>
      <c r="VVD158" s="204"/>
      <c r="VVE158" s="204"/>
      <c r="VVF158" s="199"/>
      <c r="VVG158" s="167"/>
      <c r="VVH158" s="199"/>
      <c r="VVI158" s="200"/>
      <c r="VVJ158" s="201"/>
      <c r="VVK158" s="202"/>
      <c r="VVL158" s="202"/>
      <c r="VVM158" s="202"/>
      <c r="VVN158" s="202"/>
      <c r="VVO158" s="203"/>
      <c r="VVP158" s="204"/>
      <c r="VVQ158" s="204"/>
      <c r="VVR158" s="204"/>
      <c r="VVS158" s="205"/>
      <c r="VVT158" s="206"/>
      <c r="VVU158" s="207"/>
      <c r="VVV158" s="207"/>
      <c r="VVW158" s="208"/>
      <c r="VVX158" s="209"/>
      <c r="VVY158" s="207"/>
      <c r="VVZ158" s="210"/>
      <c r="VWA158" s="209"/>
      <c r="VWB158" s="204"/>
      <c r="VWC158" s="204"/>
      <c r="VWD158" s="204"/>
      <c r="VWE158" s="199"/>
      <c r="VWF158" s="167"/>
      <c r="VWG158" s="199"/>
      <c r="VWH158" s="200"/>
      <c r="VWI158" s="201"/>
      <c r="VWJ158" s="202"/>
      <c r="VWK158" s="202"/>
      <c r="VWL158" s="202"/>
      <c r="VWM158" s="202"/>
      <c r="VWN158" s="203"/>
      <c r="VWO158" s="204"/>
      <c r="VWP158" s="204"/>
      <c r="VWQ158" s="204"/>
      <c r="VWR158" s="205"/>
      <c r="VWS158" s="206"/>
      <c r="VWT158" s="207"/>
      <c r="VWU158" s="207"/>
      <c r="VWV158" s="208"/>
      <c r="VWW158" s="209"/>
      <c r="VWX158" s="207"/>
      <c r="VWY158" s="210"/>
      <c r="VWZ158" s="209"/>
      <c r="VXA158" s="204"/>
      <c r="VXB158" s="204"/>
      <c r="VXC158" s="204"/>
      <c r="VXD158" s="199"/>
      <c r="VXE158" s="167"/>
      <c r="VXF158" s="199"/>
      <c r="VXG158" s="200"/>
      <c r="VXH158" s="201"/>
      <c r="VXI158" s="202"/>
      <c r="VXJ158" s="202"/>
      <c r="VXK158" s="202"/>
      <c r="VXL158" s="202"/>
      <c r="VXM158" s="203"/>
      <c r="VXN158" s="204"/>
      <c r="VXO158" s="204"/>
      <c r="VXP158" s="204"/>
      <c r="VXQ158" s="205"/>
      <c r="VXR158" s="206"/>
      <c r="VXS158" s="207"/>
      <c r="VXT158" s="207"/>
      <c r="VXU158" s="208"/>
      <c r="VXV158" s="209"/>
      <c r="VXW158" s="207"/>
      <c r="VXX158" s="210"/>
      <c r="VXY158" s="209"/>
      <c r="VXZ158" s="204"/>
      <c r="VYA158" s="204"/>
      <c r="VYB158" s="204"/>
      <c r="VYC158" s="199"/>
      <c r="VYD158" s="167"/>
      <c r="VYE158" s="199"/>
      <c r="VYF158" s="200"/>
      <c r="VYG158" s="201"/>
      <c r="VYH158" s="202"/>
      <c r="VYI158" s="202"/>
      <c r="VYJ158" s="202"/>
      <c r="VYK158" s="202"/>
      <c r="VYL158" s="203"/>
      <c r="VYM158" s="204"/>
      <c r="VYN158" s="204"/>
      <c r="VYO158" s="204"/>
      <c r="VYP158" s="205"/>
      <c r="VYQ158" s="206"/>
      <c r="VYR158" s="207"/>
      <c r="VYS158" s="207"/>
      <c r="VYT158" s="208"/>
      <c r="VYU158" s="209"/>
      <c r="VYV158" s="207"/>
      <c r="VYW158" s="210"/>
      <c r="VYX158" s="209"/>
      <c r="VYY158" s="204"/>
      <c r="VYZ158" s="204"/>
      <c r="VZA158" s="204"/>
      <c r="VZB158" s="199"/>
      <c r="VZC158" s="167"/>
      <c r="VZD158" s="199"/>
      <c r="VZE158" s="200"/>
      <c r="VZF158" s="201"/>
      <c r="VZG158" s="202"/>
      <c r="VZH158" s="202"/>
      <c r="VZI158" s="202"/>
      <c r="VZJ158" s="202"/>
      <c r="VZK158" s="203"/>
      <c r="VZL158" s="204"/>
      <c r="VZM158" s="204"/>
      <c r="VZN158" s="204"/>
      <c r="VZO158" s="205"/>
      <c r="VZP158" s="206"/>
      <c r="VZQ158" s="207"/>
      <c r="VZR158" s="207"/>
      <c r="VZS158" s="208"/>
      <c r="VZT158" s="209"/>
      <c r="VZU158" s="207"/>
      <c r="VZV158" s="210"/>
      <c r="VZW158" s="209"/>
      <c r="VZX158" s="204"/>
      <c r="VZY158" s="204"/>
      <c r="VZZ158" s="204"/>
      <c r="WAA158" s="199"/>
      <c r="WAB158" s="167"/>
      <c r="WAC158" s="199"/>
      <c r="WAD158" s="200"/>
      <c r="WAE158" s="201"/>
      <c r="WAF158" s="202"/>
      <c r="WAG158" s="202"/>
      <c r="WAH158" s="202"/>
      <c r="WAI158" s="202"/>
      <c r="WAJ158" s="203"/>
      <c r="WAK158" s="204"/>
      <c r="WAL158" s="204"/>
      <c r="WAM158" s="204"/>
      <c r="WAN158" s="205"/>
      <c r="WAO158" s="206"/>
      <c r="WAP158" s="207"/>
      <c r="WAQ158" s="207"/>
      <c r="WAR158" s="208"/>
      <c r="WAS158" s="209"/>
      <c r="WAT158" s="207"/>
      <c r="WAU158" s="210"/>
      <c r="WAV158" s="209"/>
      <c r="WAW158" s="204"/>
      <c r="WAX158" s="204"/>
      <c r="WAY158" s="204"/>
      <c r="WAZ158" s="199"/>
      <c r="WBA158" s="167"/>
      <c r="WBB158" s="199"/>
      <c r="WBC158" s="200"/>
      <c r="WBD158" s="201"/>
      <c r="WBE158" s="202"/>
      <c r="WBF158" s="202"/>
      <c r="WBG158" s="202"/>
      <c r="WBH158" s="202"/>
      <c r="WBI158" s="203"/>
      <c r="WBJ158" s="204"/>
      <c r="WBK158" s="204"/>
      <c r="WBL158" s="204"/>
      <c r="WBM158" s="205"/>
      <c r="WBN158" s="206"/>
      <c r="WBO158" s="207"/>
      <c r="WBP158" s="207"/>
      <c r="WBQ158" s="208"/>
      <c r="WBR158" s="209"/>
      <c r="WBS158" s="207"/>
      <c r="WBT158" s="210"/>
      <c r="WBU158" s="209"/>
      <c r="WBV158" s="204"/>
      <c r="WBW158" s="204"/>
      <c r="WBX158" s="204"/>
      <c r="WBY158" s="199"/>
      <c r="WBZ158" s="167"/>
      <c r="WCA158" s="199"/>
      <c r="WCB158" s="200"/>
      <c r="WCC158" s="201"/>
      <c r="WCD158" s="202"/>
      <c r="WCE158" s="202"/>
      <c r="WCF158" s="202"/>
      <c r="WCG158" s="202"/>
      <c r="WCH158" s="203"/>
      <c r="WCI158" s="204"/>
      <c r="WCJ158" s="204"/>
      <c r="WCK158" s="204"/>
      <c r="WCL158" s="205"/>
      <c r="WCM158" s="206"/>
      <c r="WCN158" s="207"/>
      <c r="WCO158" s="207"/>
      <c r="WCP158" s="208"/>
      <c r="WCQ158" s="209"/>
      <c r="WCR158" s="207"/>
      <c r="WCS158" s="210"/>
      <c r="WCT158" s="209"/>
      <c r="WCU158" s="204"/>
      <c r="WCV158" s="204"/>
      <c r="WCW158" s="204"/>
      <c r="WCX158" s="199"/>
      <c r="WCY158" s="167"/>
      <c r="WCZ158" s="199"/>
      <c r="WDA158" s="200"/>
      <c r="WDB158" s="201"/>
      <c r="WDC158" s="202"/>
      <c r="WDD158" s="202"/>
      <c r="WDE158" s="202"/>
      <c r="WDF158" s="202"/>
      <c r="WDG158" s="203"/>
      <c r="WDH158" s="204"/>
      <c r="WDI158" s="204"/>
      <c r="WDJ158" s="204"/>
      <c r="WDK158" s="205"/>
      <c r="WDL158" s="206"/>
      <c r="WDM158" s="207"/>
      <c r="WDN158" s="207"/>
      <c r="WDO158" s="208"/>
      <c r="WDP158" s="209"/>
      <c r="WDQ158" s="207"/>
      <c r="WDR158" s="210"/>
      <c r="WDS158" s="209"/>
      <c r="WDT158" s="204"/>
      <c r="WDU158" s="204"/>
      <c r="WDV158" s="204"/>
      <c r="WDW158" s="199"/>
      <c r="WDX158" s="167"/>
      <c r="WDY158" s="199"/>
      <c r="WDZ158" s="200"/>
      <c r="WEA158" s="201"/>
      <c r="WEB158" s="202"/>
      <c r="WEC158" s="202"/>
      <c r="WED158" s="202"/>
      <c r="WEE158" s="202"/>
      <c r="WEF158" s="203"/>
      <c r="WEG158" s="204"/>
      <c r="WEH158" s="204"/>
      <c r="WEI158" s="204"/>
      <c r="WEJ158" s="205"/>
      <c r="WEK158" s="206"/>
      <c r="WEL158" s="207"/>
      <c r="WEM158" s="207"/>
      <c r="WEN158" s="208"/>
      <c r="WEO158" s="209"/>
      <c r="WEP158" s="207"/>
      <c r="WEQ158" s="210"/>
      <c r="WER158" s="209"/>
      <c r="WES158" s="204"/>
      <c r="WET158" s="204"/>
      <c r="WEU158" s="204"/>
      <c r="WEV158" s="199"/>
      <c r="WEW158" s="167"/>
      <c r="WEX158" s="199"/>
      <c r="WEY158" s="200"/>
      <c r="WEZ158" s="201"/>
      <c r="WFA158" s="202"/>
      <c r="WFB158" s="202"/>
      <c r="WFC158" s="202"/>
      <c r="WFD158" s="202"/>
      <c r="WFE158" s="203"/>
      <c r="WFF158" s="204"/>
      <c r="WFG158" s="204"/>
      <c r="WFH158" s="204"/>
      <c r="WFI158" s="205"/>
      <c r="WFJ158" s="206"/>
      <c r="WFK158" s="207"/>
      <c r="WFL158" s="207"/>
      <c r="WFM158" s="208"/>
      <c r="WFN158" s="209"/>
      <c r="WFO158" s="207"/>
      <c r="WFP158" s="210"/>
      <c r="WFQ158" s="209"/>
      <c r="WFR158" s="204"/>
      <c r="WFS158" s="204"/>
      <c r="WFT158" s="204"/>
      <c r="WFU158" s="199"/>
      <c r="WFV158" s="167"/>
      <c r="WFW158" s="199"/>
      <c r="WFX158" s="200"/>
      <c r="WFY158" s="201"/>
      <c r="WFZ158" s="202"/>
      <c r="WGA158" s="202"/>
      <c r="WGB158" s="202"/>
      <c r="WGC158" s="202"/>
      <c r="WGD158" s="203"/>
      <c r="WGE158" s="204"/>
      <c r="WGF158" s="204"/>
      <c r="WGG158" s="204"/>
      <c r="WGH158" s="205"/>
      <c r="WGI158" s="206"/>
      <c r="WGJ158" s="207"/>
      <c r="WGK158" s="207"/>
      <c r="WGL158" s="208"/>
      <c r="WGM158" s="209"/>
      <c r="WGN158" s="207"/>
      <c r="WGO158" s="210"/>
      <c r="WGP158" s="209"/>
      <c r="WGQ158" s="204"/>
      <c r="WGR158" s="204"/>
      <c r="WGS158" s="204"/>
      <c r="WGT158" s="199"/>
      <c r="WGU158" s="167"/>
      <c r="WGV158" s="199"/>
      <c r="WGW158" s="200"/>
      <c r="WGX158" s="201"/>
      <c r="WGY158" s="202"/>
      <c r="WGZ158" s="202"/>
      <c r="WHA158" s="202"/>
      <c r="WHB158" s="202"/>
      <c r="WHC158" s="203"/>
      <c r="WHD158" s="204"/>
      <c r="WHE158" s="204"/>
      <c r="WHF158" s="204"/>
      <c r="WHG158" s="205"/>
      <c r="WHH158" s="206"/>
      <c r="WHI158" s="207"/>
      <c r="WHJ158" s="207"/>
      <c r="WHK158" s="208"/>
      <c r="WHL158" s="209"/>
      <c r="WHM158" s="207"/>
      <c r="WHN158" s="210"/>
      <c r="WHO158" s="209"/>
      <c r="WHP158" s="204"/>
      <c r="WHQ158" s="204"/>
      <c r="WHR158" s="204"/>
      <c r="WHS158" s="199"/>
      <c r="WHT158" s="167"/>
      <c r="WHU158" s="199"/>
      <c r="WHV158" s="200"/>
      <c r="WHW158" s="201"/>
      <c r="WHX158" s="202"/>
      <c r="WHY158" s="202"/>
      <c r="WHZ158" s="202"/>
      <c r="WIA158" s="202"/>
      <c r="WIB158" s="203"/>
      <c r="WIC158" s="204"/>
      <c r="WID158" s="204"/>
      <c r="WIE158" s="204"/>
      <c r="WIF158" s="205"/>
      <c r="WIG158" s="206"/>
      <c r="WIH158" s="207"/>
      <c r="WII158" s="207"/>
      <c r="WIJ158" s="208"/>
      <c r="WIK158" s="209"/>
      <c r="WIL158" s="207"/>
      <c r="WIM158" s="210"/>
      <c r="WIN158" s="209"/>
      <c r="WIO158" s="204"/>
      <c r="WIP158" s="204"/>
      <c r="WIQ158" s="204"/>
      <c r="WIR158" s="199"/>
      <c r="WIS158" s="167"/>
      <c r="WIT158" s="199"/>
      <c r="WIU158" s="200"/>
      <c r="WIV158" s="201"/>
      <c r="WIW158" s="202"/>
      <c r="WIX158" s="202"/>
      <c r="WIY158" s="202"/>
      <c r="WIZ158" s="202"/>
      <c r="WJA158" s="203"/>
      <c r="WJB158" s="204"/>
      <c r="WJC158" s="204"/>
      <c r="WJD158" s="204"/>
      <c r="WJE158" s="205"/>
      <c r="WJF158" s="206"/>
      <c r="WJG158" s="207"/>
      <c r="WJH158" s="207"/>
      <c r="WJI158" s="208"/>
      <c r="WJJ158" s="209"/>
      <c r="WJK158" s="207"/>
      <c r="WJL158" s="210"/>
      <c r="WJM158" s="209"/>
      <c r="WJN158" s="204"/>
      <c r="WJO158" s="204"/>
      <c r="WJP158" s="204"/>
      <c r="WJQ158" s="199"/>
      <c r="WJR158" s="167"/>
      <c r="WJS158" s="199"/>
      <c r="WJT158" s="200"/>
      <c r="WJU158" s="201"/>
      <c r="WJV158" s="202"/>
      <c r="WJW158" s="202"/>
      <c r="WJX158" s="202"/>
      <c r="WJY158" s="202"/>
      <c r="WJZ158" s="203"/>
      <c r="WKA158" s="204"/>
      <c r="WKB158" s="204"/>
      <c r="WKC158" s="204"/>
      <c r="WKD158" s="205"/>
      <c r="WKE158" s="206"/>
      <c r="WKF158" s="207"/>
      <c r="WKG158" s="207"/>
      <c r="WKH158" s="208"/>
      <c r="WKI158" s="209"/>
      <c r="WKJ158" s="207"/>
      <c r="WKK158" s="210"/>
      <c r="WKL158" s="209"/>
      <c r="WKM158" s="204"/>
      <c r="WKN158" s="204"/>
      <c r="WKO158" s="204"/>
      <c r="WKP158" s="199"/>
      <c r="WKQ158" s="167"/>
      <c r="WKR158" s="199"/>
      <c r="WKS158" s="200"/>
      <c r="WKT158" s="201"/>
      <c r="WKU158" s="202"/>
      <c r="WKV158" s="202"/>
      <c r="WKW158" s="202"/>
      <c r="WKX158" s="202"/>
      <c r="WKY158" s="203"/>
      <c r="WKZ158" s="204"/>
      <c r="WLA158" s="204"/>
      <c r="WLB158" s="204"/>
      <c r="WLC158" s="205"/>
      <c r="WLD158" s="206"/>
      <c r="WLE158" s="207"/>
      <c r="WLF158" s="207"/>
      <c r="WLG158" s="208"/>
      <c r="WLH158" s="209"/>
      <c r="WLI158" s="207"/>
      <c r="WLJ158" s="210"/>
      <c r="WLK158" s="209"/>
      <c r="WLL158" s="204"/>
      <c r="WLM158" s="204"/>
      <c r="WLN158" s="204"/>
      <c r="WLO158" s="199"/>
      <c r="WLP158" s="167"/>
      <c r="WLQ158" s="199"/>
      <c r="WLR158" s="200"/>
      <c r="WLS158" s="201"/>
      <c r="WLT158" s="202"/>
      <c r="WLU158" s="202"/>
      <c r="WLV158" s="202"/>
      <c r="WLW158" s="202"/>
      <c r="WLX158" s="203"/>
      <c r="WLY158" s="204"/>
      <c r="WLZ158" s="204"/>
      <c r="WMA158" s="204"/>
      <c r="WMB158" s="205"/>
      <c r="WMC158" s="206"/>
      <c r="WMD158" s="207"/>
      <c r="WME158" s="207"/>
      <c r="WMF158" s="208"/>
      <c r="WMG158" s="209"/>
      <c r="WMH158" s="207"/>
      <c r="WMI158" s="210"/>
      <c r="WMJ158" s="209"/>
      <c r="WMK158" s="204"/>
      <c r="WML158" s="204"/>
      <c r="WMM158" s="204"/>
      <c r="WMN158" s="199"/>
      <c r="WMO158" s="167"/>
      <c r="WMP158" s="199"/>
      <c r="WMQ158" s="200"/>
      <c r="WMR158" s="201"/>
      <c r="WMS158" s="202"/>
      <c r="WMT158" s="202"/>
      <c r="WMU158" s="202"/>
      <c r="WMV158" s="202"/>
      <c r="WMW158" s="203"/>
      <c r="WMX158" s="204"/>
      <c r="WMY158" s="204"/>
      <c r="WMZ158" s="204"/>
      <c r="WNA158" s="205"/>
      <c r="WNB158" s="206"/>
      <c r="WNC158" s="207"/>
      <c r="WND158" s="207"/>
      <c r="WNE158" s="208"/>
      <c r="WNF158" s="209"/>
      <c r="WNG158" s="207"/>
      <c r="WNH158" s="210"/>
      <c r="WNI158" s="209"/>
      <c r="WNJ158" s="204"/>
      <c r="WNK158" s="204"/>
      <c r="WNL158" s="204"/>
      <c r="WNM158" s="199"/>
      <c r="WNN158" s="167"/>
      <c r="WNO158" s="199"/>
      <c r="WNP158" s="200"/>
      <c r="WNQ158" s="201"/>
      <c r="WNR158" s="202"/>
      <c r="WNS158" s="202"/>
      <c r="WNT158" s="202"/>
      <c r="WNU158" s="202"/>
      <c r="WNV158" s="203"/>
      <c r="WNW158" s="204"/>
      <c r="WNX158" s="204"/>
      <c r="WNY158" s="204"/>
      <c r="WNZ158" s="205"/>
      <c r="WOA158" s="206"/>
      <c r="WOB158" s="207"/>
      <c r="WOC158" s="207"/>
      <c r="WOD158" s="208"/>
      <c r="WOE158" s="209"/>
      <c r="WOF158" s="207"/>
      <c r="WOG158" s="210"/>
      <c r="WOH158" s="209"/>
      <c r="WOI158" s="204"/>
      <c r="WOJ158" s="204"/>
      <c r="WOK158" s="204"/>
      <c r="WOL158" s="199"/>
      <c r="WOM158" s="167"/>
      <c r="WON158" s="199"/>
      <c r="WOO158" s="200"/>
      <c r="WOP158" s="201"/>
      <c r="WOQ158" s="202"/>
      <c r="WOR158" s="202"/>
      <c r="WOS158" s="202"/>
      <c r="WOT158" s="202"/>
      <c r="WOU158" s="203"/>
      <c r="WOV158" s="204"/>
      <c r="WOW158" s="204"/>
      <c r="WOX158" s="204"/>
      <c r="WOY158" s="205"/>
      <c r="WOZ158" s="206"/>
      <c r="WPA158" s="207"/>
      <c r="WPB158" s="207"/>
      <c r="WPC158" s="208"/>
      <c r="WPD158" s="209"/>
      <c r="WPE158" s="207"/>
      <c r="WPF158" s="210"/>
      <c r="WPG158" s="209"/>
      <c r="WPH158" s="204"/>
      <c r="WPI158" s="204"/>
      <c r="WPJ158" s="204"/>
      <c r="WPK158" s="199"/>
      <c r="WPL158" s="167"/>
      <c r="WPM158" s="199"/>
      <c r="WPN158" s="200"/>
      <c r="WPO158" s="201"/>
      <c r="WPP158" s="202"/>
      <c r="WPQ158" s="202"/>
      <c r="WPR158" s="202"/>
      <c r="WPS158" s="202"/>
      <c r="WPT158" s="203"/>
      <c r="WPU158" s="204"/>
      <c r="WPV158" s="204"/>
      <c r="WPW158" s="204"/>
      <c r="WPX158" s="205"/>
      <c r="WPY158" s="206"/>
      <c r="WPZ158" s="207"/>
      <c r="WQA158" s="207"/>
      <c r="WQB158" s="208"/>
      <c r="WQC158" s="209"/>
      <c r="WQD158" s="207"/>
      <c r="WQE158" s="210"/>
      <c r="WQF158" s="209"/>
      <c r="WQG158" s="204"/>
      <c r="WQH158" s="204"/>
      <c r="WQI158" s="204"/>
      <c r="WQJ158" s="199"/>
      <c r="WQK158" s="167"/>
      <c r="WQL158" s="199"/>
      <c r="WQM158" s="200"/>
      <c r="WQN158" s="201"/>
      <c r="WQO158" s="202"/>
      <c r="WQP158" s="202"/>
      <c r="WQQ158" s="202"/>
      <c r="WQR158" s="202"/>
      <c r="WQS158" s="203"/>
      <c r="WQT158" s="204"/>
      <c r="WQU158" s="204"/>
      <c r="WQV158" s="204"/>
      <c r="WQW158" s="205"/>
      <c r="WQX158" s="206"/>
      <c r="WQY158" s="207"/>
      <c r="WQZ158" s="207"/>
      <c r="WRA158" s="208"/>
      <c r="WRB158" s="209"/>
      <c r="WRC158" s="207"/>
      <c r="WRD158" s="210"/>
      <c r="WRE158" s="209"/>
      <c r="WRF158" s="204"/>
      <c r="WRG158" s="204"/>
      <c r="WRH158" s="204"/>
      <c r="WRI158" s="199"/>
      <c r="WRJ158" s="167"/>
      <c r="WRK158" s="199"/>
      <c r="WRL158" s="200"/>
      <c r="WRM158" s="201"/>
      <c r="WRN158" s="202"/>
      <c r="WRO158" s="202"/>
      <c r="WRP158" s="202"/>
      <c r="WRQ158" s="202"/>
      <c r="WRR158" s="203"/>
      <c r="WRS158" s="204"/>
      <c r="WRT158" s="204"/>
      <c r="WRU158" s="204"/>
      <c r="WRV158" s="205"/>
      <c r="WRW158" s="206"/>
      <c r="WRX158" s="207"/>
      <c r="WRY158" s="207"/>
      <c r="WRZ158" s="208"/>
      <c r="WSA158" s="209"/>
      <c r="WSB158" s="207"/>
      <c r="WSC158" s="210"/>
      <c r="WSD158" s="209"/>
      <c r="WSE158" s="204"/>
      <c r="WSF158" s="204"/>
      <c r="WSG158" s="204"/>
      <c r="WSH158" s="199"/>
      <c r="WSI158" s="167"/>
      <c r="WSJ158" s="199"/>
      <c r="WSK158" s="200"/>
      <c r="WSL158" s="201"/>
      <c r="WSM158" s="202"/>
      <c r="WSN158" s="202"/>
      <c r="WSO158" s="202"/>
      <c r="WSP158" s="202"/>
      <c r="WSQ158" s="203"/>
      <c r="WSR158" s="204"/>
      <c r="WSS158" s="204"/>
      <c r="WST158" s="204"/>
      <c r="WSU158" s="205"/>
      <c r="WSV158" s="206"/>
      <c r="WSW158" s="207"/>
      <c r="WSX158" s="207"/>
      <c r="WSY158" s="208"/>
      <c r="WSZ158" s="209"/>
      <c r="WTA158" s="207"/>
      <c r="WTB158" s="210"/>
      <c r="WTC158" s="209"/>
      <c r="WTD158" s="204"/>
      <c r="WTE158" s="204"/>
      <c r="WTF158" s="204"/>
      <c r="WTG158" s="199"/>
      <c r="WTH158" s="167"/>
      <c r="WTI158" s="199"/>
      <c r="WTJ158" s="200"/>
      <c r="WTK158" s="201"/>
      <c r="WTL158" s="202"/>
      <c r="WTM158" s="202"/>
      <c r="WTN158" s="202"/>
      <c r="WTO158" s="202"/>
      <c r="WTP158" s="203"/>
      <c r="WTQ158" s="204"/>
      <c r="WTR158" s="204"/>
      <c r="WTS158" s="204"/>
      <c r="WTT158" s="205"/>
      <c r="WTU158" s="206"/>
      <c r="WTV158" s="207"/>
      <c r="WTW158" s="207"/>
      <c r="WTX158" s="208"/>
      <c r="WTY158" s="209"/>
      <c r="WTZ158" s="207"/>
      <c r="WUA158" s="210"/>
      <c r="WUB158" s="209"/>
      <c r="WUC158" s="204"/>
      <c r="WUD158" s="204"/>
      <c r="WUE158" s="204"/>
      <c r="WUF158" s="199"/>
      <c r="WUG158" s="167"/>
      <c r="WUH158" s="199"/>
      <c r="WUI158" s="200"/>
      <c r="WUJ158" s="201"/>
      <c r="WUK158" s="202"/>
      <c r="WUL158" s="202"/>
      <c r="WUM158" s="202"/>
      <c r="WUN158" s="202"/>
      <c r="WUO158" s="203"/>
      <c r="WUP158" s="204"/>
      <c r="WUQ158" s="204"/>
      <c r="WUR158" s="204"/>
      <c r="WUS158" s="205"/>
      <c r="WUT158" s="206"/>
      <c r="WUU158" s="207"/>
      <c r="WUV158" s="207"/>
      <c r="WUW158" s="208"/>
      <c r="WUX158" s="209"/>
      <c r="WUY158" s="207"/>
      <c r="WUZ158" s="210"/>
      <c r="WVA158" s="209"/>
      <c r="WVB158" s="204"/>
      <c r="WVC158" s="204"/>
      <c r="WVD158" s="204"/>
      <c r="WVE158" s="199"/>
      <c r="WVF158" s="167"/>
      <c r="WVG158" s="199"/>
      <c r="WVH158" s="200"/>
      <c r="WVI158" s="201"/>
      <c r="WVJ158" s="202"/>
      <c r="WVK158" s="202"/>
      <c r="WVL158" s="202"/>
      <c r="WVM158" s="202"/>
      <c r="WVN158" s="203"/>
      <c r="WVO158" s="204"/>
      <c r="WVP158" s="204"/>
      <c r="WVQ158" s="204"/>
      <c r="WVR158" s="205"/>
      <c r="WVS158" s="206"/>
      <c r="WVT158" s="207"/>
      <c r="WVU158" s="207"/>
      <c r="WVV158" s="208"/>
      <c r="WVW158" s="209"/>
      <c r="WVX158" s="207"/>
      <c r="WVY158" s="210"/>
      <c r="WVZ158" s="209"/>
      <c r="WWA158" s="204"/>
      <c r="WWB158" s="204"/>
      <c r="WWC158" s="204"/>
      <c r="WWD158" s="199"/>
      <c r="WWE158" s="167"/>
      <c r="WWF158" s="199"/>
      <c r="WWG158" s="200"/>
      <c r="WWH158" s="201"/>
      <c r="WWI158" s="202"/>
      <c r="WWJ158" s="202"/>
      <c r="WWK158" s="202"/>
      <c r="WWL158" s="202"/>
      <c r="WWM158" s="203"/>
      <c r="WWN158" s="204"/>
      <c r="WWO158" s="204"/>
      <c r="WWP158" s="204"/>
      <c r="WWQ158" s="205"/>
      <c r="WWR158" s="206"/>
      <c r="WWS158" s="207"/>
      <c r="WWT158" s="207"/>
      <c r="WWU158" s="208"/>
      <c r="WWV158" s="209"/>
      <c r="WWW158" s="207"/>
      <c r="WWX158" s="210"/>
      <c r="WWY158" s="209"/>
      <c r="WWZ158" s="204"/>
      <c r="WXA158" s="204"/>
      <c r="WXB158" s="204"/>
      <c r="WXC158" s="199"/>
      <c r="WXD158" s="167"/>
      <c r="WXE158" s="199"/>
      <c r="WXF158" s="200"/>
      <c r="WXG158" s="201"/>
      <c r="WXH158" s="202"/>
      <c r="WXI158" s="202"/>
      <c r="WXJ158" s="202"/>
      <c r="WXK158" s="202"/>
      <c r="WXL158" s="203"/>
      <c r="WXM158" s="204"/>
      <c r="WXN158" s="204"/>
      <c r="WXO158" s="204"/>
      <c r="WXP158" s="205"/>
      <c r="WXQ158" s="206"/>
      <c r="WXR158" s="207"/>
      <c r="WXS158" s="207"/>
      <c r="WXT158" s="208"/>
      <c r="WXU158" s="209"/>
      <c r="WXV158" s="207"/>
      <c r="WXW158" s="210"/>
      <c r="WXX158" s="209"/>
      <c r="WXY158" s="204"/>
      <c r="WXZ158" s="204"/>
      <c r="WYA158" s="204"/>
      <c r="WYB158" s="199"/>
      <c r="WYC158" s="167"/>
      <c r="WYD158" s="199"/>
      <c r="WYE158" s="200"/>
      <c r="WYF158" s="201"/>
      <c r="WYG158" s="202"/>
      <c r="WYH158" s="202"/>
      <c r="WYI158" s="202"/>
      <c r="WYJ158" s="202"/>
      <c r="WYK158" s="203"/>
      <c r="WYL158" s="204"/>
      <c r="WYM158" s="204"/>
      <c r="WYN158" s="204"/>
      <c r="WYO158" s="205"/>
      <c r="WYP158" s="206"/>
      <c r="WYQ158" s="207"/>
      <c r="WYR158" s="207"/>
      <c r="WYS158" s="208"/>
      <c r="WYT158" s="209"/>
      <c r="WYU158" s="207"/>
      <c r="WYV158" s="210"/>
      <c r="WYW158" s="209"/>
      <c r="WYX158" s="204"/>
      <c r="WYY158" s="204"/>
      <c r="WYZ158" s="204"/>
      <c r="WZA158" s="199"/>
      <c r="WZB158" s="167"/>
      <c r="WZC158" s="199"/>
      <c r="WZD158" s="200"/>
      <c r="WZE158" s="201"/>
      <c r="WZF158" s="202"/>
      <c r="WZG158" s="202"/>
      <c r="WZH158" s="202"/>
      <c r="WZI158" s="202"/>
      <c r="WZJ158" s="203"/>
      <c r="WZK158" s="204"/>
      <c r="WZL158" s="204"/>
      <c r="WZM158" s="204"/>
      <c r="WZN158" s="205"/>
      <c r="WZO158" s="206"/>
      <c r="WZP158" s="207"/>
      <c r="WZQ158" s="207"/>
      <c r="WZR158" s="208"/>
      <c r="WZS158" s="209"/>
      <c r="WZT158" s="207"/>
      <c r="WZU158" s="210"/>
      <c r="WZV158" s="209"/>
      <c r="WZW158" s="204"/>
      <c r="WZX158" s="204"/>
      <c r="WZY158" s="204"/>
      <c r="WZZ158" s="199"/>
      <c r="XAA158" s="167"/>
      <c r="XAB158" s="199"/>
      <c r="XAC158" s="200"/>
      <c r="XAD158" s="201"/>
      <c r="XAE158" s="202"/>
      <c r="XAF158" s="202"/>
      <c r="XAG158" s="202"/>
      <c r="XAH158" s="202"/>
      <c r="XAI158" s="203"/>
      <c r="XAJ158" s="204"/>
      <c r="XAK158" s="204"/>
      <c r="XAL158" s="204"/>
      <c r="XAM158" s="205"/>
      <c r="XAN158" s="206"/>
      <c r="XAO158" s="207"/>
      <c r="XAP158" s="207"/>
      <c r="XAQ158" s="208"/>
      <c r="XAR158" s="209"/>
      <c r="XAS158" s="207"/>
      <c r="XAT158" s="210"/>
      <c r="XAU158" s="209"/>
      <c r="XAV158" s="204"/>
      <c r="XAW158" s="204"/>
      <c r="XAX158" s="204"/>
      <c r="XAY158" s="199"/>
      <c r="XAZ158" s="167"/>
      <c r="XBA158" s="199"/>
      <c r="XBB158" s="200"/>
      <c r="XBC158" s="201"/>
      <c r="XBD158" s="202"/>
      <c r="XBE158" s="202"/>
      <c r="XBF158" s="202"/>
      <c r="XBG158" s="202"/>
      <c r="XBH158" s="203"/>
      <c r="XBI158" s="204"/>
      <c r="XBJ158" s="204"/>
      <c r="XBK158" s="204"/>
      <c r="XBL158" s="205"/>
      <c r="XBM158" s="206"/>
      <c r="XBN158" s="207"/>
      <c r="XBO158" s="207"/>
      <c r="XBP158" s="208"/>
      <c r="XBQ158" s="209"/>
      <c r="XBR158" s="207"/>
      <c r="XBS158" s="210"/>
      <c r="XBT158" s="209"/>
      <c r="XBU158" s="204"/>
      <c r="XBV158" s="204"/>
      <c r="XBW158" s="204"/>
      <c r="XBX158" s="199"/>
      <c r="XBY158" s="167"/>
      <c r="XBZ158" s="199"/>
      <c r="XCA158" s="200"/>
      <c r="XCB158" s="201"/>
      <c r="XCC158" s="202"/>
      <c r="XCD158" s="202"/>
      <c r="XCE158" s="202"/>
      <c r="XCF158" s="202"/>
      <c r="XCG158" s="203"/>
      <c r="XCH158" s="204"/>
      <c r="XCI158" s="204"/>
      <c r="XCJ158" s="204"/>
      <c r="XCK158" s="205"/>
      <c r="XCL158" s="206"/>
      <c r="XCM158" s="207"/>
      <c r="XCN158" s="207"/>
      <c r="XCO158" s="208"/>
      <c r="XCP158" s="209"/>
      <c r="XCQ158" s="207"/>
      <c r="XCR158" s="210"/>
      <c r="XCS158" s="209"/>
      <c r="XCT158" s="204"/>
      <c r="XCU158" s="204"/>
      <c r="XCV158" s="204"/>
      <c r="XCW158" s="199"/>
      <c r="XCX158" s="167"/>
      <c r="XCY158" s="199"/>
      <c r="XCZ158" s="200"/>
      <c r="XDA158" s="201"/>
      <c r="XDB158" s="202"/>
      <c r="XDC158" s="202"/>
      <c r="XDD158" s="202"/>
      <c r="XDE158" s="202"/>
      <c r="XDF158" s="203"/>
      <c r="XDG158" s="204"/>
      <c r="XDH158" s="204"/>
      <c r="XDI158" s="204"/>
      <c r="XDJ158" s="205"/>
      <c r="XDK158" s="206"/>
      <c r="XDL158" s="207"/>
      <c r="XDM158" s="207"/>
      <c r="XDN158" s="208"/>
      <c r="XDO158" s="209"/>
      <c r="XDP158" s="207"/>
      <c r="XDQ158" s="210"/>
      <c r="XDR158" s="209"/>
      <c r="XDS158" s="204"/>
      <c r="XDT158" s="204"/>
      <c r="XDU158" s="204"/>
      <c r="XDV158" s="199"/>
      <c r="XDW158" s="167"/>
      <c r="XDX158" s="199"/>
      <c r="XDY158" s="200"/>
      <c r="XDZ158" s="201"/>
      <c r="XEA158" s="202"/>
      <c r="XEB158" s="202"/>
      <c r="XEC158" s="202"/>
      <c r="XED158" s="202"/>
      <c r="XEE158" s="203"/>
      <c r="XEF158" s="204"/>
      <c r="XEG158" s="204"/>
      <c r="XEH158" s="204"/>
      <c r="XEI158" s="205"/>
      <c r="XEJ158" s="206"/>
      <c r="XEK158" s="207"/>
      <c r="XEL158" s="207"/>
      <c r="XEM158" s="208"/>
      <c r="XEN158" s="209"/>
      <c r="XEO158" s="207"/>
      <c r="XEP158" s="210"/>
      <c r="XEQ158" s="209"/>
      <c r="XER158" s="204"/>
      <c r="XES158" s="204"/>
      <c r="XET158" s="204"/>
      <c r="XEU158" s="199"/>
      <c r="XEV158" s="167"/>
      <c r="XEW158" s="199"/>
      <c r="XEX158" s="200"/>
      <c r="XEY158" s="201"/>
      <c r="XEZ158" s="202"/>
      <c r="XFA158" s="202"/>
      <c r="XFB158" s="202"/>
      <c r="XFC158" s="202"/>
    </row>
    <row r="159" spans="1:16383" ht="150" x14ac:dyDescent="0.2">
      <c r="A159" s="38" t="s">
        <v>20</v>
      </c>
      <c r="B159" s="66">
        <f t="shared" si="137"/>
        <v>1</v>
      </c>
      <c r="C159" s="66">
        <v>138</v>
      </c>
      <c r="D159" s="70">
        <v>143</v>
      </c>
      <c r="E159" s="51" t="s">
        <v>359</v>
      </c>
      <c r="F159" s="7" t="s">
        <v>360</v>
      </c>
      <c r="G159" s="15">
        <v>3</v>
      </c>
      <c r="H159" s="12" t="s">
        <v>23</v>
      </c>
      <c r="I159" s="10">
        <v>1</v>
      </c>
      <c r="J159" s="11" t="s">
        <v>24</v>
      </c>
      <c r="K159" s="105">
        <v>5860001</v>
      </c>
      <c r="L159" s="106">
        <f>+K159*G159*I159</f>
        <v>17580003</v>
      </c>
      <c r="M159" s="122"/>
      <c r="N159" s="123"/>
      <c r="O159" s="122"/>
      <c r="P159" s="123"/>
      <c r="Q159" s="165">
        <f>+AVERAGE(K159,M159,O159)</f>
        <v>5860001</v>
      </c>
      <c r="R159" s="166">
        <f>+Q159*G159*I159</f>
        <v>17580003</v>
      </c>
      <c r="S159" s="222">
        <f>_xlfn.STDEV.P(K159,M159,O159)</f>
        <v>0</v>
      </c>
      <c r="T159" s="223">
        <f t="shared" ref="T159:T168" si="165">+S159/Q159</f>
        <v>0</v>
      </c>
      <c r="U159" s="224">
        <f>+MEDIAN(K159,M159,O159)</f>
        <v>5860001</v>
      </c>
      <c r="V159" s="225">
        <f>+U159*G159*I159</f>
        <v>17580003</v>
      </c>
      <c r="W159" s="149">
        <f t="shared" ref="W159:W168" si="166">+S159/U159</f>
        <v>0</v>
      </c>
      <c r="X159" s="316" t="s">
        <v>819</v>
      </c>
      <c r="Y159" s="137"/>
      <c r="Z159" s="138"/>
    </row>
    <row r="160" spans="1:16383" ht="150" x14ac:dyDescent="0.2">
      <c r="A160" s="38" t="s">
        <v>54</v>
      </c>
      <c r="B160" s="66">
        <f t="shared" si="137"/>
        <v>3</v>
      </c>
      <c r="C160" s="66">
        <v>139</v>
      </c>
      <c r="D160" s="70">
        <v>144</v>
      </c>
      <c r="E160" s="51" t="s">
        <v>361</v>
      </c>
      <c r="F160" s="7" t="s">
        <v>362</v>
      </c>
      <c r="G160" s="15">
        <v>3</v>
      </c>
      <c r="H160" s="14" t="s">
        <v>57</v>
      </c>
      <c r="I160" s="10"/>
      <c r="J160" s="11"/>
      <c r="K160" s="105">
        <f>+(1301024*100)/119</f>
        <v>1093297.4789915967</v>
      </c>
      <c r="L160" s="121">
        <f t="shared" ref="L160:L165" si="167">K160*G160</f>
        <v>3279892.4369747899</v>
      </c>
      <c r="M160" s="105">
        <f>+(1663441*100)/119</f>
        <v>1397849.5798319327</v>
      </c>
      <c r="N160" s="121">
        <f t="shared" ref="N160:N165" si="168">G160*M160</f>
        <v>4193548.739495798</v>
      </c>
      <c r="O160" s="105">
        <v>1000000</v>
      </c>
      <c r="P160" s="121">
        <f t="shared" ref="P160:P165" si="169">G160*O160</f>
        <v>3000000</v>
      </c>
      <c r="Q160" s="165">
        <f t="shared" ref="Q160:Q168" si="170">+AVERAGE(K160,M160,O160)</f>
        <v>1163715.6862745099</v>
      </c>
      <c r="R160" s="166">
        <f t="shared" ref="R160:R165" si="171">+Q160*G160</f>
        <v>3491147.0588235296</v>
      </c>
      <c r="S160" s="222">
        <f t="shared" ref="S160:S168" si="172">_xlfn.STDEV.P(K160,M160,O160)</f>
        <v>169882.53781326953</v>
      </c>
      <c r="T160" s="223">
        <f t="shared" si="165"/>
        <v>0.14598285458979007</v>
      </c>
      <c r="U160" s="224">
        <f t="shared" ref="U160:U168" si="173">+MEDIAN(K160,M160,O160)</f>
        <v>1093297.4789915967</v>
      </c>
      <c r="V160" s="225">
        <f t="shared" ref="V160:V165" si="174">+U160*G160</f>
        <v>3279892.4369747899</v>
      </c>
      <c r="W160" s="149">
        <f t="shared" si="166"/>
        <v>0.15538546560078118</v>
      </c>
      <c r="X160" s="139" t="s">
        <v>831</v>
      </c>
      <c r="Y160" s="137" t="s">
        <v>831</v>
      </c>
      <c r="Z160" s="138" t="s">
        <v>759</v>
      </c>
    </row>
    <row r="161" spans="1:16383" ht="30" x14ac:dyDescent="0.2">
      <c r="A161" s="38" t="s">
        <v>54</v>
      </c>
      <c r="B161" s="66">
        <f t="shared" si="137"/>
        <v>3</v>
      </c>
      <c r="C161" s="66">
        <v>140</v>
      </c>
      <c r="D161" s="70">
        <v>145</v>
      </c>
      <c r="E161" s="51" t="s">
        <v>363</v>
      </c>
      <c r="F161" s="399" t="s">
        <v>877</v>
      </c>
      <c r="G161" s="15">
        <v>3</v>
      </c>
      <c r="H161" s="14" t="s">
        <v>57</v>
      </c>
      <c r="I161" s="10"/>
      <c r="J161" s="11"/>
      <c r="K161" s="105">
        <f>+(2380000*100)/119</f>
        <v>2000000</v>
      </c>
      <c r="L161" s="121">
        <f>K161*G161</f>
        <v>6000000</v>
      </c>
      <c r="M161" s="105">
        <f>+(2380000*100)/119</f>
        <v>2000000</v>
      </c>
      <c r="N161" s="121">
        <f>M161*G161</f>
        <v>6000000</v>
      </c>
      <c r="O161" s="105">
        <f>+(2380000*100)/119</f>
        <v>2000000</v>
      </c>
      <c r="P161" s="121">
        <f>O161*G161</f>
        <v>6000000</v>
      </c>
      <c r="Q161" s="165">
        <f t="shared" si="170"/>
        <v>2000000</v>
      </c>
      <c r="R161" s="166">
        <f t="shared" si="171"/>
        <v>6000000</v>
      </c>
      <c r="S161" s="222">
        <f t="shared" si="172"/>
        <v>0</v>
      </c>
      <c r="T161" s="223">
        <v>0</v>
      </c>
      <c r="U161" s="224">
        <f t="shared" si="173"/>
        <v>2000000</v>
      </c>
      <c r="V161" s="225">
        <f t="shared" si="174"/>
        <v>6000000</v>
      </c>
      <c r="W161" s="149">
        <v>0</v>
      </c>
      <c r="X161" s="139" t="s">
        <v>397</v>
      </c>
      <c r="Y161" s="137"/>
      <c r="Z161" s="138"/>
    </row>
    <row r="162" spans="1:16383" ht="60" x14ac:dyDescent="0.2">
      <c r="A162" s="38" t="s">
        <v>54</v>
      </c>
      <c r="B162" s="66">
        <f t="shared" si="137"/>
        <v>3</v>
      </c>
      <c r="C162" s="66">
        <v>141</v>
      </c>
      <c r="D162" s="70">
        <v>146</v>
      </c>
      <c r="E162" s="51" t="s">
        <v>364</v>
      </c>
      <c r="F162" s="7" t="s">
        <v>811</v>
      </c>
      <c r="G162" s="15">
        <v>1</v>
      </c>
      <c r="H162" s="14" t="s">
        <v>810</v>
      </c>
      <c r="I162" s="10"/>
      <c r="J162" s="11"/>
      <c r="K162" s="105">
        <f>+(42269*100)/119</f>
        <v>35520.168067226892</v>
      </c>
      <c r="L162" s="121">
        <f t="shared" si="167"/>
        <v>35520.168067226892</v>
      </c>
      <c r="M162" s="105">
        <f>+(48300*100)/119</f>
        <v>40588.23529411765</v>
      </c>
      <c r="N162" s="121">
        <f t="shared" si="168"/>
        <v>40588.23529411765</v>
      </c>
      <c r="O162" s="105">
        <f>+(26250*100)/119</f>
        <v>22058.823529411766</v>
      </c>
      <c r="P162" s="121">
        <f t="shared" si="169"/>
        <v>22058.823529411766</v>
      </c>
      <c r="Q162" s="165">
        <f t="shared" si="170"/>
        <v>32722.408963585433</v>
      </c>
      <c r="R162" s="166">
        <f t="shared" si="171"/>
        <v>32722.408963585433</v>
      </c>
      <c r="S162" s="222">
        <f t="shared" si="172"/>
        <v>7819.0096170811839</v>
      </c>
      <c r="T162" s="223">
        <f t="shared" si="165"/>
        <v>0.2389496942533306</v>
      </c>
      <c r="U162" s="224">
        <f t="shared" si="173"/>
        <v>35520.168067226892</v>
      </c>
      <c r="V162" s="225">
        <f t="shared" si="174"/>
        <v>35520.168067226892</v>
      </c>
      <c r="W162" s="149">
        <f t="shared" si="166"/>
        <v>0.22012873368962144</v>
      </c>
      <c r="X162" s="139" t="s">
        <v>103</v>
      </c>
      <c r="Y162" s="137" t="s">
        <v>755</v>
      </c>
      <c r="Z162" s="138" t="s">
        <v>769</v>
      </c>
    </row>
    <row r="163" spans="1:16383" ht="51" x14ac:dyDescent="0.2">
      <c r="A163" s="38" t="s">
        <v>54</v>
      </c>
      <c r="B163" s="66">
        <f t="shared" si="137"/>
        <v>3</v>
      </c>
      <c r="C163" s="66">
        <v>142</v>
      </c>
      <c r="D163" s="70">
        <v>147</v>
      </c>
      <c r="E163" s="51" t="s">
        <v>365</v>
      </c>
      <c r="F163" s="7" t="s">
        <v>366</v>
      </c>
      <c r="G163" s="15">
        <v>44</v>
      </c>
      <c r="H163" s="14" t="s">
        <v>57</v>
      </c>
      <c r="I163" s="10"/>
      <c r="J163" s="11"/>
      <c r="K163" s="105">
        <v>19244</v>
      </c>
      <c r="L163" s="121">
        <f t="shared" si="167"/>
        <v>846736</v>
      </c>
      <c r="M163" s="105">
        <v>10000</v>
      </c>
      <c r="N163" s="121">
        <f t="shared" si="168"/>
        <v>440000</v>
      </c>
      <c r="O163" s="105">
        <v>15000</v>
      </c>
      <c r="P163" s="121">
        <f t="shared" si="169"/>
        <v>660000</v>
      </c>
      <c r="Q163" s="165">
        <f t="shared" si="170"/>
        <v>14748</v>
      </c>
      <c r="R163" s="166">
        <f t="shared" si="171"/>
        <v>648912</v>
      </c>
      <c r="S163" s="222">
        <f t="shared" si="172"/>
        <v>3778.0517024872311</v>
      </c>
      <c r="T163" s="223">
        <f t="shared" si="165"/>
        <v>0.25617383390881687</v>
      </c>
      <c r="U163" s="224">
        <f t="shared" si="173"/>
        <v>15000</v>
      </c>
      <c r="V163" s="225">
        <f t="shared" si="174"/>
        <v>660000</v>
      </c>
      <c r="W163" s="149">
        <f t="shared" si="166"/>
        <v>0.25187011349914873</v>
      </c>
      <c r="X163" s="139" t="s">
        <v>261</v>
      </c>
      <c r="Y163" s="137" t="s">
        <v>759</v>
      </c>
      <c r="Z163" s="138" t="s">
        <v>752</v>
      </c>
    </row>
    <row r="164" spans="1:16383" ht="51" x14ac:dyDescent="0.2">
      <c r="A164" s="38" t="s">
        <v>54</v>
      </c>
      <c r="B164" s="66">
        <f t="shared" si="137"/>
        <v>3</v>
      </c>
      <c r="C164" s="66">
        <v>143</v>
      </c>
      <c r="D164" s="70">
        <v>148</v>
      </c>
      <c r="E164" s="51" t="s">
        <v>367</v>
      </c>
      <c r="F164" s="7" t="s">
        <v>368</v>
      </c>
      <c r="G164" s="15">
        <v>44</v>
      </c>
      <c r="H164" s="14" t="s">
        <v>57</v>
      </c>
      <c r="I164" s="10"/>
      <c r="J164" s="11"/>
      <c r="K164" s="105">
        <f>+(62900*100)/119</f>
        <v>52857.142857142855</v>
      </c>
      <c r="L164" s="121">
        <f t="shared" si="167"/>
        <v>2325714.2857142854</v>
      </c>
      <c r="M164" s="105">
        <v>43000</v>
      </c>
      <c r="N164" s="121">
        <f t="shared" si="168"/>
        <v>1892000</v>
      </c>
      <c r="O164" s="105">
        <v>65000</v>
      </c>
      <c r="P164" s="121">
        <f t="shared" si="169"/>
        <v>2860000</v>
      </c>
      <c r="Q164" s="165">
        <f t="shared" si="170"/>
        <v>53619.047619047611</v>
      </c>
      <c r="R164" s="166">
        <f t="shared" si="171"/>
        <v>2359238.0952380947</v>
      </c>
      <c r="S164" s="222">
        <f t="shared" si="172"/>
        <v>8997.606131620445</v>
      </c>
      <c r="T164" s="223">
        <f t="shared" si="165"/>
        <v>0.16780615343164243</v>
      </c>
      <c r="U164" s="224">
        <f t="shared" si="173"/>
        <v>52857.142857142855</v>
      </c>
      <c r="V164" s="225">
        <f t="shared" si="174"/>
        <v>2325714.2857142854</v>
      </c>
      <c r="W164" s="149">
        <f t="shared" si="166"/>
        <v>0.17022498086849491</v>
      </c>
      <c r="X164" s="139" t="s">
        <v>103</v>
      </c>
      <c r="Y164" s="137" t="s">
        <v>759</v>
      </c>
      <c r="Z164" s="138" t="s">
        <v>752</v>
      </c>
    </row>
    <row r="165" spans="1:16383" ht="51" x14ac:dyDescent="0.2">
      <c r="A165" s="38" t="s">
        <v>54</v>
      </c>
      <c r="B165" s="66">
        <f t="shared" si="137"/>
        <v>3</v>
      </c>
      <c r="C165" s="66">
        <v>144</v>
      </c>
      <c r="D165" s="70">
        <v>149</v>
      </c>
      <c r="E165" s="51" t="s">
        <v>369</v>
      </c>
      <c r="F165" s="7" t="s">
        <v>370</v>
      </c>
      <c r="G165" s="15">
        <v>44</v>
      </c>
      <c r="H165" s="14" t="s">
        <v>57</v>
      </c>
      <c r="I165" s="10"/>
      <c r="J165" s="11"/>
      <c r="K165" s="105">
        <v>73025</v>
      </c>
      <c r="L165" s="121">
        <f t="shared" si="167"/>
        <v>3213100</v>
      </c>
      <c r="M165" s="105">
        <v>74000</v>
      </c>
      <c r="N165" s="121">
        <f t="shared" si="168"/>
        <v>3256000</v>
      </c>
      <c r="O165" s="105">
        <v>65000</v>
      </c>
      <c r="P165" s="121">
        <f t="shared" si="169"/>
        <v>2860000</v>
      </c>
      <c r="Q165" s="165">
        <f t="shared" si="170"/>
        <v>70675</v>
      </c>
      <c r="R165" s="166">
        <f t="shared" si="171"/>
        <v>3109700</v>
      </c>
      <c r="S165" s="222">
        <f t="shared" si="172"/>
        <v>4032.5240234870271</v>
      </c>
      <c r="T165" s="223">
        <f t="shared" si="165"/>
        <v>5.7057290746190689E-2</v>
      </c>
      <c r="U165" s="224">
        <f t="shared" si="173"/>
        <v>73025</v>
      </c>
      <c r="V165" s="225">
        <f t="shared" si="174"/>
        <v>3213100</v>
      </c>
      <c r="W165" s="149">
        <f t="shared" si="166"/>
        <v>5.5221143765655969E-2</v>
      </c>
      <c r="X165" s="139" t="s">
        <v>261</v>
      </c>
      <c r="Y165" s="137" t="s">
        <v>759</v>
      </c>
      <c r="Z165" s="138" t="s">
        <v>752</v>
      </c>
    </row>
    <row r="166" spans="1:16383" ht="76" thickBot="1" x14ac:dyDescent="0.25">
      <c r="A166" s="38" t="s">
        <v>54</v>
      </c>
      <c r="B166" s="66">
        <f t="shared" si="137"/>
        <v>3</v>
      </c>
      <c r="C166" s="66">
        <v>145</v>
      </c>
      <c r="D166" s="70">
        <v>150</v>
      </c>
      <c r="E166" s="51" t="s">
        <v>266</v>
      </c>
      <c r="F166" s="7" t="s">
        <v>267</v>
      </c>
      <c r="G166" s="15">
        <v>44</v>
      </c>
      <c r="H166" s="14" t="s">
        <v>57</v>
      </c>
      <c r="I166" s="10">
        <v>6</v>
      </c>
      <c r="J166" s="16" t="s">
        <v>67</v>
      </c>
      <c r="K166" s="105">
        <f>+(15000*5.35%)+15000</f>
        <v>15802.5</v>
      </c>
      <c r="L166" s="146">
        <f t="shared" ref="L166" si="175">+K166*G166*I166</f>
        <v>4171860</v>
      </c>
      <c r="M166" s="105">
        <v>22000</v>
      </c>
      <c r="N166" s="148">
        <f>+M166*I166*G166</f>
        <v>5808000</v>
      </c>
      <c r="O166" s="105">
        <v>16000</v>
      </c>
      <c r="P166" s="148">
        <f>+O166*I166*G166</f>
        <v>4224000</v>
      </c>
      <c r="Q166" s="165">
        <f t="shared" si="170"/>
        <v>17934.166666666668</v>
      </c>
      <c r="R166" s="166">
        <f t="shared" ref="R166" si="176">+Q166*G166*I166</f>
        <v>4734620</v>
      </c>
      <c r="S166" s="222">
        <f t="shared" si="172"/>
        <v>2876.108723412397</v>
      </c>
      <c r="T166" s="223">
        <f t="shared" si="165"/>
        <v>0.16037035770154157</v>
      </c>
      <c r="U166" s="224">
        <f t="shared" si="173"/>
        <v>16000</v>
      </c>
      <c r="V166" s="225">
        <f t="shared" ref="V166" si="177">+U166*G166*I166</f>
        <v>4224000</v>
      </c>
      <c r="W166" s="149">
        <f t="shared" si="166"/>
        <v>0.17975679521327481</v>
      </c>
      <c r="X166" s="139" t="s">
        <v>813</v>
      </c>
      <c r="Y166" s="137" t="s">
        <v>759</v>
      </c>
      <c r="Z166" s="138" t="s">
        <v>752</v>
      </c>
    </row>
    <row r="167" spans="1:16383" ht="20" thickBot="1" x14ac:dyDescent="0.25">
      <c r="A167" s="49">
        <v>1</v>
      </c>
      <c r="B167" s="193"/>
      <c r="C167" s="193"/>
      <c r="D167" s="69"/>
      <c r="E167" s="50"/>
      <c r="F167" s="400" t="s">
        <v>371</v>
      </c>
      <c r="G167" s="30"/>
      <c r="H167" s="30"/>
      <c r="I167" s="30"/>
      <c r="J167" s="30"/>
      <c r="K167" s="109"/>
      <c r="L167" s="110"/>
      <c r="M167" s="110"/>
      <c r="N167" s="110"/>
      <c r="O167" s="109"/>
      <c r="P167" s="110"/>
      <c r="Q167" s="194"/>
      <c r="R167" s="194"/>
      <c r="S167" s="195"/>
      <c r="T167" s="196"/>
      <c r="U167" s="194"/>
      <c r="V167" s="197"/>
      <c r="W167" s="196"/>
      <c r="X167" s="593"/>
      <c r="Y167" s="593"/>
      <c r="Z167" s="594"/>
      <c r="AA167" s="199"/>
      <c r="AB167" s="200"/>
      <c r="AC167" s="201"/>
      <c r="AD167" s="202"/>
      <c r="AE167" s="202"/>
      <c r="AF167" s="202"/>
      <c r="AG167" s="202"/>
      <c r="AH167" s="203"/>
      <c r="AI167" s="204"/>
      <c r="AJ167" s="204"/>
      <c r="AK167" s="204"/>
      <c r="AL167" s="205"/>
      <c r="AM167" s="206"/>
      <c r="AN167" s="207"/>
      <c r="AO167" s="207"/>
      <c r="AP167" s="208"/>
      <c r="AQ167" s="209"/>
      <c r="AR167" s="207"/>
      <c r="AS167" s="210"/>
      <c r="AT167" s="209"/>
      <c r="AU167" s="204"/>
      <c r="AV167" s="204"/>
      <c r="AW167" s="204"/>
      <c r="AX167" s="199"/>
      <c r="AY167" s="167"/>
      <c r="AZ167" s="199"/>
      <c r="BA167" s="200"/>
      <c r="BB167" s="201"/>
      <c r="BC167" s="202"/>
      <c r="BD167" s="202"/>
      <c r="BE167" s="202"/>
      <c r="BF167" s="202"/>
      <c r="BG167" s="203"/>
      <c r="BH167" s="204"/>
      <c r="BI167" s="204"/>
      <c r="BJ167" s="204"/>
      <c r="BK167" s="205"/>
      <c r="BL167" s="206"/>
      <c r="BM167" s="207"/>
      <c r="BN167" s="207"/>
      <c r="BO167" s="208"/>
      <c r="BP167" s="209"/>
      <c r="BQ167" s="207"/>
      <c r="BR167" s="210"/>
      <c r="BS167" s="209"/>
      <c r="BT167" s="204"/>
      <c r="BU167" s="204"/>
      <c r="BV167" s="204"/>
      <c r="BW167" s="199"/>
      <c r="BX167" s="167"/>
      <c r="BY167" s="199"/>
      <c r="BZ167" s="200"/>
      <c r="CA167" s="201"/>
      <c r="CB167" s="202"/>
      <c r="CC167" s="202"/>
      <c r="CD167" s="202"/>
      <c r="CE167" s="202"/>
      <c r="CF167" s="203"/>
      <c r="CG167" s="204"/>
      <c r="CH167" s="204"/>
      <c r="CI167" s="204"/>
      <c r="CJ167" s="205"/>
      <c r="CK167" s="206"/>
      <c r="CL167" s="207"/>
      <c r="CM167" s="207"/>
      <c r="CN167" s="208"/>
      <c r="CO167" s="209"/>
      <c r="CP167" s="207"/>
      <c r="CQ167" s="210"/>
      <c r="CR167" s="209"/>
      <c r="CS167" s="204"/>
      <c r="CT167" s="204"/>
      <c r="CU167" s="204"/>
      <c r="CV167" s="199"/>
      <c r="CW167" s="167"/>
      <c r="CX167" s="199"/>
      <c r="CY167" s="200"/>
      <c r="CZ167" s="201"/>
      <c r="DA167" s="202"/>
      <c r="DB167" s="202"/>
      <c r="DC167" s="202"/>
      <c r="DD167" s="202"/>
      <c r="DE167" s="203"/>
      <c r="DF167" s="204"/>
      <c r="DG167" s="204"/>
      <c r="DH167" s="204"/>
      <c r="DI167" s="205"/>
      <c r="DJ167" s="206"/>
      <c r="DK167" s="207"/>
      <c r="DL167" s="207"/>
      <c r="DM167" s="208"/>
      <c r="DN167" s="209"/>
      <c r="DO167" s="207"/>
      <c r="DP167" s="210"/>
      <c r="DQ167" s="209"/>
      <c r="DR167" s="204"/>
      <c r="DS167" s="204"/>
      <c r="DT167" s="204"/>
      <c r="DU167" s="199"/>
      <c r="DV167" s="167"/>
      <c r="DW167" s="199"/>
      <c r="DX167" s="200"/>
      <c r="DY167" s="201"/>
      <c r="DZ167" s="202"/>
      <c r="EA167" s="202"/>
      <c r="EB167" s="202"/>
      <c r="EC167" s="202"/>
      <c r="ED167" s="203"/>
      <c r="EE167" s="204"/>
      <c r="EF167" s="204"/>
      <c r="EG167" s="204"/>
      <c r="EH167" s="205"/>
      <c r="EI167" s="206"/>
      <c r="EJ167" s="207"/>
      <c r="EK167" s="207"/>
      <c r="EL167" s="208"/>
      <c r="EM167" s="209"/>
      <c r="EN167" s="207"/>
      <c r="EO167" s="210"/>
      <c r="EP167" s="209"/>
      <c r="EQ167" s="204"/>
      <c r="ER167" s="204"/>
      <c r="ES167" s="204"/>
      <c r="ET167" s="199"/>
      <c r="EU167" s="167"/>
      <c r="EV167" s="199"/>
      <c r="EW167" s="200"/>
      <c r="EX167" s="201"/>
      <c r="EY167" s="202"/>
      <c r="EZ167" s="202"/>
      <c r="FA167" s="202"/>
      <c r="FB167" s="202"/>
      <c r="FC167" s="203"/>
      <c r="FD167" s="204"/>
      <c r="FE167" s="204"/>
      <c r="FF167" s="204"/>
      <c r="FG167" s="205"/>
      <c r="FH167" s="206"/>
      <c r="FI167" s="207"/>
      <c r="FJ167" s="207"/>
      <c r="FK167" s="208"/>
      <c r="FL167" s="209"/>
      <c r="FM167" s="207"/>
      <c r="FN167" s="210"/>
      <c r="FO167" s="209"/>
      <c r="FP167" s="204"/>
      <c r="FQ167" s="204"/>
      <c r="FR167" s="204"/>
      <c r="FS167" s="199"/>
      <c r="FT167" s="167"/>
      <c r="FU167" s="199"/>
      <c r="FV167" s="200"/>
      <c r="FW167" s="201"/>
      <c r="FX167" s="202"/>
      <c r="FY167" s="202"/>
      <c r="FZ167" s="202"/>
      <c r="GA167" s="202"/>
      <c r="GB167" s="203"/>
      <c r="GC167" s="204"/>
      <c r="GD167" s="204"/>
      <c r="GE167" s="204"/>
      <c r="GF167" s="205"/>
      <c r="GG167" s="206"/>
      <c r="GH167" s="207"/>
      <c r="GI167" s="207"/>
      <c r="GJ167" s="208"/>
      <c r="GK167" s="209"/>
      <c r="GL167" s="207"/>
      <c r="GM167" s="210"/>
      <c r="GN167" s="209"/>
      <c r="GO167" s="204"/>
      <c r="GP167" s="204"/>
      <c r="GQ167" s="204"/>
      <c r="GR167" s="199"/>
      <c r="GS167" s="167"/>
      <c r="GT167" s="199"/>
      <c r="GU167" s="200"/>
      <c r="GV167" s="201"/>
      <c r="GW167" s="202"/>
      <c r="GX167" s="202"/>
      <c r="GY167" s="202"/>
      <c r="GZ167" s="202"/>
      <c r="HA167" s="203"/>
      <c r="HB167" s="204"/>
      <c r="HC167" s="204"/>
      <c r="HD167" s="204"/>
      <c r="HE167" s="205"/>
      <c r="HF167" s="206"/>
      <c r="HG167" s="207"/>
      <c r="HH167" s="207"/>
      <c r="HI167" s="208"/>
      <c r="HJ167" s="209"/>
      <c r="HK167" s="207"/>
      <c r="HL167" s="210"/>
      <c r="HM167" s="209"/>
      <c r="HN167" s="204"/>
      <c r="HO167" s="204"/>
      <c r="HP167" s="204"/>
      <c r="HQ167" s="199"/>
      <c r="HR167" s="167"/>
      <c r="HS167" s="199"/>
      <c r="HT167" s="200"/>
      <c r="HU167" s="201"/>
      <c r="HV167" s="202"/>
      <c r="HW167" s="202"/>
      <c r="HX167" s="202"/>
      <c r="HY167" s="202"/>
      <c r="HZ167" s="203"/>
      <c r="IA167" s="204"/>
      <c r="IB167" s="204"/>
      <c r="IC167" s="204"/>
      <c r="ID167" s="205"/>
      <c r="IE167" s="206"/>
      <c r="IF167" s="207"/>
      <c r="IG167" s="207"/>
      <c r="IH167" s="208"/>
      <c r="II167" s="209"/>
      <c r="IJ167" s="207"/>
      <c r="IK167" s="210"/>
      <c r="IL167" s="209"/>
      <c r="IM167" s="204"/>
      <c r="IN167" s="204"/>
      <c r="IO167" s="204"/>
      <c r="IP167" s="199"/>
      <c r="IQ167" s="167"/>
      <c r="IR167" s="199"/>
      <c r="IS167" s="200"/>
      <c r="IT167" s="201"/>
      <c r="IU167" s="202"/>
      <c r="IV167" s="202"/>
      <c r="IW167" s="202"/>
      <c r="IX167" s="202"/>
      <c r="IY167" s="203"/>
      <c r="IZ167" s="204"/>
      <c r="JA167" s="204"/>
      <c r="JB167" s="204"/>
      <c r="JC167" s="205"/>
      <c r="JD167" s="206"/>
      <c r="JE167" s="207"/>
      <c r="JF167" s="207"/>
      <c r="JG167" s="208"/>
      <c r="JH167" s="209"/>
      <c r="JI167" s="207"/>
      <c r="JJ167" s="210"/>
      <c r="JK167" s="209"/>
      <c r="JL167" s="204"/>
      <c r="JM167" s="204"/>
      <c r="JN167" s="204"/>
      <c r="JO167" s="199"/>
      <c r="JP167" s="167"/>
      <c r="JQ167" s="199"/>
      <c r="JR167" s="200"/>
      <c r="JS167" s="201"/>
      <c r="JT167" s="202"/>
      <c r="JU167" s="202"/>
      <c r="JV167" s="202"/>
      <c r="JW167" s="202"/>
      <c r="JX167" s="203"/>
      <c r="JY167" s="204"/>
      <c r="JZ167" s="204"/>
      <c r="KA167" s="204"/>
      <c r="KB167" s="205"/>
      <c r="KC167" s="206"/>
      <c r="KD167" s="207"/>
      <c r="KE167" s="207"/>
      <c r="KF167" s="208"/>
      <c r="KG167" s="209"/>
      <c r="KH167" s="207"/>
      <c r="KI167" s="210"/>
      <c r="KJ167" s="209"/>
      <c r="KK167" s="204"/>
      <c r="KL167" s="204"/>
      <c r="KM167" s="204"/>
      <c r="KN167" s="199"/>
      <c r="KO167" s="167"/>
      <c r="KP167" s="199"/>
      <c r="KQ167" s="200"/>
      <c r="KR167" s="201"/>
      <c r="KS167" s="202"/>
      <c r="KT167" s="202"/>
      <c r="KU167" s="202"/>
      <c r="KV167" s="202"/>
      <c r="KW167" s="203"/>
      <c r="KX167" s="204"/>
      <c r="KY167" s="204"/>
      <c r="KZ167" s="204"/>
      <c r="LA167" s="205"/>
      <c r="LB167" s="206"/>
      <c r="LC167" s="207"/>
      <c r="LD167" s="207"/>
      <c r="LE167" s="208"/>
      <c r="LF167" s="209"/>
      <c r="LG167" s="207"/>
      <c r="LH167" s="210"/>
      <c r="LI167" s="209"/>
      <c r="LJ167" s="204"/>
      <c r="LK167" s="204"/>
      <c r="LL167" s="204"/>
      <c r="LM167" s="199"/>
      <c r="LN167" s="167"/>
      <c r="LO167" s="199"/>
      <c r="LP167" s="200"/>
      <c r="LQ167" s="201"/>
      <c r="LR167" s="202"/>
      <c r="LS167" s="202"/>
      <c r="LT167" s="202"/>
      <c r="LU167" s="202"/>
      <c r="LV167" s="203"/>
      <c r="LW167" s="204"/>
      <c r="LX167" s="204"/>
      <c r="LY167" s="204"/>
      <c r="LZ167" s="205"/>
      <c r="MA167" s="206"/>
      <c r="MB167" s="207"/>
      <c r="MC167" s="207"/>
      <c r="MD167" s="208"/>
      <c r="ME167" s="209"/>
      <c r="MF167" s="207"/>
      <c r="MG167" s="210"/>
      <c r="MH167" s="209"/>
      <c r="MI167" s="204"/>
      <c r="MJ167" s="204"/>
      <c r="MK167" s="204"/>
      <c r="ML167" s="199"/>
      <c r="MM167" s="167"/>
      <c r="MN167" s="199"/>
      <c r="MO167" s="200"/>
      <c r="MP167" s="201"/>
      <c r="MQ167" s="202"/>
      <c r="MR167" s="202"/>
      <c r="MS167" s="202"/>
      <c r="MT167" s="202"/>
      <c r="MU167" s="203"/>
      <c r="MV167" s="204"/>
      <c r="MW167" s="204"/>
      <c r="MX167" s="204"/>
      <c r="MY167" s="205"/>
      <c r="MZ167" s="206"/>
      <c r="NA167" s="207"/>
      <c r="NB167" s="207"/>
      <c r="NC167" s="208"/>
      <c r="ND167" s="209"/>
      <c r="NE167" s="207"/>
      <c r="NF167" s="210"/>
      <c r="NG167" s="209"/>
      <c r="NH167" s="204"/>
      <c r="NI167" s="204"/>
      <c r="NJ167" s="204"/>
      <c r="NK167" s="199"/>
      <c r="NL167" s="167"/>
      <c r="NM167" s="199"/>
      <c r="NN167" s="200"/>
      <c r="NO167" s="201"/>
      <c r="NP167" s="202"/>
      <c r="NQ167" s="202"/>
      <c r="NR167" s="202"/>
      <c r="NS167" s="202"/>
      <c r="NT167" s="203"/>
      <c r="NU167" s="204"/>
      <c r="NV167" s="204"/>
      <c r="NW167" s="204"/>
      <c r="NX167" s="205"/>
      <c r="NY167" s="206"/>
      <c r="NZ167" s="207"/>
      <c r="OA167" s="207"/>
      <c r="OB167" s="208"/>
      <c r="OC167" s="209"/>
      <c r="OD167" s="207"/>
      <c r="OE167" s="210"/>
      <c r="OF167" s="209"/>
      <c r="OG167" s="204"/>
      <c r="OH167" s="204"/>
      <c r="OI167" s="204"/>
      <c r="OJ167" s="199"/>
      <c r="OK167" s="167"/>
      <c r="OL167" s="199"/>
      <c r="OM167" s="200"/>
      <c r="ON167" s="201"/>
      <c r="OO167" s="202"/>
      <c r="OP167" s="202"/>
      <c r="OQ167" s="202"/>
      <c r="OR167" s="202"/>
      <c r="OS167" s="203"/>
      <c r="OT167" s="204"/>
      <c r="OU167" s="204"/>
      <c r="OV167" s="204"/>
      <c r="OW167" s="205"/>
      <c r="OX167" s="206"/>
      <c r="OY167" s="207"/>
      <c r="OZ167" s="207"/>
      <c r="PA167" s="208"/>
      <c r="PB167" s="209"/>
      <c r="PC167" s="207"/>
      <c r="PD167" s="210"/>
      <c r="PE167" s="209"/>
      <c r="PF167" s="204"/>
      <c r="PG167" s="204"/>
      <c r="PH167" s="204"/>
      <c r="PI167" s="199"/>
      <c r="PJ167" s="167"/>
      <c r="PK167" s="199"/>
      <c r="PL167" s="200"/>
      <c r="PM167" s="201"/>
      <c r="PN167" s="202"/>
      <c r="PO167" s="202"/>
      <c r="PP167" s="202"/>
      <c r="PQ167" s="202"/>
      <c r="PR167" s="203"/>
      <c r="PS167" s="204"/>
      <c r="PT167" s="204"/>
      <c r="PU167" s="204"/>
      <c r="PV167" s="205"/>
      <c r="PW167" s="206"/>
      <c r="PX167" s="207"/>
      <c r="PY167" s="207"/>
      <c r="PZ167" s="208"/>
      <c r="QA167" s="209"/>
      <c r="QB167" s="207"/>
      <c r="QC167" s="210"/>
      <c r="QD167" s="209"/>
      <c r="QE167" s="204"/>
      <c r="QF167" s="204"/>
      <c r="QG167" s="204"/>
      <c r="QH167" s="199"/>
      <c r="QI167" s="167"/>
      <c r="QJ167" s="199"/>
      <c r="QK167" s="200"/>
      <c r="QL167" s="201"/>
      <c r="QM167" s="202"/>
      <c r="QN167" s="202"/>
      <c r="QO167" s="202"/>
      <c r="QP167" s="202"/>
      <c r="QQ167" s="203"/>
      <c r="QR167" s="204"/>
      <c r="QS167" s="204"/>
      <c r="QT167" s="204"/>
      <c r="QU167" s="205"/>
      <c r="QV167" s="206"/>
      <c r="QW167" s="207"/>
      <c r="QX167" s="207"/>
      <c r="QY167" s="208"/>
      <c r="QZ167" s="209"/>
      <c r="RA167" s="207"/>
      <c r="RB167" s="210"/>
      <c r="RC167" s="209"/>
      <c r="RD167" s="204"/>
      <c r="RE167" s="204"/>
      <c r="RF167" s="204"/>
      <c r="RG167" s="199"/>
      <c r="RH167" s="167"/>
      <c r="RI167" s="199"/>
      <c r="RJ167" s="200"/>
      <c r="RK167" s="201"/>
      <c r="RL167" s="202"/>
      <c r="RM167" s="202"/>
      <c r="RN167" s="202"/>
      <c r="RO167" s="202"/>
      <c r="RP167" s="203"/>
      <c r="RQ167" s="204"/>
      <c r="RR167" s="204"/>
      <c r="RS167" s="204"/>
      <c r="RT167" s="205"/>
      <c r="RU167" s="206"/>
      <c r="RV167" s="207"/>
      <c r="RW167" s="207"/>
      <c r="RX167" s="208"/>
      <c r="RY167" s="209"/>
      <c r="RZ167" s="207"/>
      <c r="SA167" s="210"/>
      <c r="SB167" s="209"/>
      <c r="SC167" s="204"/>
      <c r="SD167" s="204"/>
      <c r="SE167" s="204"/>
      <c r="SF167" s="199"/>
      <c r="SG167" s="167"/>
      <c r="SH167" s="199"/>
      <c r="SI167" s="200"/>
      <c r="SJ167" s="201"/>
      <c r="SK167" s="202"/>
      <c r="SL167" s="202"/>
      <c r="SM167" s="202"/>
      <c r="SN167" s="202"/>
      <c r="SO167" s="203"/>
      <c r="SP167" s="204"/>
      <c r="SQ167" s="204"/>
      <c r="SR167" s="204"/>
      <c r="SS167" s="205"/>
      <c r="ST167" s="206"/>
      <c r="SU167" s="207"/>
      <c r="SV167" s="207"/>
      <c r="SW167" s="208"/>
      <c r="SX167" s="209"/>
      <c r="SY167" s="207"/>
      <c r="SZ167" s="210"/>
      <c r="TA167" s="209"/>
      <c r="TB167" s="204"/>
      <c r="TC167" s="204"/>
      <c r="TD167" s="204"/>
      <c r="TE167" s="199"/>
      <c r="TF167" s="167"/>
      <c r="TG167" s="199"/>
      <c r="TH167" s="200"/>
      <c r="TI167" s="201"/>
      <c r="TJ167" s="202"/>
      <c r="TK167" s="202"/>
      <c r="TL167" s="202"/>
      <c r="TM167" s="202"/>
      <c r="TN167" s="203"/>
      <c r="TO167" s="204"/>
      <c r="TP167" s="204"/>
      <c r="TQ167" s="204"/>
      <c r="TR167" s="205"/>
      <c r="TS167" s="206"/>
      <c r="TT167" s="207"/>
      <c r="TU167" s="207"/>
      <c r="TV167" s="208"/>
      <c r="TW167" s="209"/>
      <c r="TX167" s="207"/>
      <c r="TY167" s="210"/>
      <c r="TZ167" s="209"/>
      <c r="UA167" s="204"/>
      <c r="UB167" s="204"/>
      <c r="UC167" s="204"/>
      <c r="UD167" s="199"/>
      <c r="UE167" s="167"/>
      <c r="UF167" s="199"/>
      <c r="UG167" s="200"/>
      <c r="UH167" s="201"/>
      <c r="UI167" s="202"/>
      <c r="UJ167" s="202"/>
      <c r="UK167" s="202"/>
      <c r="UL167" s="202"/>
      <c r="UM167" s="203"/>
      <c r="UN167" s="204"/>
      <c r="UO167" s="204"/>
      <c r="UP167" s="204"/>
      <c r="UQ167" s="205"/>
      <c r="UR167" s="206"/>
      <c r="US167" s="207"/>
      <c r="UT167" s="207"/>
      <c r="UU167" s="208"/>
      <c r="UV167" s="209"/>
      <c r="UW167" s="207"/>
      <c r="UX167" s="210"/>
      <c r="UY167" s="209"/>
      <c r="UZ167" s="204"/>
      <c r="VA167" s="204"/>
      <c r="VB167" s="204"/>
      <c r="VC167" s="199"/>
      <c r="VD167" s="167"/>
      <c r="VE167" s="199"/>
      <c r="VF167" s="200"/>
      <c r="VG167" s="201"/>
      <c r="VH167" s="202"/>
      <c r="VI167" s="202"/>
      <c r="VJ167" s="202"/>
      <c r="VK167" s="202"/>
      <c r="VL167" s="203"/>
      <c r="VM167" s="204"/>
      <c r="VN167" s="204"/>
      <c r="VO167" s="204"/>
      <c r="VP167" s="205"/>
      <c r="VQ167" s="206"/>
      <c r="VR167" s="207"/>
      <c r="VS167" s="207"/>
      <c r="VT167" s="208"/>
      <c r="VU167" s="209"/>
      <c r="VV167" s="207"/>
      <c r="VW167" s="210"/>
      <c r="VX167" s="209"/>
      <c r="VY167" s="204"/>
      <c r="VZ167" s="204"/>
      <c r="WA167" s="204"/>
      <c r="WB167" s="199"/>
      <c r="WC167" s="167"/>
      <c r="WD167" s="199"/>
      <c r="WE167" s="200"/>
      <c r="WF167" s="201"/>
      <c r="WG167" s="202"/>
      <c r="WH167" s="202"/>
      <c r="WI167" s="202"/>
      <c r="WJ167" s="202"/>
      <c r="WK167" s="203"/>
      <c r="WL167" s="204"/>
      <c r="WM167" s="204"/>
      <c r="WN167" s="204"/>
      <c r="WO167" s="205"/>
      <c r="WP167" s="206"/>
      <c r="WQ167" s="207"/>
      <c r="WR167" s="207"/>
      <c r="WS167" s="208"/>
      <c r="WT167" s="209"/>
      <c r="WU167" s="207"/>
      <c r="WV167" s="210"/>
      <c r="WW167" s="209"/>
      <c r="WX167" s="204"/>
      <c r="WY167" s="204"/>
      <c r="WZ167" s="204"/>
      <c r="XA167" s="199"/>
      <c r="XB167" s="167"/>
      <c r="XC167" s="199"/>
      <c r="XD167" s="200"/>
      <c r="XE167" s="201"/>
      <c r="XF167" s="202"/>
      <c r="XG167" s="202"/>
      <c r="XH167" s="202"/>
      <c r="XI167" s="202"/>
      <c r="XJ167" s="203"/>
      <c r="XK167" s="204"/>
      <c r="XL167" s="204"/>
      <c r="XM167" s="204"/>
      <c r="XN167" s="205"/>
      <c r="XO167" s="206"/>
      <c r="XP167" s="207"/>
      <c r="XQ167" s="207"/>
      <c r="XR167" s="208"/>
      <c r="XS167" s="209"/>
      <c r="XT167" s="207"/>
      <c r="XU167" s="210"/>
      <c r="XV167" s="209"/>
      <c r="XW167" s="204"/>
      <c r="XX167" s="204"/>
      <c r="XY167" s="204"/>
      <c r="XZ167" s="199"/>
      <c r="YA167" s="167"/>
      <c r="YB167" s="199"/>
      <c r="YC167" s="200"/>
      <c r="YD167" s="201"/>
      <c r="YE167" s="202"/>
      <c r="YF167" s="202"/>
      <c r="YG167" s="202"/>
      <c r="YH167" s="202"/>
      <c r="YI167" s="203"/>
      <c r="YJ167" s="204"/>
      <c r="YK167" s="204"/>
      <c r="YL167" s="204"/>
      <c r="YM167" s="205"/>
      <c r="YN167" s="206"/>
      <c r="YO167" s="207"/>
      <c r="YP167" s="207"/>
      <c r="YQ167" s="208"/>
      <c r="YR167" s="209"/>
      <c r="YS167" s="207"/>
      <c r="YT167" s="210"/>
      <c r="YU167" s="209"/>
      <c r="YV167" s="204"/>
      <c r="YW167" s="204"/>
      <c r="YX167" s="204"/>
      <c r="YY167" s="199"/>
      <c r="YZ167" s="167"/>
      <c r="ZA167" s="199"/>
      <c r="ZB167" s="200"/>
      <c r="ZC167" s="201"/>
      <c r="ZD167" s="202"/>
      <c r="ZE167" s="202"/>
      <c r="ZF167" s="202"/>
      <c r="ZG167" s="202"/>
      <c r="ZH167" s="203"/>
      <c r="ZI167" s="204"/>
      <c r="ZJ167" s="204"/>
      <c r="ZK167" s="204"/>
      <c r="ZL167" s="205"/>
      <c r="ZM167" s="206"/>
      <c r="ZN167" s="207"/>
      <c r="ZO167" s="207"/>
      <c r="ZP167" s="208"/>
      <c r="ZQ167" s="209"/>
      <c r="ZR167" s="207"/>
      <c r="ZS167" s="210"/>
      <c r="ZT167" s="209"/>
      <c r="ZU167" s="204"/>
      <c r="ZV167" s="204"/>
      <c r="ZW167" s="204"/>
      <c r="ZX167" s="199"/>
      <c r="ZY167" s="167"/>
      <c r="ZZ167" s="199"/>
      <c r="AAA167" s="200"/>
      <c r="AAB167" s="201"/>
      <c r="AAC167" s="202"/>
      <c r="AAD167" s="202"/>
      <c r="AAE167" s="202"/>
      <c r="AAF167" s="202"/>
      <c r="AAG167" s="203"/>
      <c r="AAH167" s="204"/>
      <c r="AAI167" s="204"/>
      <c r="AAJ167" s="204"/>
      <c r="AAK167" s="205"/>
      <c r="AAL167" s="206"/>
      <c r="AAM167" s="207"/>
      <c r="AAN167" s="207"/>
      <c r="AAO167" s="208"/>
      <c r="AAP167" s="209"/>
      <c r="AAQ167" s="207"/>
      <c r="AAR167" s="210"/>
      <c r="AAS167" s="209"/>
      <c r="AAT167" s="204"/>
      <c r="AAU167" s="204"/>
      <c r="AAV167" s="204"/>
      <c r="AAW167" s="199"/>
      <c r="AAX167" s="167"/>
      <c r="AAY167" s="199"/>
      <c r="AAZ167" s="200"/>
      <c r="ABA167" s="201"/>
      <c r="ABB167" s="202"/>
      <c r="ABC167" s="202"/>
      <c r="ABD167" s="202"/>
      <c r="ABE167" s="202"/>
      <c r="ABF167" s="203"/>
      <c r="ABG167" s="204"/>
      <c r="ABH167" s="204"/>
      <c r="ABI167" s="204"/>
      <c r="ABJ167" s="205"/>
      <c r="ABK167" s="206"/>
      <c r="ABL167" s="207"/>
      <c r="ABM167" s="207"/>
      <c r="ABN167" s="208"/>
      <c r="ABO167" s="209"/>
      <c r="ABP167" s="207"/>
      <c r="ABQ167" s="210"/>
      <c r="ABR167" s="209"/>
      <c r="ABS167" s="204"/>
      <c r="ABT167" s="204"/>
      <c r="ABU167" s="204"/>
      <c r="ABV167" s="199"/>
      <c r="ABW167" s="167"/>
      <c r="ABX167" s="199"/>
      <c r="ABY167" s="200"/>
      <c r="ABZ167" s="201"/>
      <c r="ACA167" s="202"/>
      <c r="ACB167" s="202"/>
      <c r="ACC167" s="202"/>
      <c r="ACD167" s="202"/>
      <c r="ACE167" s="203"/>
      <c r="ACF167" s="204"/>
      <c r="ACG167" s="204"/>
      <c r="ACH167" s="204"/>
      <c r="ACI167" s="205"/>
      <c r="ACJ167" s="206"/>
      <c r="ACK167" s="207"/>
      <c r="ACL167" s="207"/>
      <c r="ACM167" s="208"/>
      <c r="ACN167" s="209"/>
      <c r="ACO167" s="207"/>
      <c r="ACP167" s="210"/>
      <c r="ACQ167" s="209"/>
      <c r="ACR167" s="204"/>
      <c r="ACS167" s="204"/>
      <c r="ACT167" s="204"/>
      <c r="ACU167" s="199"/>
      <c r="ACV167" s="167"/>
      <c r="ACW167" s="199"/>
      <c r="ACX167" s="200"/>
      <c r="ACY167" s="201"/>
      <c r="ACZ167" s="202"/>
      <c r="ADA167" s="202"/>
      <c r="ADB167" s="202"/>
      <c r="ADC167" s="202"/>
      <c r="ADD167" s="203"/>
      <c r="ADE167" s="204"/>
      <c r="ADF167" s="204"/>
      <c r="ADG167" s="204"/>
      <c r="ADH167" s="205"/>
      <c r="ADI167" s="206"/>
      <c r="ADJ167" s="207"/>
      <c r="ADK167" s="207"/>
      <c r="ADL167" s="208"/>
      <c r="ADM167" s="209"/>
      <c r="ADN167" s="207"/>
      <c r="ADO167" s="210"/>
      <c r="ADP167" s="209"/>
      <c r="ADQ167" s="204"/>
      <c r="ADR167" s="204"/>
      <c r="ADS167" s="204"/>
      <c r="ADT167" s="199"/>
      <c r="ADU167" s="167"/>
      <c r="ADV167" s="199"/>
      <c r="ADW167" s="200"/>
      <c r="ADX167" s="201"/>
      <c r="ADY167" s="202"/>
      <c r="ADZ167" s="202"/>
      <c r="AEA167" s="202"/>
      <c r="AEB167" s="202"/>
      <c r="AEC167" s="203"/>
      <c r="AED167" s="204"/>
      <c r="AEE167" s="204"/>
      <c r="AEF167" s="204"/>
      <c r="AEG167" s="205"/>
      <c r="AEH167" s="206"/>
      <c r="AEI167" s="207"/>
      <c r="AEJ167" s="207"/>
      <c r="AEK167" s="208"/>
      <c r="AEL167" s="209"/>
      <c r="AEM167" s="207"/>
      <c r="AEN167" s="210"/>
      <c r="AEO167" s="209"/>
      <c r="AEP167" s="204"/>
      <c r="AEQ167" s="204"/>
      <c r="AER167" s="204"/>
      <c r="AES167" s="199"/>
      <c r="AET167" s="167"/>
      <c r="AEU167" s="199"/>
      <c r="AEV167" s="200"/>
      <c r="AEW167" s="201"/>
      <c r="AEX167" s="202"/>
      <c r="AEY167" s="202"/>
      <c r="AEZ167" s="202"/>
      <c r="AFA167" s="202"/>
      <c r="AFB167" s="203"/>
      <c r="AFC167" s="204"/>
      <c r="AFD167" s="204"/>
      <c r="AFE167" s="204"/>
      <c r="AFF167" s="205"/>
      <c r="AFG167" s="206"/>
      <c r="AFH167" s="207"/>
      <c r="AFI167" s="207"/>
      <c r="AFJ167" s="208"/>
      <c r="AFK167" s="209"/>
      <c r="AFL167" s="207"/>
      <c r="AFM167" s="210"/>
      <c r="AFN167" s="209"/>
      <c r="AFO167" s="204"/>
      <c r="AFP167" s="204"/>
      <c r="AFQ167" s="204"/>
      <c r="AFR167" s="199"/>
      <c r="AFS167" s="167"/>
      <c r="AFT167" s="199"/>
      <c r="AFU167" s="200"/>
      <c r="AFV167" s="201"/>
      <c r="AFW167" s="202"/>
      <c r="AFX167" s="202"/>
      <c r="AFY167" s="202"/>
      <c r="AFZ167" s="202"/>
      <c r="AGA167" s="203"/>
      <c r="AGB167" s="204"/>
      <c r="AGC167" s="204"/>
      <c r="AGD167" s="204"/>
      <c r="AGE167" s="205"/>
      <c r="AGF167" s="206"/>
      <c r="AGG167" s="207"/>
      <c r="AGH167" s="207"/>
      <c r="AGI167" s="208"/>
      <c r="AGJ167" s="209"/>
      <c r="AGK167" s="207"/>
      <c r="AGL167" s="210"/>
      <c r="AGM167" s="209"/>
      <c r="AGN167" s="204"/>
      <c r="AGO167" s="204"/>
      <c r="AGP167" s="204"/>
      <c r="AGQ167" s="199"/>
      <c r="AGR167" s="167"/>
      <c r="AGS167" s="199"/>
      <c r="AGT167" s="200"/>
      <c r="AGU167" s="201"/>
      <c r="AGV167" s="202"/>
      <c r="AGW167" s="202"/>
      <c r="AGX167" s="202"/>
      <c r="AGY167" s="202"/>
      <c r="AGZ167" s="203"/>
      <c r="AHA167" s="204"/>
      <c r="AHB167" s="204"/>
      <c r="AHC167" s="204"/>
      <c r="AHD167" s="205"/>
      <c r="AHE167" s="206"/>
      <c r="AHF167" s="207"/>
      <c r="AHG167" s="207"/>
      <c r="AHH167" s="208"/>
      <c r="AHI167" s="209"/>
      <c r="AHJ167" s="207"/>
      <c r="AHK167" s="210"/>
      <c r="AHL167" s="209"/>
      <c r="AHM167" s="204"/>
      <c r="AHN167" s="204"/>
      <c r="AHO167" s="204"/>
      <c r="AHP167" s="199"/>
      <c r="AHQ167" s="167"/>
      <c r="AHR167" s="199"/>
      <c r="AHS167" s="200"/>
      <c r="AHT167" s="201"/>
      <c r="AHU167" s="202"/>
      <c r="AHV167" s="202"/>
      <c r="AHW167" s="202"/>
      <c r="AHX167" s="202"/>
      <c r="AHY167" s="203"/>
      <c r="AHZ167" s="204"/>
      <c r="AIA167" s="204"/>
      <c r="AIB167" s="204"/>
      <c r="AIC167" s="205"/>
      <c r="AID167" s="206"/>
      <c r="AIE167" s="207"/>
      <c r="AIF167" s="207"/>
      <c r="AIG167" s="208"/>
      <c r="AIH167" s="209"/>
      <c r="AII167" s="207"/>
      <c r="AIJ167" s="210"/>
      <c r="AIK167" s="209"/>
      <c r="AIL167" s="204"/>
      <c r="AIM167" s="204"/>
      <c r="AIN167" s="204"/>
      <c r="AIO167" s="199"/>
      <c r="AIP167" s="167"/>
      <c r="AIQ167" s="199"/>
      <c r="AIR167" s="200"/>
      <c r="AIS167" s="201"/>
      <c r="AIT167" s="202"/>
      <c r="AIU167" s="202"/>
      <c r="AIV167" s="202"/>
      <c r="AIW167" s="202"/>
      <c r="AIX167" s="203"/>
      <c r="AIY167" s="204"/>
      <c r="AIZ167" s="204"/>
      <c r="AJA167" s="204"/>
      <c r="AJB167" s="205"/>
      <c r="AJC167" s="206"/>
      <c r="AJD167" s="207"/>
      <c r="AJE167" s="207"/>
      <c r="AJF167" s="208"/>
      <c r="AJG167" s="209"/>
      <c r="AJH167" s="207"/>
      <c r="AJI167" s="210"/>
      <c r="AJJ167" s="209"/>
      <c r="AJK167" s="204"/>
      <c r="AJL167" s="204"/>
      <c r="AJM167" s="204"/>
      <c r="AJN167" s="199"/>
      <c r="AJO167" s="167"/>
      <c r="AJP167" s="199"/>
      <c r="AJQ167" s="200"/>
      <c r="AJR167" s="201"/>
      <c r="AJS167" s="202"/>
      <c r="AJT167" s="202"/>
      <c r="AJU167" s="202"/>
      <c r="AJV167" s="202"/>
      <c r="AJW167" s="203"/>
      <c r="AJX167" s="204"/>
      <c r="AJY167" s="204"/>
      <c r="AJZ167" s="204"/>
      <c r="AKA167" s="205"/>
      <c r="AKB167" s="206"/>
      <c r="AKC167" s="207"/>
      <c r="AKD167" s="207"/>
      <c r="AKE167" s="208"/>
      <c r="AKF167" s="209"/>
      <c r="AKG167" s="207"/>
      <c r="AKH167" s="210"/>
      <c r="AKI167" s="209"/>
      <c r="AKJ167" s="204"/>
      <c r="AKK167" s="204"/>
      <c r="AKL167" s="204"/>
      <c r="AKM167" s="199"/>
      <c r="AKN167" s="167"/>
      <c r="AKO167" s="199"/>
      <c r="AKP167" s="200"/>
      <c r="AKQ167" s="201"/>
      <c r="AKR167" s="202"/>
      <c r="AKS167" s="202"/>
      <c r="AKT167" s="202"/>
      <c r="AKU167" s="202"/>
      <c r="AKV167" s="203"/>
      <c r="AKW167" s="204"/>
      <c r="AKX167" s="204"/>
      <c r="AKY167" s="204"/>
      <c r="AKZ167" s="205"/>
      <c r="ALA167" s="206"/>
      <c r="ALB167" s="207"/>
      <c r="ALC167" s="207"/>
      <c r="ALD167" s="208"/>
      <c r="ALE167" s="209"/>
      <c r="ALF167" s="207"/>
      <c r="ALG167" s="210"/>
      <c r="ALH167" s="209"/>
      <c r="ALI167" s="204"/>
      <c r="ALJ167" s="204"/>
      <c r="ALK167" s="204"/>
      <c r="ALL167" s="199"/>
      <c r="ALM167" s="167"/>
      <c r="ALN167" s="199"/>
      <c r="ALO167" s="200"/>
      <c r="ALP167" s="201"/>
      <c r="ALQ167" s="202"/>
      <c r="ALR167" s="202"/>
      <c r="ALS167" s="202"/>
      <c r="ALT167" s="202"/>
      <c r="ALU167" s="203"/>
      <c r="ALV167" s="204"/>
      <c r="ALW167" s="204"/>
      <c r="ALX167" s="204"/>
      <c r="ALY167" s="205"/>
      <c r="ALZ167" s="206"/>
      <c r="AMA167" s="207"/>
      <c r="AMB167" s="207"/>
      <c r="AMC167" s="208"/>
      <c r="AMD167" s="209"/>
      <c r="AME167" s="207"/>
      <c r="AMF167" s="210"/>
      <c r="AMG167" s="209"/>
      <c r="AMH167" s="204"/>
      <c r="AMI167" s="204"/>
      <c r="AMJ167" s="204"/>
      <c r="AMK167" s="199"/>
      <c r="AML167" s="167"/>
      <c r="AMM167" s="199"/>
      <c r="AMN167" s="200"/>
      <c r="AMO167" s="201"/>
      <c r="AMP167" s="202"/>
      <c r="AMQ167" s="202"/>
      <c r="AMR167" s="202"/>
      <c r="AMS167" s="202"/>
      <c r="AMT167" s="203"/>
      <c r="AMU167" s="204"/>
      <c r="AMV167" s="204"/>
      <c r="AMW167" s="204"/>
      <c r="AMX167" s="205"/>
      <c r="AMY167" s="206"/>
      <c r="AMZ167" s="207"/>
      <c r="ANA167" s="207"/>
      <c r="ANB167" s="208"/>
      <c r="ANC167" s="209"/>
      <c r="AND167" s="207"/>
      <c r="ANE167" s="210"/>
      <c r="ANF167" s="209"/>
      <c r="ANG167" s="204"/>
      <c r="ANH167" s="204"/>
      <c r="ANI167" s="204"/>
      <c r="ANJ167" s="199"/>
      <c r="ANK167" s="167"/>
      <c r="ANL167" s="199"/>
      <c r="ANM167" s="200"/>
      <c r="ANN167" s="201"/>
      <c r="ANO167" s="202"/>
      <c r="ANP167" s="202"/>
      <c r="ANQ167" s="202"/>
      <c r="ANR167" s="202"/>
      <c r="ANS167" s="203"/>
      <c r="ANT167" s="204"/>
      <c r="ANU167" s="204"/>
      <c r="ANV167" s="204"/>
      <c r="ANW167" s="205"/>
      <c r="ANX167" s="206"/>
      <c r="ANY167" s="207"/>
      <c r="ANZ167" s="207"/>
      <c r="AOA167" s="208"/>
      <c r="AOB167" s="209"/>
      <c r="AOC167" s="207"/>
      <c r="AOD167" s="210"/>
      <c r="AOE167" s="209"/>
      <c r="AOF167" s="204"/>
      <c r="AOG167" s="204"/>
      <c r="AOH167" s="204"/>
      <c r="AOI167" s="199"/>
      <c r="AOJ167" s="167"/>
      <c r="AOK167" s="199"/>
      <c r="AOL167" s="200"/>
      <c r="AOM167" s="201"/>
      <c r="AON167" s="202"/>
      <c r="AOO167" s="202"/>
      <c r="AOP167" s="202"/>
      <c r="AOQ167" s="202"/>
      <c r="AOR167" s="203"/>
      <c r="AOS167" s="204"/>
      <c r="AOT167" s="204"/>
      <c r="AOU167" s="204"/>
      <c r="AOV167" s="205"/>
      <c r="AOW167" s="206"/>
      <c r="AOX167" s="207"/>
      <c r="AOY167" s="207"/>
      <c r="AOZ167" s="208"/>
      <c r="APA167" s="209"/>
      <c r="APB167" s="207"/>
      <c r="APC167" s="210"/>
      <c r="APD167" s="209"/>
      <c r="APE167" s="204"/>
      <c r="APF167" s="204"/>
      <c r="APG167" s="204"/>
      <c r="APH167" s="199"/>
      <c r="API167" s="167"/>
      <c r="APJ167" s="199"/>
      <c r="APK167" s="200"/>
      <c r="APL167" s="201"/>
      <c r="APM167" s="202"/>
      <c r="APN167" s="202"/>
      <c r="APO167" s="202"/>
      <c r="APP167" s="202"/>
      <c r="APQ167" s="203"/>
      <c r="APR167" s="204"/>
      <c r="APS167" s="204"/>
      <c r="APT167" s="204"/>
      <c r="APU167" s="205"/>
      <c r="APV167" s="206"/>
      <c r="APW167" s="207"/>
      <c r="APX167" s="207"/>
      <c r="APY167" s="208"/>
      <c r="APZ167" s="209"/>
      <c r="AQA167" s="207"/>
      <c r="AQB167" s="210"/>
      <c r="AQC167" s="209"/>
      <c r="AQD167" s="204"/>
      <c r="AQE167" s="204"/>
      <c r="AQF167" s="204"/>
      <c r="AQG167" s="199"/>
      <c r="AQH167" s="167"/>
      <c r="AQI167" s="199"/>
      <c r="AQJ167" s="200"/>
      <c r="AQK167" s="201"/>
      <c r="AQL167" s="202"/>
      <c r="AQM167" s="202"/>
      <c r="AQN167" s="202"/>
      <c r="AQO167" s="202"/>
      <c r="AQP167" s="203"/>
      <c r="AQQ167" s="204"/>
      <c r="AQR167" s="204"/>
      <c r="AQS167" s="204"/>
      <c r="AQT167" s="205"/>
      <c r="AQU167" s="206"/>
      <c r="AQV167" s="207"/>
      <c r="AQW167" s="207"/>
      <c r="AQX167" s="208"/>
      <c r="AQY167" s="209"/>
      <c r="AQZ167" s="207"/>
      <c r="ARA167" s="210"/>
      <c r="ARB167" s="209"/>
      <c r="ARC167" s="204"/>
      <c r="ARD167" s="204"/>
      <c r="ARE167" s="204"/>
      <c r="ARF167" s="199"/>
      <c r="ARG167" s="167"/>
      <c r="ARH167" s="199"/>
      <c r="ARI167" s="200"/>
      <c r="ARJ167" s="201"/>
      <c r="ARK167" s="202"/>
      <c r="ARL167" s="202"/>
      <c r="ARM167" s="202"/>
      <c r="ARN167" s="202"/>
      <c r="ARO167" s="203"/>
      <c r="ARP167" s="204"/>
      <c r="ARQ167" s="204"/>
      <c r="ARR167" s="204"/>
      <c r="ARS167" s="205"/>
      <c r="ART167" s="206"/>
      <c r="ARU167" s="207"/>
      <c r="ARV167" s="207"/>
      <c r="ARW167" s="208"/>
      <c r="ARX167" s="209"/>
      <c r="ARY167" s="207"/>
      <c r="ARZ167" s="210"/>
      <c r="ASA167" s="209"/>
      <c r="ASB167" s="204"/>
      <c r="ASC167" s="204"/>
      <c r="ASD167" s="204"/>
      <c r="ASE167" s="199"/>
      <c r="ASF167" s="167"/>
      <c r="ASG167" s="199"/>
      <c r="ASH167" s="200"/>
      <c r="ASI167" s="201"/>
      <c r="ASJ167" s="202"/>
      <c r="ASK167" s="202"/>
      <c r="ASL167" s="202"/>
      <c r="ASM167" s="202"/>
      <c r="ASN167" s="203"/>
      <c r="ASO167" s="204"/>
      <c r="ASP167" s="204"/>
      <c r="ASQ167" s="204"/>
      <c r="ASR167" s="205"/>
      <c r="ASS167" s="206"/>
      <c r="AST167" s="207"/>
      <c r="ASU167" s="207"/>
      <c r="ASV167" s="208"/>
      <c r="ASW167" s="209"/>
      <c r="ASX167" s="207"/>
      <c r="ASY167" s="210"/>
      <c r="ASZ167" s="209"/>
      <c r="ATA167" s="204"/>
      <c r="ATB167" s="204"/>
      <c r="ATC167" s="204"/>
      <c r="ATD167" s="199"/>
      <c r="ATE167" s="167"/>
      <c r="ATF167" s="199"/>
      <c r="ATG167" s="200"/>
      <c r="ATH167" s="201"/>
      <c r="ATI167" s="202"/>
      <c r="ATJ167" s="202"/>
      <c r="ATK167" s="202"/>
      <c r="ATL167" s="202"/>
      <c r="ATM167" s="203"/>
      <c r="ATN167" s="204"/>
      <c r="ATO167" s="204"/>
      <c r="ATP167" s="204"/>
      <c r="ATQ167" s="205"/>
      <c r="ATR167" s="206"/>
      <c r="ATS167" s="207"/>
      <c r="ATT167" s="207"/>
      <c r="ATU167" s="208"/>
      <c r="ATV167" s="209"/>
      <c r="ATW167" s="207"/>
      <c r="ATX167" s="210"/>
      <c r="ATY167" s="209"/>
      <c r="ATZ167" s="204"/>
      <c r="AUA167" s="204"/>
      <c r="AUB167" s="204"/>
      <c r="AUC167" s="199"/>
      <c r="AUD167" s="167"/>
      <c r="AUE167" s="199"/>
      <c r="AUF167" s="200"/>
      <c r="AUG167" s="201"/>
      <c r="AUH167" s="202"/>
      <c r="AUI167" s="202"/>
      <c r="AUJ167" s="202"/>
      <c r="AUK167" s="202"/>
      <c r="AUL167" s="203"/>
      <c r="AUM167" s="204"/>
      <c r="AUN167" s="204"/>
      <c r="AUO167" s="204"/>
      <c r="AUP167" s="205"/>
      <c r="AUQ167" s="206"/>
      <c r="AUR167" s="207"/>
      <c r="AUS167" s="207"/>
      <c r="AUT167" s="208"/>
      <c r="AUU167" s="209"/>
      <c r="AUV167" s="207"/>
      <c r="AUW167" s="210"/>
      <c r="AUX167" s="209"/>
      <c r="AUY167" s="204"/>
      <c r="AUZ167" s="204"/>
      <c r="AVA167" s="204"/>
      <c r="AVB167" s="199"/>
      <c r="AVC167" s="167"/>
      <c r="AVD167" s="199"/>
      <c r="AVE167" s="200"/>
      <c r="AVF167" s="201"/>
      <c r="AVG167" s="202"/>
      <c r="AVH167" s="202"/>
      <c r="AVI167" s="202"/>
      <c r="AVJ167" s="202"/>
      <c r="AVK167" s="203"/>
      <c r="AVL167" s="204"/>
      <c r="AVM167" s="204"/>
      <c r="AVN167" s="204"/>
      <c r="AVO167" s="205"/>
      <c r="AVP167" s="206"/>
      <c r="AVQ167" s="207"/>
      <c r="AVR167" s="207"/>
      <c r="AVS167" s="208"/>
      <c r="AVT167" s="209"/>
      <c r="AVU167" s="207"/>
      <c r="AVV167" s="210"/>
      <c r="AVW167" s="209"/>
      <c r="AVX167" s="204"/>
      <c r="AVY167" s="204"/>
      <c r="AVZ167" s="204"/>
      <c r="AWA167" s="199"/>
      <c r="AWB167" s="167"/>
      <c r="AWC167" s="199"/>
      <c r="AWD167" s="200"/>
      <c r="AWE167" s="201"/>
      <c r="AWF167" s="202"/>
      <c r="AWG167" s="202"/>
      <c r="AWH167" s="202"/>
      <c r="AWI167" s="202"/>
      <c r="AWJ167" s="203"/>
      <c r="AWK167" s="204"/>
      <c r="AWL167" s="204"/>
      <c r="AWM167" s="204"/>
      <c r="AWN167" s="205"/>
      <c r="AWO167" s="206"/>
      <c r="AWP167" s="207"/>
      <c r="AWQ167" s="207"/>
      <c r="AWR167" s="208"/>
      <c r="AWS167" s="209"/>
      <c r="AWT167" s="207"/>
      <c r="AWU167" s="210"/>
      <c r="AWV167" s="209"/>
      <c r="AWW167" s="204"/>
      <c r="AWX167" s="204"/>
      <c r="AWY167" s="204"/>
      <c r="AWZ167" s="199"/>
      <c r="AXA167" s="167"/>
      <c r="AXB167" s="199"/>
      <c r="AXC167" s="200"/>
      <c r="AXD167" s="201"/>
      <c r="AXE167" s="202"/>
      <c r="AXF167" s="202"/>
      <c r="AXG167" s="202"/>
      <c r="AXH167" s="202"/>
      <c r="AXI167" s="203"/>
      <c r="AXJ167" s="204"/>
      <c r="AXK167" s="204"/>
      <c r="AXL167" s="204"/>
      <c r="AXM167" s="205"/>
      <c r="AXN167" s="206"/>
      <c r="AXO167" s="207"/>
      <c r="AXP167" s="207"/>
      <c r="AXQ167" s="208"/>
      <c r="AXR167" s="209"/>
      <c r="AXS167" s="207"/>
      <c r="AXT167" s="210"/>
      <c r="AXU167" s="209"/>
      <c r="AXV167" s="204"/>
      <c r="AXW167" s="204"/>
      <c r="AXX167" s="204"/>
      <c r="AXY167" s="199"/>
      <c r="AXZ167" s="167"/>
      <c r="AYA167" s="199"/>
      <c r="AYB167" s="200"/>
      <c r="AYC167" s="201"/>
      <c r="AYD167" s="202"/>
      <c r="AYE167" s="202"/>
      <c r="AYF167" s="202"/>
      <c r="AYG167" s="202"/>
      <c r="AYH167" s="203"/>
      <c r="AYI167" s="204"/>
      <c r="AYJ167" s="204"/>
      <c r="AYK167" s="204"/>
      <c r="AYL167" s="205"/>
      <c r="AYM167" s="206"/>
      <c r="AYN167" s="207"/>
      <c r="AYO167" s="207"/>
      <c r="AYP167" s="208"/>
      <c r="AYQ167" s="209"/>
      <c r="AYR167" s="207"/>
      <c r="AYS167" s="210"/>
      <c r="AYT167" s="209"/>
      <c r="AYU167" s="204"/>
      <c r="AYV167" s="204"/>
      <c r="AYW167" s="204"/>
      <c r="AYX167" s="199"/>
      <c r="AYY167" s="167"/>
      <c r="AYZ167" s="199"/>
      <c r="AZA167" s="200"/>
      <c r="AZB167" s="201"/>
      <c r="AZC167" s="202"/>
      <c r="AZD167" s="202"/>
      <c r="AZE167" s="202"/>
      <c r="AZF167" s="202"/>
      <c r="AZG167" s="203"/>
      <c r="AZH167" s="204"/>
      <c r="AZI167" s="204"/>
      <c r="AZJ167" s="204"/>
      <c r="AZK167" s="205"/>
      <c r="AZL167" s="206"/>
      <c r="AZM167" s="207"/>
      <c r="AZN167" s="207"/>
      <c r="AZO167" s="208"/>
      <c r="AZP167" s="209"/>
      <c r="AZQ167" s="207"/>
      <c r="AZR167" s="210"/>
      <c r="AZS167" s="209"/>
      <c r="AZT167" s="204"/>
      <c r="AZU167" s="204"/>
      <c r="AZV167" s="204"/>
      <c r="AZW167" s="199"/>
      <c r="AZX167" s="167"/>
      <c r="AZY167" s="199"/>
      <c r="AZZ167" s="200"/>
      <c r="BAA167" s="201"/>
      <c r="BAB167" s="202"/>
      <c r="BAC167" s="202"/>
      <c r="BAD167" s="202"/>
      <c r="BAE167" s="202"/>
      <c r="BAF167" s="203"/>
      <c r="BAG167" s="204"/>
      <c r="BAH167" s="204"/>
      <c r="BAI167" s="204"/>
      <c r="BAJ167" s="205"/>
      <c r="BAK167" s="206"/>
      <c r="BAL167" s="207"/>
      <c r="BAM167" s="207"/>
      <c r="BAN167" s="208"/>
      <c r="BAO167" s="209"/>
      <c r="BAP167" s="207"/>
      <c r="BAQ167" s="210"/>
      <c r="BAR167" s="209"/>
      <c r="BAS167" s="204"/>
      <c r="BAT167" s="204"/>
      <c r="BAU167" s="204"/>
      <c r="BAV167" s="199"/>
      <c r="BAW167" s="167"/>
      <c r="BAX167" s="199"/>
      <c r="BAY167" s="200"/>
      <c r="BAZ167" s="201"/>
      <c r="BBA167" s="202"/>
      <c r="BBB167" s="202"/>
      <c r="BBC167" s="202"/>
      <c r="BBD167" s="202"/>
      <c r="BBE167" s="203"/>
      <c r="BBF167" s="204"/>
      <c r="BBG167" s="204"/>
      <c r="BBH167" s="204"/>
      <c r="BBI167" s="205"/>
      <c r="BBJ167" s="206"/>
      <c r="BBK167" s="207"/>
      <c r="BBL167" s="207"/>
      <c r="BBM167" s="208"/>
      <c r="BBN167" s="209"/>
      <c r="BBO167" s="207"/>
      <c r="BBP167" s="210"/>
      <c r="BBQ167" s="209"/>
      <c r="BBR167" s="204"/>
      <c r="BBS167" s="204"/>
      <c r="BBT167" s="204"/>
      <c r="BBU167" s="199"/>
      <c r="BBV167" s="167"/>
      <c r="BBW167" s="199"/>
      <c r="BBX167" s="200"/>
      <c r="BBY167" s="201"/>
      <c r="BBZ167" s="202"/>
      <c r="BCA167" s="202"/>
      <c r="BCB167" s="202"/>
      <c r="BCC167" s="202"/>
      <c r="BCD167" s="203"/>
      <c r="BCE167" s="204"/>
      <c r="BCF167" s="204"/>
      <c r="BCG167" s="204"/>
      <c r="BCH167" s="205"/>
      <c r="BCI167" s="206"/>
      <c r="BCJ167" s="207"/>
      <c r="BCK167" s="207"/>
      <c r="BCL167" s="208"/>
      <c r="BCM167" s="209"/>
      <c r="BCN167" s="207"/>
      <c r="BCO167" s="210"/>
      <c r="BCP167" s="209"/>
      <c r="BCQ167" s="204"/>
      <c r="BCR167" s="204"/>
      <c r="BCS167" s="204"/>
      <c r="BCT167" s="199"/>
      <c r="BCU167" s="167"/>
      <c r="BCV167" s="199"/>
      <c r="BCW167" s="200"/>
      <c r="BCX167" s="201"/>
      <c r="BCY167" s="202"/>
      <c r="BCZ167" s="202"/>
      <c r="BDA167" s="202"/>
      <c r="BDB167" s="202"/>
      <c r="BDC167" s="203"/>
      <c r="BDD167" s="204"/>
      <c r="BDE167" s="204"/>
      <c r="BDF167" s="204"/>
      <c r="BDG167" s="205"/>
      <c r="BDH167" s="206"/>
      <c r="BDI167" s="207"/>
      <c r="BDJ167" s="207"/>
      <c r="BDK167" s="208"/>
      <c r="BDL167" s="209"/>
      <c r="BDM167" s="207"/>
      <c r="BDN167" s="210"/>
      <c r="BDO167" s="209"/>
      <c r="BDP167" s="204"/>
      <c r="BDQ167" s="204"/>
      <c r="BDR167" s="204"/>
      <c r="BDS167" s="199"/>
      <c r="BDT167" s="167"/>
      <c r="BDU167" s="199"/>
      <c r="BDV167" s="200"/>
      <c r="BDW167" s="201"/>
      <c r="BDX167" s="202"/>
      <c r="BDY167" s="202"/>
      <c r="BDZ167" s="202"/>
      <c r="BEA167" s="202"/>
      <c r="BEB167" s="203"/>
      <c r="BEC167" s="204"/>
      <c r="BED167" s="204"/>
      <c r="BEE167" s="204"/>
      <c r="BEF167" s="205"/>
      <c r="BEG167" s="206"/>
      <c r="BEH167" s="207"/>
      <c r="BEI167" s="207"/>
      <c r="BEJ167" s="208"/>
      <c r="BEK167" s="209"/>
      <c r="BEL167" s="207"/>
      <c r="BEM167" s="210"/>
      <c r="BEN167" s="209"/>
      <c r="BEO167" s="204"/>
      <c r="BEP167" s="204"/>
      <c r="BEQ167" s="204"/>
      <c r="BER167" s="199"/>
      <c r="BES167" s="167"/>
      <c r="BET167" s="199"/>
      <c r="BEU167" s="200"/>
      <c r="BEV167" s="201"/>
      <c r="BEW167" s="202"/>
      <c r="BEX167" s="202"/>
      <c r="BEY167" s="202"/>
      <c r="BEZ167" s="202"/>
      <c r="BFA167" s="203"/>
      <c r="BFB167" s="204"/>
      <c r="BFC167" s="204"/>
      <c r="BFD167" s="204"/>
      <c r="BFE167" s="205"/>
      <c r="BFF167" s="206"/>
      <c r="BFG167" s="207"/>
      <c r="BFH167" s="207"/>
      <c r="BFI167" s="208"/>
      <c r="BFJ167" s="209"/>
      <c r="BFK167" s="207"/>
      <c r="BFL167" s="210"/>
      <c r="BFM167" s="209"/>
      <c r="BFN167" s="204"/>
      <c r="BFO167" s="204"/>
      <c r="BFP167" s="204"/>
      <c r="BFQ167" s="199"/>
      <c r="BFR167" s="167"/>
      <c r="BFS167" s="199"/>
      <c r="BFT167" s="200"/>
      <c r="BFU167" s="201"/>
      <c r="BFV167" s="202"/>
      <c r="BFW167" s="202"/>
      <c r="BFX167" s="202"/>
      <c r="BFY167" s="202"/>
      <c r="BFZ167" s="203"/>
      <c r="BGA167" s="204"/>
      <c r="BGB167" s="204"/>
      <c r="BGC167" s="204"/>
      <c r="BGD167" s="205"/>
      <c r="BGE167" s="206"/>
      <c r="BGF167" s="207"/>
      <c r="BGG167" s="207"/>
      <c r="BGH167" s="208"/>
      <c r="BGI167" s="209"/>
      <c r="BGJ167" s="207"/>
      <c r="BGK167" s="210"/>
      <c r="BGL167" s="209"/>
      <c r="BGM167" s="204"/>
      <c r="BGN167" s="204"/>
      <c r="BGO167" s="204"/>
      <c r="BGP167" s="199"/>
      <c r="BGQ167" s="167"/>
      <c r="BGR167" s="199"/>
      <c r="BGS167" s="200"/>
      <c r="BGT167" s="201"/>
      <c r="BGU167" s="202"/>
      <c r="BGV167" s="202"/>
      <c r="BGW167" s="202"/>
      <c r="BGX167" s="202"/>
      <c r="BGY167" s="203"/>
      <c r="BGZ167" s="204"/>
      <c r="BHA167" s="204"/>
      <c r="BHB167" s="204"/>
      <c r="BHC167" s="205"/>
      <c r="BHD167" s="206"/>
      <c r="BHE167" s="207"/>
      <c r="BHF167" s="207"/>
      <c r="BHG167" s="208"/>
      <c r="BHH167" s="209"/>
      <c r="BHI167" s="207"/>
      <c r="BHJ167" s="210"/>
      <c r="BHK167" s="209"/>
      <c r="BHL167" s="204"/>
      <c r="BHM167" s="204"/>
      <c r="BHN167" s="204"/>
      <c r="BHO167" s="199"/>
      <c r="BHP167" s="167"/>
      <c r="BHQ167" s="199"/>
      <c r="BHR167" s="200"/>
      <c r="BHS167" s="201"/>
      <c r="BHT167" s="202"/>
      <c r="BHU167" s="202"/>
      <c r="BHV167" s="202"/>
      <c r="BHW167" s="202"/>
      <c r="BHX167" s="203"/>
      <c r="BHY167" s="204"/>
      <c r="BHZ167" s="204"/>
      <c r="BIA167" s="204"/>
      <c r="BIB167" s="205"/>
      <c r="BIC167" s="206"/>
      <c r="BID167" s="207"/>
      <c r="BIE167" s="207"/>
      <c r="BIF167" s="208"/>
      <c r="BIG167" s="209"/>
      <c r="BIH167" s="207"/>
      <c r="BII167" s="210"/>
      <c r="BIJ167" s="209"/>
      <c r="BIK167" s="204"/>
      <c r="BIL167" s="204"/>
      <c r="BIM167" s="204"/>
      <c r="BIN167" s="199"/>
      <c r="BIO167" s="167"/>
      <c r="BIP167" s="199"/>
      <c r="BIQ167" s="200"/>
      <c r="BIR167" s="201"/>
      <c r="BIS167" s="202"/>
      <c r="BIT167" s="202"/>
      <c r="BIU167" s="202"/>
      <c r="BIV167" s="202"/>
      <c r="BIW167" s="203"/>
      <c r="BIX167" s="204"/>
      <c r="BIY167" s="204"/>
      <c r="BIZ167" s="204"/>
      <c r="BJA167" s="205"/>
      <c r="BJB167" s="206"/>
      <c r="BJC167" s="207"/>
      <c r="BJD167" s="207"/>
      <c r="BJE167" s="208"/>
      <c r="BJF167" s="209"/>
      <c r="BJG167" s="207"/>
      <c r="BJH167" s="210"/>
      <c r="BJI167" s="209"/>
      <c r="BJJ167" s="204"/>
      <c r="BJK167" s="204"/>
      <c r="BJL167" s="204"/>
      <c r="BJM167" s="199"/>
      <c r="BJN167" s="167"/>
      <c r="BJO167" s="199"/>
      <c r="BJP167" s="200"/>
      <c r="BJQ167" s="201"/>
      <c r="BJR167" s="202"/>
      <c r="BJS167" s="202"/>
      <c r="BJT167" s="202"/>
      <c r="BJU167" s="202"/>
      <c r="BJV167" s="203"/>
      <c r="BJW167" s="204"/>
      <c r="BJX167" s="204"/>
      <c r="BJY167" s="204"/>
      <c r="BJZ167" s="205"/>
      <c r="BKA167" s="206"/>
      <c r="BKB167" s="207"/>
      <c r="BKC167" s="207"/>
      <c r="BKD167" s="208"/>
      <c r="BKE167" s="209"/>
      <c r="BKF167" s="207"/>
      <c r="BKG167" s="210"/>
      <c r="BKH167" s="209"/>
      <c r="BKI167" s="204"/>
      <c r="BKJ167" s="204"/>
      <c r="BKK167" s="204"/>
      <c r="BKL167" s="199"/>
      <c r="BKM167" s="167"/>
      <c r="BKN167" s="199"/>
      <c r="BKO167" s="200"/>
      <c r="BKP167" s="201"/>
      <c r="BKQ167" s="202"/>
      <c r="BKR167" s="202"/>
      <c r="BKS167" s="202"/>
      <c r="BKT167" s="202"/>
      <c r="BKU167" s="203"/>
      <c r="BKV167" s="204"/>
      <c r="BKW167" s="204"/>
      <c r="BKX167" s="204"/>
      <c r="BKY167" s="205"/>
      <c r="BKZ167" s="206"/>
      <c r="BLA167" s="207"/>
      <c r="BLB167" s="207"/>
      <c r="BLC167" s="208"/>
      <c r="BLD167" s="209"/>
      <c r="BLE167" s="207"/>
      <c r="BLF167" s="210"/>
      <c r="BLG167" s="209"/>
      <c r="BLH167" s="204"/>
      <c r="BLI167" s="204"/>
      <c r="BLJ167" s="204"/>
      <c r="BLK167" s="199"/>
      <c r="BLL167" s="167"/>
      <c r="BLM167" s="199"/>
      <c r="BLN167" s="200"/>
      <c r="BLO167" s="201"/>
      <c r="BLP167" s="202"/>
      <c r="BLQ167" s="202"/>
      <c r="BLR167" s="202"/>
      <c r="BLS167" s="202"/>
      <c r="BLT167" s="203"/>
      <c r="BLU167" s="204"/>
      <c r="BLV167" s="204"/>
      <c r="BLW167" s="204"/>
      <c r="BLX167" s="205"/>
      <c r="BLY167" s="206"/>
      <c r="BLZ167" s="207"/>
      <c r="BMA167" s="207"/>
      <c r="BMB167" s="208"/>
      <c r="BMC167" s="209"/>
      <c r="BMD167" s="207"/>
      <c r="BME167" s="210"/>
      <c r="BMF167" s="209"/>
      <c r="BMG167" s="204"/>
      <c r="BMH167" s="204"/>
      <c r="BMI167" s="204"/>
      <c r="BMJ167" s="199"/>
      <c r="BMK167" s="167"/>
      <c r="BML167" s="199"/>
      <c r="BMM167" s="200"/>
      <c r="BMN167" s="201"/>
      <c r="BMO167" s="202"/>
      <c r="BMP167" s="202"/>
      <c r="BMQ167" s="202"/>
      <c r="BMR167" s="202"/>
      <c r="BMS167" s="203"/>
      <c r="BMT167" s="204"/>
      <c r="BMU167" s="204"/>
      <c r="BMV167" s="204"/>
      <c r="BMW167" s="205"/>
      <c r="BMX167" s="206"/>
      <c r="BMY167" s="207"/>
      <c r="BMZ167" s="207"/>
      <c r="BNA167" s="208"/>
      <c r="BNB167" s="209"/>
      <c r="BNC167" s="207"/>
      <c r="BND167" s="210"/>
      <c r="BNE167" s="209"/>
      <c r="BNF167" s="204"/>
      <c r="BNG167" s="204"/>
      <c r="BNH167" s="204"/>
      <c r="BNI167" s="199"/>
      <c r="BNJ167" s="167"/>
      <c r="BNK167" s="199"/>
      <c r="BNL167" s="200"/>
      <c r="BNM167" s="201"/>
      <c r="BNN167" s="202"/>
      <c r="BNO167" s="202"/>
      <c r="BNP167" s="202"/>
      <c r="BNQ167" s="202"/>
      <c r="BNR167" s="203"/>
      <c r="BNS167" s="204"/>
      <c r="BNT167" s="204"/>
      <c r="BNU167" s="204"/>
      <c r="BNV167" s="205"/>
      <c r="BNW167" s="206"/>
      <c r="BNX167" s="207"/>
      <c r="BNY167" s="207"/>
      <c r="BNZ167" s="208"/>
      <c r="BOA167" s="209"/>
      <c r="BOB167" s="207"/>
      <c r="BOC167" s="210"/>
      <c r="BOD167" s="209"/>
      <c r="BOE167" s="204"/>
      <c r="BOF167" s="204"/>
      <c r="BOG167" s="204"/>
      <c r="BOH167" s="199"/>
      <c r="BOI167" s="167"/>
      <c r="BOJ167" s="199"/>
      <c r="BOK167" s="200"/>
      <c r="BOL167" s="201"/>
      <c r="BOM167" s="202"/>
      <c r="BON167" s="202"/>
      <c r="BOO167" s="202"/>
      <c r="BOP167" s="202"/>
      <c r="BOQ167" s="203"/>
      <c r="BOR167" s="204"/>
      <c r="BOS167" s="204"/>
      <c r="BOT167" s="204"/>
      <c r="BOU167" s="205"/>
      <c r="BOV167" s="206"/>
      <c r="BOW167" s="207"/>
      <c r="BOX167" s="207"/>
      <c r="BOY167" s="208"/>
      <c r="BOZ167" s="209"/>
      <c r="BPA167" s="207"/>
      <c r="BPB167" s="210"/>
      <c r="BPC167" s="209"/>
      <c r="BPD167" s="204"/>
      <c r="BPE167" s="204"/>
      <c r="BPF167" s="204"/>
      <c r="BPG167" s="199"/>
      <c r="BPH167" s="167"/>
      <c r="BPI167" s="199"/>
      <c r="BPJ167" s="200"/>
      <c r="BPK167" s="201"/>
      <c r="BPL167" s="202"/>
      <c r="BPM167" s="202"/>
      <c r="BPN167" s="202"/>
      <c r="BPO167" s="202"/>
      <c r="BPP167" s="203"/>
      <c r="BPQ167" s="204"/>
      <c r="BPR167" s="204"/>
      <c r="BPS167" s="204"/>
      <c r="BPT167" s="205"/>
      <c r="BPU167" s="206"/>
      <c r="BPV167" s="207"/>
      <c r="BPW167" s="207"/>
      <c r="BPX167" s="208"/>
      <c r="BPY167" s="209"/>
      <c r="BPZ167" s="207"/>
      <c r="BQA167" s="210"/>
      <c r="BQB167" s="209"/>
      <c r="BQC167" s="204"/>
      <c r="BQD167" s="204"/>
      <c r="BQE167" s="204"/>
      <c r="BQF167" s="199"/>
      <c r="BQG167" s="167"/>
      <c r="BQH167" s="199"/>
      <c r="BQI167" s="200"/>
      <c r="BQJ167" s="201"/>
      <c r="BQK167" s="202"/>
      <c r="BQL167" s="202"/>
      <c r="BQM167" s="202"/>
      <c r="BQN167" s="202"/>
      <c r="BQO167" s="203"/>
      <c r="BQP167" s="204"/>
      <c r="BQQ167" s="204"/>
      <c r="BQR167" s="204"/>
      <c r="BQS167" s="205"/>
      <c r="BQT167" s="206"/>
      <c r="BQU167" s="207"/>
      <c r="BQV167" s="207"/>
      <c r="BQW167" s="208"/>
      <c r="BQX167" s="209"/>
      <c r="BQY167" s="207"/>
      <c r="BQZ167" s="210"/>
      <c r="BRA167" s="209"/>
      <c r="BRB167" s="204"/>
      <c r="BRC167" s="204"/>
      <c r="BRD167" s="204"/>
      <c r="BRE167" s="199"/>
      <c r="BRF167" s="167"/>
      <c r="BRG167" s="199"/>
      <c r="BRH167" s="200"/>
      <c r="BRI167" s="201"/>
      <c r="BRJ167" s="202"/>
      <c r="BRK167" s="202"/>
      <c r="BRL167" s="202"/>
      <c r="BRM167" s="202"/>
      <c r="BRN167" s="203"/>
      <c r="BRO167" s="204"/>
      <c r="BRP167" s="204"/>
      <c r="BRQ167" s="204"/>
      <c r="BRR167" s="205"/>
      <c r="BRS167" s="206"/>
      <c r="BRT167" s="207"/>
      <c r="BRU167" s="207"/>
      <c r="BRV167" s="208"/>
      <c r="BRW167" s="209"/>
      <c r="BRX167" s="207"/>
      <c r="BRY167" s="210"/>
      <c r="BRZ167" s="209"/>
      <c r="BSA167" s="204"/>
      <c r="BSB167" s="204"/>
      <c r="BSC167" s="204"/>
      <c r="BSD167" s="199"/>
      <c r="BSE167" s="167"/>
      <c r="BSF167" s="199"/>
      <c r="BSG167" s="200"/>
      <c r="BSH167" s="201"/>
      <c r="BSI167" s="202"/>
      <c r="BSJ167" s="202"/>
      <c r="BSK167" s="202"/>
      <c r="BSL167" s="202"/>
      <c r="BSM167" s="203"/>
      <c r="BSN167" s="204"/>
      <c r="BSO167" s="204"/>
      <c r="BSP167" s="204"/>
      <c r="BSQ167" s="205"/>
      <c r="BSR167" s="206"/>
      <c r="BSS167" s="207"/>
      <c r="BST167" s="207"/>
      <c r="BSU167" s="208"/>
      <c r="BSV167" s="209"/>
      <c r="BSW167" s="207"/>
      <c r="BSX167" s="210"/>
      <c r="BSY167" s="209"/>
      <c r="BSZ167" s="204"/>
      <c r="BTA167" s="204"/>
      <c r="BTB167" s="204"/>
      <c r="BTC167" s="199"/>
      <c r="BTD167" s="167"/>
      <c r="BTE167" s="199"/>
      <c r="BTF167" s="200"/>
      <c r="BTG167" s="201"/>
      <c r="BTH167" s="202"/>
      <c r="BTI167" s="202"/>
      <c r="BTJ167" s="202"/>
      <c r="BTK167" s="202"/>
      <c r="BTL167" s="203"/>
      <c r="BTM167" s="204"/>
      <c r="BTN167" s="204"/>
      <c r="BTO167" s="204"/>
      <c r="BTP167" s="205"/>
      <c r="BTQ167" s="206"/>
      <c r="BTR167" s="207"/>
      <c r="BTS167" s="207"/>
      <c r="BTT167" s="208"/>
      <c r="BTU167" s="209"/>
      <c r="BTV167" s="207"/>
      <c r="BTW167" s="210"/>
      <c r="BTX167" s="209"/>
      <c r="BTY167" s="204"/>
      <c r="BTZ167" s="204"/>
      <c r="BUA167" s="204"/>
      <c r="BUB167" s="199"/>
      <c r="BUC167" s="167"/>
      <c r="BUD167" s="199"/>
      <c r="BUE167" s="200"/>
      <c r="BUF167" s="201"/>
      <c r="BUG167" s="202"/>
      <c r="BUH167" s="202"/>
      <c r="BUI167" s="202"/>
      <c r="BUJ167" s="202"/>
      <c r="BUK167" s="203"/>
      <c r="BUL167" s="204"/>
      <c r="BUM167" s="204"/>
      <c r="BUN167" s="204"/>
      <c r="BUO167" s="205"/>
      <c r="BUP167" s="206"/>
      <c r="BUQ167" s="207"/>
      <c r="BUR167" s="207"/>
      <c r="BUS167" s="208"/>
      <c r="BUT167" s="209"/>
      <c r="BUU167" s="207"/>
      <c r="BUV167" s="210"/>
      <c r="BUW167" s="209"/>
      <c r="BUX167" s="204"/>
      <c r="BUY167" s="204"/>
      <c r="BUZ167" s="204"/>
      <c r="BVA167" s="199"/>
      <c r="BVB167" s="167"/>
      <c r="BVC167" s="199"/>
      <c r="BVD167" s="200"/>
      <c r="BVE167" s="201"/>
      <c r="BVF167" s="202"/>
      <c r="BVG167" s="202"/>
      <c r="BVH167" s="202"/>
      <c r="BVI167" s="202"/>
      <c r="BVJ167" s="203"/>
      <c r="BVK167" s="204"/>
      <c r="BVL167" s="204"/>
      <c r="BVM167" s="204"/>
      <c r="BVN167" s="205"/>
      <c r="BVO167" s="206"/>
      <c r="BVP167" s="207"/>
      <c r="BVQ167" s="207"/>
      <c r="BVR167" s="208"/>
      <c r="BVS167" s="209"/>
      <c r="BVT167" s="207"/>
      <c r="BVU167" s="210"/>
      <c r="BVV167" s="209"/>
      <c r="BVW167" s="204"/>
      <c r="BVX167" s="204"/>
      <c r="BVY167" s="204"/>
      <c r="BVZ167" s="199"/>
      <c r="BWA167" s="167"/>
      <c r="BWB167" s="199"/>
      <c r="BWC167" s="200"/>
      <c r="BWD167" s="201"/>
      <c r="BWE167" s="202"/>
      <c r="BWF167" s="202"/>
      <c r="BWG167" s="202"/>
      <c r="BWH167" s="202"/>
      <c r="BWI167" s="203"/>
      <c r="BWJ167" s="204"/>
      <c r="BWK167" s="204"/>
      <c r="BWL167" s="204"/>
      <c r="BWM167" s="205"/>
      <c r="BWN167" s="206"/>
      <c r="BWO167" s="207"/>
      <c r="BWP167" s="207"/>
      <c r="BWQ167" s="208"/>
      <c r="BWR167" s="209"/>
      <c r="BWS167" s="207"/>
      <c r="BWT167" s="210"/>
      <c r="BWU167" s="209"/>
      <c r="BWV167" s="204"/>
      <c r="BWW167" s="204"/>
      <c r="BWX167" s="204"/>
      <c r="BWY167" s="199"/>
      <c r="BWZ167" s="167"/>
      <c r="BXA167" s="199"/>
      <c r="BXB167" s="200"/>
      <c r="BXC167" s="201"/>
      <c r="BXD167" s="202"/>
      <c r="BXE167" s="202"/>
      <c r="BXF167" s="202"/>
      <c r="BXG167" s="202"/>
      <c r="BXH167" s="203"/>
      <c r="BXI167" s="204"/>
      <c r="BXJ167" s="204"/>
      <c r="BXK167" s="204"/>
      <c r="BXL167" s="205"/>
      <c r="BXM167" s="206"/>
      <c r="BXN167" s="207"/>
      <c r="BXO167" s="207"/>
      <c r="BXP167" s="208"/>
      <c r="BXQ167" s="209"/>
      <c r="BXR167" s="207"/>
      <c r="BXS167" s="210"/>
      <c r="BXT167" s="209"/>
      <c r="BXU167" s="204"/>
      <c r="BXV167" s="204"/>
      <c r="BXW167" s="204"/>
      <c r="BXX167" s="199"/>
      <c r="BXY167" s="167"/>
      <c r="BXZ167" s="199"/>
      <c r="BYA167" s="200"/>
      <c r="BYB167" s="201"/>
      <c r="BYC167" s="202"/>
      <c r="BYD167" s="202"/>
      <c r="BYE167" s="202"/>
      <c r="BYF167" s="202"/>
      <c r="BYG167" s="203"/>
      <c r="BYH167" s="204"/>
      <c r="BYI167" s="204"/>
      <c r="BYJ167" s="204"/>
      <c r="BYK167" s="205"/>
      <c r="BYL167" s="206"/>
      <c r="BYM167" s="207"/>
      <c r="BYN167" s="207"/>
      <c r="BYO167" s="208"/>
      <c r="BYP167" s="209"/>
      <c r="BYQ167" s="207"/>
      <c r="BYR167" s="210"/>
      <c r="BYS167" s="209"/>
      <c r="BYT167" s="204"/>
      <c r="BYU167" s="204"/>
      <c r="BYV167" s="204"/>
      <c r="BYW167" s="199"/>
      <c r="BYX167" s="167"/>
      <c r="BYY167" s="199"/>
      <c r="BYZ167" s="200"/>
      <c r="BZA167" s="201"/>
      <c r="BZB167" s="202"/>
      <c r="BZC167" s="202"/>
      <c r="BZD167" s="202"/>
      <c r="BZE167" s="202"/>
      <c r="BZF167" s="203"/>
      <c r="BZG167" s="204"/>
      <c r="BZH167" s="204"/>
      <c r="BZI167" s="204"/>
      <c r="BZJ167" s="205"/>
      <c r="BZK167" s="206"/>
      <c r="BZL167" s="207"/>
      <c r="BZM167" s="207"/>
      <c r="BZN167" s="208"/>
      <c r="BZO167" s="209"/>
      <c r="BZP167" s="207"/>
      <c r="BZQ167" s="210"/>
      <c r="BZR167" s="209"/>
      <c r="BZS167" s="204"/>
      <c r="BZT167" s="204"/>
      <c r="BZU167" s="204"/>
      <c r="BZV167" s="199"/>
      <c r="BZW167" s="167"/>
      <c r="BZX167" s="199"/>
      <c r="BZY167" s="200"/>
      <c r="BZZ167" s="201"/>
      <c r="CAA167" s="202"/>
      <c r="CAB167" s="202"/>
      <c r="CAC167" s="202"/>
      <c r="CAD167" s="202"/>
      <c r="CAE167" s="203"/>
      <c r="CAF167" s="204"/>
      <c r="CAG167" s="204"/>
      <c r="CAH167" s="204"/>
      <c r="CAI167" s="205"/>
      <c r="CAJ167" s="206"/>
      <c r="CAK167" s="207"/>
      <c r="CAL167" s="207"/>
      <c r="CAM167" s="208"/>
      <c r="CAN167" s="209"/>
      <c r="CAO167" s="207"/>
      <c r="CAP167" s="210"/>
      <c r="CAQ167" s="209"/>
      <c r="CAR167" s="204"/>
      <c r="CAS167" s="204"/>
      <c r="CAT167" s="204"/>
      <c r="CAU167" s="199"/>
      <c r="CAV167" s="167"/>
      <c r="CAW167" s="199"/>
      <c r="CAX167" s="200"/>
      <c r="CAY167" s="201"/>
      <c r="CAZ167" s="202"/>
      <c r="CBA167" s="202"/>
      <c r="CBB167" s="202"/>
      <c r="CBC167" s="202"/>
      <c r="CBD167" s="203"/>
      <c r="CBE167" s="204"/>
      <c r="CBF167" s="204"/>
      <c r="CBG167" s="204"/>
      <c r="CBH167" s="205"/>
      <c r="CBI167" s="206"/>
      <c r="CBJ167" s="207"/>
      <c r="CBK167" s="207"/>
      <c r="CBL167" s="208"/>
      <c r="CBM167" s="209"/>
      <c r="CBN167" s="207"/>
      <c r="CBO167" s="210"/>
      <c r="CBP167" s="209"/>
      <c r="CBQ167" s="204"/>
      <c r="CBR167" s="204"/>
      <c r="CBS167" s="204"/>
      <c r="CBT167" s="199"/>
      <c r="CBU167" s="167"/>
      <c r="CBV167" s="199"/>
      <c r="CBW167" s="200"/>
      <c r="CBX167" s="201"/>
      <c r="CBY167" s="202"/>
      <c r="CBZ167" s="202"/>
      <c r="CCA167" s="202"/>
      <c r="CCB167" s="202"/>
      <c r="CCC167" s="203"/>
      <c r="CCD167" s="204"/>
      <c r="CCE167" s="204"/>
      <c r="CCF167" s="204"/>
      <c r="CCG167" s="205"/>
      <c r="CCH167" s="206"/>
      <c r="CCI167" s="207"/>
      <c r="CCJ167" s="207"/>
      <c r="CCK167" s="208"/>
      <c r="CCL167" s="209"/>
      <c r="CCM167" s="207"/>
      <c r="CCN167" s="210"/>
      <c r="CCO167" s="209"/>
      <c r="CCP167" s="204"/>
      <c r="CCQ167" s="204"/>
      <c r="CCR167" s="204"/>
      <c r="CCS167" s="199"/>
      <c r="CCT167" s="167"/>
      <c r="CCU167" s="199"/>
      <c r="CCV167" s="200"/>
      <c r="CCW167" s="201"/>
      <c r="CCX167" s="202"/>
      <c r="CCY167" s="202"/>
      <c r="CCZ167" s="202"/>
      <c r="CDA167" s="202"/>
      <c r="CDB167" s="203"/>
      <c r="CDC167" s="204"/>
      <c r="CDD167" s="204"/>
      <c r="CDE167" s="204"/>
      <c r="CDF167" s="205"/>
      <c r="CDG167" s="206"/>
      <c r="CDH167" s="207"/>
      <c r="CDI167" s="207"/>
      <c r="CDJ167" s="208"/>
      <c r="CDK167" s="209"/>
      <c r="CDL167" s="207"/>
      <c r="CDM167" s="210"/>
      <c r="CDN167" s="209"/>
      <c r="CDO167" s="204"/>
      <c r="CDP167" s="204"/>
      <c r="CDQ167" s="204"/>
      <c r="CDR167" s="199"/>
      <c r="CDS167" s="167"/>
      <c r="CDT167" s="199"/>
      <c r="CDU167" s="200"/>
      <c r="CDV167" s="201"/>
      <c r="CDW167" s="202"/>
      <c r="CDX167" s="202"/>
      <c r="CDY167" s="202"/>
      <c r="CDZ167" s="202"/>
      <c r="CEA167" s="203"/>
      <c r="CEB167" s="204"/>
      <c r="CEC167" s="204"/>
      <c r="CED167" s="204"/>
      <c r="CEE167" s="205"/>
      <c r="CEF167" s="206"/>
      <c r="CEG167" s="207"/>
      <c r="CEH167" s="207"/>
      <c r="CEI167" s="208"/>
      <c r="CEJ167" s="209"/>
      <c r="CEK167" s="207"/>
      <c r="CEL167" s="210"/>
      <c r="CEM167" s="209"/>
      <c r="CEN167" s="204"/>
      <c r="CEO167" s="204"/>
      <c r="CEP167" s="204"/>
      <c r="CEQ167" s="199"/>
      <c r="CER167" s="167"/>
      <c r="CES167" s="199"/>
      <c r="CET167" s="200"/>
      <c r="CEU167" s="201"/>
      <c r="CEV167" s="202"/>
      <c r="CEW167" s="202"/>
      <c r="CEX167" s="202"/>
      <c r="CEY167" s="202"/>
      <c r="CEZ167" s="203"/>
      <c r="CFA167" s="204"/>
      <c r="CFB167" s="204"/>
      <c r="CFC167" s="204"/>
      <c r="CFD167" s="205"/>
      <c r="CFE167" s="206"/>
      <c r="CFF167" s="207"/>
      <c r="CFG167" s="207"/>
      <c r="CFH167" s="208"/>
      <c r="CFI167" s="209"/>
      <c r="CFJ167" s="207"/>
      <c r="CFK167" s="210"/>
      <c r="CFL167" s="209"/>
      <c r="CFM167" s="204"/>
      <c r="CFN167" s="204"/>
      <c r="CFO167" s="204"/>
      <c r="CFP167" s="199"/>
      <c r="CFQ167" s="167"/>
      <c r="CFR167" s="199"/>
      <c r="CFS167" s="200"/>
      <c r="CFT167" s="201"/>
      <c r="CFU167" s="202"/>
      <c r="CFV167" s="202"/>
      <c r="CFW167" s="202"/>
      <c r="CFX167" s="202"/>
      <c r="CFY167" s="203"/>
      <c r="CFZ167" s="204"/>
      <c r="CGA167" s="204"/>
      <c r="CGB167" s="204"/>
      <c r="CGC167" s="205"/>
      <c r="CGD167" s="206"/>
      <c r="CGE167" s="207"/>
      <c r="CGF167" s="207"/>
      <c r="CGG167" s="208"/>
      <c r="CGH167" s="209"/>
      <c r="CGI167" s="207"/>
      <c r="CGJ167" s="210"/>
      <c r="CGK167" s="209"/>
      <c r="CGL167" s="204"/>
      <c r="CGM167" s="204"/>
      <c r="CGN167" s="204"/>
      <c r="CGO167" s="199"/>
      <c r="CGP167" s="167"/>
      <c r="CGQ167" s="199"/>
      <c r="CGR167" s="200"/>
      <c r="CGS167" s="201"/>
      <c r="CGT167" s="202"/>
      <c r="CGU167" s="202"/>
      <c r="CGV167" s="202"/>
      <c r="CGW167" s="202"/>
      <c r="CGX167" s="203"/>
      <c r="CGY167" s="204"/>
      <c r="CGZ167" s="204"/>
      <c r="CHA167" s="204"/>
      <c r="CHB167" s="205"/>
      <c r="CHC167" s="206"/>
      <c r="CHD167" s="207"/>
      <c r="CHE167" s="207"/>
      <c r="CHF167" s="208"/>
      <c r="CHG167" s="209"/>
      <c r="CHH167" s="207"/>
      <c r="CHI167" s="210"/>
      <c r="CHJ167" s="209"/>
      <c r="CHK167" s="204"/>
      <c r="CHL167" s="204"/>
      <c r="CHM167" s="204"/>
      <c r="CHN167" s="199"/>
      <c r="CHO167" s="167"/>
      <c r="CHP167" s="199"/>
      <c r="CHQ167" s="200"/>
      <c r="CHR167" s="201"/>
      <c r="CHS167" s="202"/>
      <c r="CHT167" s="202"/>
      <c r="CHU167" s="202"/>
      <c r="CHV167" s="202"/>
      <c r="CHW167" s="203"/>
      <c r="CHX167" s="204"/>
      <c r="CHY167" s="204"/>
      <c r="CHZ167" s="204"/>
      <c r="CIA167" s="205"/>
      <c r="CIB167" s="206"/>
      <c r="CIC167" s="207"/>
      <c r="CID167" s="207"/>
      <c r="CIE167" s="208"/>
      <c r="CIF167" s="209"/>
      <c r="CIG167" s="207"/>
      <c r="CIH167" s="210"/>
      <c r="CII167" s="209"/>
      <c r="CIJ167" s="204"/>
      <c r="CIK167" s="204"/>
      <c r="CIL167" s="204"/>
      <c r="CIM167" s="199"/>
      <c r="CIN167" s="167"/>
      <c r="CIO167" s="199"/>
      <c r="CIP167" s="200"/>
      <c r="CIQ167" s="201"/>
      <c r="CIR167" s="202"/>
      <c r="CIS167" s="202"/>
      <c r="CIT167" s="202"/>
      <c r="CIU167" s="202"/>
      <c r="CIV167" s="203"/>
      <c r="CIW167" s="204"/>
      <c r="CIX167" s="204"/>
      <c r="CIY167" s="204"/>
      <c r="CIZ167" s="205"/>
      <c r="CJA167" s="206"/>
      <c r="CJB167" s="207"/>
      <c r="CJC167" s="207"/>
      <c r="CJD167" s="208"/>
      <c r="CJE167" s="209"/>
      <c r="CJF167" s="207"/>
      <c r="CJG167" s="210"/>
      <c r="CJH167" s="209"/>
      <c r="CJI167" s="204"/>
      <c r="CJJ167" s="204"/>
      <c r="CJK167" s="204"/>
      <c r="CJL167" s="199"/>
      <c r="CJM167" s="167"/>
      <c r="CJN167" s="199"/>
      <c r="CJO167" s="200"/>
      <c r="CJP167" s="201"/>
      <c r="CJQ167" s="202"/>
      <c r="CJR167" s="202"/>
      <c r="CJS167" s="202"/>
      <c r="CJT167" s="202"/>
      <c r="CJU167" s="203"/>
      <c r="CJV167" s="204"/>
      <c r="CJW167" s="204"/>
      <c r="CJX167" s="204"/>
      <c r="CJY167" s="205"/>
      <c r="CJZ167" s="206"/>
      <c r="CKA167" s="207"/>
      <c r="CKB167" s="207"/>
      <c r="CKC167" s="208"/>
      <c r="CKD167" s="209"/>
      <c r="CKE167" s="207"/>
      <c r="CKF167" s="210"/>
      <c r="CKG167" s="209"/>
      <c r="CKH167" s="204"/>
      <c r="CKI167" s="204"/>
      <c r="CKJ167" s="204"/>
      <c r="CKK167" s="199"/>
      <c r="CKL167" s="167"/>
      <c r="CKM167" s="199"/>
      <c r="CKN167" s="200"/>
      <c r="CKO167" s="201"/>
      <c r="CKP167" s="202"/>
      <c r="CKQ167" s="202"/>
      <c r="CKR167" s="202"/>
      <c r="CKS167" s="202"/>
      <c r="CKT167" s="203"/>
      <c r="CKU167" s="204"/>
      <c r="CKV167" s="204"/>
      <c r="CKW167" s="204"/>
      <c r="CKX167" s="205"/>
      <c r="CKY167" s="206"/>
      <c r="CKZ167" s="207"/>
      <c r="CLA167" s="207"/>
      <c r="CLB167" s="208"/>
      <c r="CLC167" s="209"/>
      <c r="CLD167" s="207"/>
      <c r="CLE167" s="210"/>
      <c r="CLF167" s="209"/>
      <c r="CLG167" s="204"/>
      <c r="CLH167" s="204"/>
      <c r="CLI167" s="204"/>
      <c r="CLJ167" s="199"/>
      <c r="CLK167" s="167"/>
      <c r="CLL167" s="199"/>
      <c r="CLM167" s="200"/>
      <c r="CLN167" s="201"/>
      <c r="CLO167" s="202"/>
      <c r="CLP167" s="202"/>
      <c r="CLQ167" s="202"/>
      <c r="CLR167" s="202"/>
      <c r="CLS167" s="203"/>
      <c r="CLT167" s="204"/>
      <c r="CLU167" s="204"/>
      <c r="CLV167" s="204"/>
      <c r="CLW167" s="205"/>
      <c r="CLX167" s="206"/>
      <c r="CLY167" s="207"/>
      <c r="CLZ167" s="207"/>
      <c r="CMA167" s="208"/>
      <c r="CMB167" s="209"/>
      <c r="CMC167" s="207"/>
      <c r="CMD167" s="210"/>
      <c r="CME167" s="209"/>
      <c r="CMF167" s="204"/>
      <c r="CMG167" s="204"/>
      <c r="CMH167" s="204"/>
      <c r="CMI167" s="199"/>
      <c r="CMJ167" s="167"/>
      <c r="CMK167" s="199"/>
      <c r="CML167" s="200"/>
      <c r="CMM167" s="201"/>
      <c r="CMN167" s="202"/>
      <c r="CMO167" s="202"/>
      <c r="CMP167" s="202"/>
      <c r="CMQ167" s="202"/>
      <c r="CMR167" s="203"/>
      <c r="CMS167" s="204"/>
      <c r="CMT167" s="204"/>
      <c r="CMU167" s="204"/>
      <c r="CMV167" s="205"/>
      <c r="CMW167" s="206"/>
      <c r="CMX167" s="207"/>
      <c r="CMY167" s="207"/>
      <c r="CMZ167" s="208"/>
      <c r="CNA167" s="209"/>
      <c r="CNB167" s="207"/>
      <c r="CNC167" s="210"/>
      <c r="CND167" s="209"/>
      <c r="CNE167" s="204"/>
      <c r="CNF167" s="204"/>
      <c r="CNG167" s="204"/>
      <c r="CNH167" s="199"/>
      <c r="CNI167" s="167"/>
      <c r="CNJ167" s="199"/>
      <c r="CNK167" s="200"/>
      <c r="CNL167" s="201"/>
      <c r="CNM167" s="202"/>
      <c r="CNN167" s="202"/>
      <c r="CNO167" s="202"/>
      <c r="CNP167" s="202"/>
      <c r="CNQ167" s="203"/>
      <c r="CNR167" s="204"/>
      <c r="CNS167" s="204"/>
      <c r="CNT167" s="204"/>
      <c r="CNU167" s="205"/>
      <c r="CNV167" s="206"/>
      <c r="CNW167" s="207"/>
      <c r="CNX167" s="207"/>
      <c r="CNY167" s="208"/>
      <c r="CNZ167" s="209"/>
      <c r="COA167" s="207"/>
      <c r="COB167" s="210"/>
      <c r="COC167" s="209"/>
      <c r="COD167" s="204"/>
      <c r="COE167" s="204"/>
      <c r="COF167" s="204"/>
      <c r="COG167" s="199"/>
      <c r="COH167" s="167"/>
      <c r="COI167" s="199"/>
      <c r="COJ167" s="200"/>
      <c r="COK167" s="201"/>
      <c r="COL167" s="202"/>
      <c r="COM167" s="202"/>
      <c r="CON167" s="202"/>
      <c r="COO167" s="202"/>
      <c r="COP167" s="203"/>
      <c r="COQ167" s="204"/>
      <c r="COR167" s="204"/>
      <c r="COS167" s="204"/>
      <c r="COT167" s="205"/>
      <c r="COU167" s="206"/>
      <c r="COV167" s="207"/>
      <c r="COW167" s="207"/>
      <c r="COX167" s="208"/>
      <c r="COY167" s="209"/>
      <c r="COZ167" s="207"/>
      <c r="CPA167" s="210"/>
      <c r="CPB167" s="209"/>
      <c r="CPC167" s="204"/>
      <c r="CPD167" s="204"/>
      <c r="CPE167" s="204"/>
      <c r="CPF167" s="199"/>
      <c r="CPG167" s="167"/>
      <c r="CPH167" s="199"/>
      <c r="CPI167" s="200"/>
      <c r="CPJ167" s="201"/>
      <c r="CPK167" s="202"/>
      <c r="CPL167" s="202"/>
      <c r="CPM167" s="202"/>
      <c r="CPN167" s="202"/>
      <c r="CPO167" s="203"/>
      <c r="CPP167" s="204"/>
      <c r="CPQ167" s="204"/>
      <c r="CPR167" s="204"/>
      <c r="CPS167" s="205"/>
      <c r="CPT167" s="206"/>
      <c r="CPU167" s="207"/>
      <c r="CPV167" s="207"/>
      <c r="CPW167" s="208"/>
      <c r="CPX167" s="209"/>
      <c r="CPY167" s="207"/>
      <c r="CPZ167" s="210"/>
      <c r="CQA167" s="209"/>
      <c r="CQB167" s="204"/>
      <c r="CQC167" s="204"/>
      <c r="CQD167" s="204"/>
      <c r="CQE167" s="199"/>
      <c r="CQF167" s="167"/>
      <c r="CQG167" s="199"/>
      <c r="CQH167" s="200"/>
      <c r="CQI167" s="201"/>
      <c r="CQJ167" s="202"/>
      <c r="CQK167" s="202"/>
      <c r="CQL167" s="202"/>
      <c r="CQM167" s="202"/>
      <c r="CQN167" s="203"/>
      <c r="CQO167" s="204"/>
      <c r="CQP167" s="204"/>
      <c r="CQQ167" s="204"/>
      <c r="CQR167" s="205"/>
      <c r="CQS167" s="206"/>
      <c r="CQT167" s="207"/>
      <c r="CQU167" s="207"/>
      <c r="CQV167" s="208"/>
      <c r="CQW167" s="209"/>
      <c r="CQX167" s="207"/>
      <c r="CQY167" s="210"/>
      <c r="CQZ167" s="209"/>
      <c r="CRA167" s="204"/>
      <c r="CRB167" s="204"/>
      <c r="CRC167" s="204"/>
      <c r="CRD167" s="199"/>
      <c r="CRE167" s="167"/>
      <c r="CRF167" s="199"/>
      <c r="CRG167" s="200"/>
      <c r="CRH167" s="201"/>
      <c r="CRI167" s="202"/>
      <c r="CRJ167" s="202"/>
      <c r="CRK167" s="202"/>
      <c r="CRL167" s="202"/>
      <c r="CRM167" s="203"/>
      <c r="CRN167" s="204"/>
      <c r="CRO167" s="204"/>
      <c r="CRP167" s="204"/>
      <c r="CRQ167" s="205"/>
      <c r="CRR167" s="206"/>
      <c r="CRS167" s="207"/>
      <c r="CRT167" s="207"/>
      <c r="CRU167" s="208"/>
      <c r="CRV167" s="209"/>
      <c r="CRW167" s="207"/>
      <c r="CRX167" s="210"/>
      <c r="CRY167" s="209"/>
      <c r="CRZ167" s="204"/>
      <c r="CSA167" s="204"/>
      <c r="CSB167" s="204"/>
      <c r="CSC167" s="199"/>
      <c r="CSD167" s="167"/>
      <c r="CSE167" s="199"/>
      <c r="CSF167" s="200"/>
      <c r="CSG167" s="201"/>
      <c r="CSH167" s="202"/>
      <c r="CSI167" s="202"/>
      <c r="CSJ167" s="202"/>
      <c r="CSK167" s="202"/>
      <c r="CSL167" s="203"/>
      <c r="CSM167" s="204"/>
      <c r="CSN167" s="204"/>
      <c r="CSO167" s="204"/>
      <c r="CSP167" s="205"/>
      <c r="CSQ167" s="206"/>
      <c r="CSR167" s="207"/>
      <c r="CSS167" s="207"/>
      <c r="CST167" s="208"/>
      <c r="CSU167" s="209"/>
      <c r="CSV167" s="207"/>
      <c r="CSW167" s="210"/>
      <c r="CSX167" s="209"/>
      <c r="CSY167" s="204"/>
      <c r="CSZ167" s="204"/>
      <c r="CTA167" s="204"/>
      <c r="CTB167" s="199"/>
      <c r="CTC167" s="167"/>
      <c r="CTD167" s="199"/>
      <c r="CTE167" s="200"/>
      <c r="CTF167" s="201"/>
      <c r="CTG167" s="202"/>
      <c r="CTH167" s="202"/>
      <c r="CTI167" s="202"/>
      <c r="CTJ167" s="202"/>
      <c r="CTK167" s="203"/>
      <c r="CTL167" s="204"/>
      <c r="CTM167" s="204"/>
      <c r="CTN167" s="204"/>
      <c r="CTO167" s="205"/>
      <c r="CTP167" s="206"/>
      <c r="CTQ167" s="207"/>
      <c r="CTR167" s="207"/>
      <c r="CTS167" s="208"/>
      <c r="CTT167" s="209"/>
      <c r="CTU167" s="207"/>
      <c r="CTV167" s="210"/>
      <c r="CTW167" s="209"/>
      <c r="CTX167" s="204"/>
      <c r="CTY167" s="204"/>
      <c r="CTZ167" s="204"/>
      <c r="CUA167" s="199"/>
      <c r="CUB167" s="167"/>
      <c r="CUC167" s="199"/>
      <c r="CUD167" s="200"/>
      <c r="CUE167" s="201"/>
      <c r="CUF167" s="202"/>
      <c r="CUG167" s="202"/>
      <c r="CUH167" s="202"/>
      <c r="CUI167" s="202"/>
      <c r="CUJ167" s="203"/>
      <c r="CUK167" s="204"/>
      <c r="CUL167" s="204"/>
      <c r="CUM167" s="204"/>
      <c r="CUN167" s="205"/>
      <c r="CUO167" s="206"/>
      <c r="CUP167" s="207"/>
      <c r="CUQ167" s="207"/>
      <c r="CUR167" s="208"/>
      <c r="CUS167" s="209"/>
      <c r="CUT167" s="207"/>
      <c r="CUU167" s="210"/>
      <c r="CUV167" s="209"/>
      <c r="CUW167" s="204"/>
      <c r="CUX167" s="204"/>
      <c r="CUY167" s="204"/>
      <c r="CUZ167" s="199"/>
      <c r="CVA167" s="167"/>
      <c r="CVB167" s="199"/>
      <c r="CVC167" s="200"/>
      <c r="CVD167" s="201"/>
      <c r="CVE167" s="202"/>
      <c r="CVF167" s="202"/>
      <c r="CVG167" s="202"/>
      <c r="CVH167" s="202"/>
      <c r="CVI167" s="203"/>
      <c r="CVJ167" s="204"/>
      <c r="CVK167" s="204"/>
      <c r="CVL167" s="204"/>
      <c r="CVM167" s="205"/>
      <c r="CVN167" s="206"/>
      <c r="CVO167" s="207"/>
      <c r="CVP167" s="207"/>
      <c r="CVQ167" s="208"/>
      <c r="CVR167" s="209"/>
      <c r="CVS167" s="207"/>
      <c r="CVT167" s="210"/>
      <c r="CVU167" s="209"/>
      <c r="CVV167" s="204"/>
      <c r="CVW167" s="204"/>
      <c r="CVX167" s="204"/>
      <c r="CVY167" s="199"/>
      <c r="CVZ167" s="167"/>
      <c r="CWA167" s="199"/>
      <c r="CWB167" s="200"/>
      <c r="CWC167" s="201"/>
      <c r="CWD167" s="202"/>
      <c r="CWE167" s="202"/>
      <c r="CWF167" s="202"/>
      <c r="CWG167" s="202"/>
      <c r="CWH167" s="203"/>
      <c r="CWI167" s="204"/>
      <c r="CWJ167" s="204"/>
      <c r="CWK167" s="204"/>
      <c r="CWL167" s="205"/>
      <c r="CWM167" s="206"/>
      <c r="CWN167" s="207"/>
      <c r="CWO167" s="207"/>
      <c r="CWP167" s="208"/>
      <c r="CWQ167" s="209"/>
      <c r="CWR167" s="207"/>
      <c r="CWS167" s="210"/>
      <c r="CWT167" s="209"/>
      <c r="CWU167" s="204"/>
      <c r="CWV167" s="204"/>
      <c r="CWW167" s="204"/>
      <c r="CWX167" s="199"/>
      <c r="CWY167" s="167"/>
      <c r="CWZ167" s="199"/>
      <c r="CXA167" s="200"/>
      <c r="CXB167" s="201"/>
      <c r="CXC167" s="202"/>
      <c r="CXD167" s="202"/>
      <c r="CXE167" s="202"/>
      <c r="CXF167" s="202"/>
      <c r="CXG167" s="203"/>
      <c r="CXH167" s="204"/>
      <c r="CXI167" s="204"/>
      <c r="CXJ167" s="204"/>
      <c r="CXK167" s="205"/>
      <c r="CXL167" s="206"/>
      <c r="CXM167" s="207"/>
      <c r="CXN167" s="207"/>
      <c r="CXO167" s="208"/>
      <c r="CXP167" s="209"/>
      <c r="CXQ167" s="207"/>
      <c r="CXR167" s="210"/>
      <c r="CXS167" s="209"/>
      <c r="CXT167" s="204"/>
      <c r="CXU167" s="204"/>
      <c r="CXV167" s="204"/>
      <c r="CXW167" s="199"/>
      <c r="CXX167" s="167"/>
      <c r="CXY167" s="199"/>
      <c r="CXZ167" s="200"/>
      <c r="CYA167" s="201"/>
      <c r="CYB167" s="202"/>
      <c r="CYC167" s="202"/>
      <c r="CYD167" s="202"/>
      <c r="CYE167" s="202"/>
      <c r="CYF167" s="203"/>
      <c r="CYG167" s="204"/>
      <c r="CYH167" s="204"/>
      <c r="CYI167" s="204"/>
      <c r="CYJ167" s="205"/>
      <c r="CYK167" s="206"/>
      <c r="CYL167" s="207"/>
      <c r="CYM167" s="207"/>
      <c r="CYN167" s="208"/>
      <c r="CYO167" s="209"/>
      <c r="CYP167" s="207"/>
      <c r="CYQ167" s="210"/>
      <c r="CYR167" s="209"/>
      <c r="CYS167" s="204"/>
      <c r="CYT167" s="204"/>
      <c r="CYU167" s="204"/>
      <c r="CYV167" s="199"/>
      <c r="CYW167" s="167"/>
      <c r="CYX167" s="199"/>
      <c r="CYY167" s="200"/>
      <c r="CYZ167" s="201"/>
      <c r="CZA167" s="202"/>
      <c r="CZB167" s="202"/>
      <c r="CZC167" s="202"/>
      <c r="CZD167" s="202"/>
      <c r="CZE167" s="203"/>
      <c r="CZF167" s="204"/>
      <c r="CZG167" s="204"/>
      <c r="CZH167" s="204"/>
      <c r="CZI167" s="205"/>
      <c r="CZJ167" s="206"/>
      <c r="CZK167" s="207"/>
      <c r="CZL167" s="207"/>
      <c r="CZM167" s="208"/>
      <c r="CZN167" s="209"/>
      <c r="CZO167" s="207"/>
      <c r="CZP167" s="210"/>
      <c r="CZQ167" s="209"/>
      <c r="CZR167" s="204"/>
      <c r="CZS167" s="204"/>
      <c r="CZT167" s="204"/>
      <c r="CZU167" s="199"/>
      <c r="CZV167" s="167"/>
      <c r="CZW167" s="199"/>
      <c r="CZX167" s="200"/>
      <c r="CZY167" s="201"/>
      <c r="CZZ167" s="202"/>
      <c r="DAA167" s="202"/>
      <c r="DAB167" s="202"/>
      <c r="DAC167" s="202"/>
      <c r="DAD167" s="203"/>
      <c r="DAE167" s="204"/>
      <c r="DAF167" s="204"/>
      <c r="DAG167" s="204"/>
      <c r="DAH167" s="205"/>
      <c r="DAI167" s="206"/>
      <c r="DAJ167" s="207"/>
      <c r="DAK167" s="207"/>
      <c r="DAL167" s="208"/>
      <c r="DAM167" s="209"/>
      <c r="DAN167" s="207"/>
      <c r="DAO167" s="210"/>
      <c r="DAP167" s="209"/>
      <c r="DAQ167" s="204"/>
      <c r="DAR167" s="204"/>
      <c r="DAS167" s="204"/>
      <c r="DAT167" s="199"/>
      <c r="DAU167" s="167"/>
      <c r="DAV167" s="199"/>
      <c r="DAW167" s="200"/>
      <c r="DAX167" s="201"/>
      <c r="DAY167" s="202"/>
      <c r="DAZ167" s="202"/>
      <c r="DBA167" s="202"/>
      <c r="DBB167" s="202"/>
      <c r="DBC167" s="203"/>
      <c r="DBD167" s="204"/>
      <c r="DBE167" s="204"/>
      <c r="DBF167" s="204"/>
      <c r="DBG167" s="205"/>
      <c r="DBH167" s="206"/>
      <c r="DBI167" s="207"/>
      <c r="DBJ167" s="207"/>
      <c r="DBK167" s="208"/>
      <c r="DBL167" s="209"/>
      <c r="DBM167" s="207"/>
      <c r="DBN167" s="210"/>
      <c r="DBO167" s="209"/>
      <c r="DBP167" s="204"/>
      <c r="DBQ167" s="204"/>
      <c r="DBR167" s="204"/>
      <c r="DBS167" s="199"/>
      <c r="DBT167" s="167"/>
      <c r="DBU167" s="199"/>
      <c r="DBV167" s="200"/>
      <c r="DBW167" s="201"/>
      <c r="DBX167" s="202"/>
      <c r="DBY167" s="202"/>
      <c r="DBZ167" s="202"/>
      <c r="DCA167" s="202"/>
      <c r="DCB167" s="203"/>
      <c r="DCC167" s="204"/>
      <c r="DCD167" s="204"/>
      <c r="DCE167" s="204"/>
      <c r="DCF167" s="205"/>
      <c r="DCG167" s="206"/>
      <c r="DCH167" s="207"/>
      <c r="DCI167" s="207"/>
      <c r="DCJ167" s="208"/>
      <c r="DCK167" s="209"/>
      <c r="DCL167" s="207"/>
      <c r="DCM167" s="210"/>
      <c r="DCN167" s="209"/>
      <c r="DCO167" s="204"/>
      <c r="DCP167" s="204"/>
      <c r="DCQ167" s="204"/>
      <c r="DCR167" s="199"/>
      <c r="DCS167" s="167"/>
      <c r="DCT167" s="199"/>
      <c r="DCU167" s="200"/>
      <c r="DCV167" s="201"/>
      <c r="DCW167" s="202"/>
      <c r="DCX167" s="202"/>
      <c r="DCY167" s="202"/>
      <c r="DCZ167" s="202"/>
      <c r="DDA167" s="203"/>
      <c r="DDB167" s="204"/>
      <c r="DDC167" s="204"/>
      <c r="DDD167" s="204"/>
      <c r="DDE167" s="205"/>
      <c r="DDF167" s="206"/>
      <c r="DDG167" s="207"/>
      <c r="DDH167" s="207"/>
      <c r="DDI167" s="208"/>
      <c r="DDJ167" s="209"/>
      <c r="DDK167" s="207"/>
      <c r="DDL167" s="210"/>
      <c r="DDM167" s="209"/>
      <c r="DDN167" s="204"/>
      <c r="DDO167" s="204"/>
      <c r="DDP167" s="204"/>
      <c r="DDQ167" s="199"/>
      <c r="DDR167" s="167"/>
      <c r="DDS167" s="199"/>
      <c r="DDT167" s="200"/>
      <c r="DDU167" s="201"/>
      <c r="DDV167" s="202"/>
      <c r="DDW167" s="202"/>
      <c r="DDX167" s="202"/>
      <c r="DDY167" s="202"/>
      <c r="DDZ167" s="203"/>
      <c r="DEA167" s="204"/>
      <c r="DEB167" s="204"/>
      <c r="DEC167" s="204"/>
      <c r="DED167" s="205"/>
      <c r="DEE167" s="206"/>
      <c r="DEF167" s="207"/>
      <c r="DEG167" s="207"/>
      <c r="DEH167" s="208"/>
      <c r="DEI167" s="209"/>
      <c r="DEJ167" s="207"/>
      <c r="DEK167" s="210"/>
      <c r="DEL167" s="209"/>
      <c r="DEM167" s="204"/>
      <c r="DEN167" s="204"/>
      <c r="DEO167" s="204"/>
      <c r="DEP167" s="199"/>
      <c r="DEQ167" s="167"/>
      <c r="DER167" s="199"/>
      <c r="DES167" s="200"/>
      <c r="DET167" s="201"/>
      <c r="DEU167" s="202"/>
      <c r="DEV167" s="202"/>
      <c r="DEW167" s="202"/>
      <c r="DEX167" s="202"/>
      <c r="DEY167" s="203"/>
      <c r="DEZ167" s="204"/>
      <c r="DFA167" s="204"/>
      <c r="DFB167" s="204"/>
      <c r="DFC167" s="205"/>
      <c r="DFD167" s="206"/>
      <c r="DFE167" s="207"/>
      <c r="DFF167" s="207"/>
      <c r="DFG167" s="208"/>
      <c r="DFH167" s="209"/>
      <c r="DFI167" s="207"/>
      <c r="DFJ167" s="210"/>
      <c r="DFK167" s="209"/>
      <c r="DFL167" s="204"/>
      <c r="DFM167" s="204"/>
      <c r="DFN167" s="204"/>
      <c r="DFO167" s="199"/>
      <c r="DFP167" s="167"/>
      <c r="DFQ167" s="199"/>
      <c r="DFR167" s="200"/>
      <c r="DFS167" s="201"/>
      <c r="DFT167" s="202"/>
      <c r="DFU167" s="202"/>
      <c r="DFV167" s="202"/>
      <c r="DFW167" s="202"/>
      <c r="DFX167" s="203"/>
      <c r="DFY167" s="204"/>
      <c r="DFZ167" s="204"/>
      <c r="DGA167" s="204"/>
      <c r="DGB167" s="205"/>
      <c r="DGC167" s="206"/>
      <c r="DGD167" s="207"/>
      <c r="DGE167" s="207"/>
      <c r="DGF167" s="208"/>
      <c r="DGG167" s="209"/>
      <c r="DGH167" s="207"/>
      <c r="DGI167" s="210"/>
      <c r="DGJ167" s="209"/>
      <c r="DGK167" s="204"/>
      <c r="DGL167" s="204"/>
      <c r="DGM167" s="204"/>
      <c r="DGN167" s="199"/>
      <c r="DGO167" s="167"/>
      <c r="DGP167" s="199"/>
      <c r="DGQ167" s="200"/>
      <c r="DGR167" s="201"/>
      <c r="DGS167" s="202"/>
      <c r="DGT167" s="202"/>
      <c r="DGU167" s="202"/>
      <c r="DGV167" s="202"/>
      <c r="DGW167" s="203"/>
      <c r="DGX167" s="204"/>
      <c r="DGY167" s="204"/>
      <c r="DGZ167" s="204"/>
      <c r="DHA167" s="205"/>
      <c r="DHB167" s="206"/>
      <c r="DHC167" s="207"/>
      <c r="DHD167" s="207"/>
      <c r="DHE167" s="208"/>
      <c r="DHF167" s="209"/>
      <c r="DHG167" s="207"/>
      <c r="DHH167" s="210"/>
      <c r="DHI167" s="209"/>
      <c r="DHJ167" s="204"/>
      <c r="DHK167" s="204"/>
      <c r="DHL167" s="204"/>
      <c r="DHM167" s="199"/>
      <c r="DHN167" s="167"/>
      <c r="DHO167" s="199"/>
      <c r="DHP167" s="200"/>
      <c r="DHQ167" s="201"/>
      <c r="DHR167" s="202"/>
      <c r="DHS167" s="202"/>
      <c r="DHT167" s="202"/>
      <c r="DHU167" s="202"/>
      <c r="DHV167" s="203"/>
      <c r="DHW167" s="204"/>
      <c r="DHX167" s="204"/>
      <c r="DHY167" s="204"/>
      <c r="DHZ167" s="205"/>
      <c r="DIA167" s="206"/>
      <c r="DIB167" s="207"/>
      <c r="DIC167" s="207"/>
      <c r="DID167" s="208"/>
      <c r="DIE167" s="209"/>
      <c r="DIF167" s="207"/>
      <c r="DIG167" s="210"/>
      <c r="DIH167" s="209"/>
      <c r="DII167" s="204"/>
      <c r="DIJ167" s="204"/>
      <c r="DIK167" s="204"/>
      <c r="DIL167" s="199"/>
      <c r="DIM167" s="167"/>
      <c r="DIN167" s="199"/>
      <c r="DIO167" s="200"/>
      <c r="DIP167" s="201"/>
      <c r="DIQ167" s="202"/>
      <c r="DIR167" s="202"/>
      <c r="DIS167" s="202"/>
      <c r="DIT167" s="202"/>
      <c r="DIU167" s="203"/>
      <c r="DIV167" s="204"/>
      <c r="DIW167" s="204"/>
      <c r="DIX167" s="204"/>
      <c r="DIY167" s="205"/>
      <c r="DIZ167" s="206"/>
      <c r="DJA167" s="207"/>
      <c r="DJB167" s="207"/>
      <c r="DJC167" s="208"/>
      <c r="DJD167" s="209"/>
      <c r="DJE167" s="207"/>
      <c r="DJF167" s="210"/>
      <c r="DJG167" s="209"/>
      <c r="DJH167" s="204"/>
      <c r="DJI167" s="204"/>
      <c r="DJJ167" s="204"/>
      <c r="DJK167" s="199"/>
      <c r="DJL167" s="167"/>
      <c r="DJM167" s="199"/>
      <c r="DJN167" s="200"/>
      <c r="DJO167" s="201"/>
      <c r="DJP167" s="202"/>
      <c r="DJQ167" s="202"/>
      <c r="DJR167" s="202"/>
      <c r="DJS167" s="202"/>
      <c r="DJT167" s="203"/>
      <c r="DJU167" s="204"/>
      <c r="DJV167" s="204"/>
      <c r="DJW167" s="204"/>
      <c r="DJX167" s="205"/>
      <c r="DJY167" s="206"/>
      <c r="DJZ167" s="207"/>
      <c r="DKA167" s="207"/>
      <c r="DKB167" s="208"/>
      <c r="DKC167" s="209"/>
      <c r="DKD167" s="207"/>
      <c r="DKE167" s="210"/>
      <c r="DKF167" s="209"/>
      <c r="DKG167" s="204"/>
      <c r="DKH167" s="204"/>
      <c r="DKI167" s="204"/>
      <c r="DKJ167" s="199"/>
      <c r="DKK167" s="167"/>
      <c r="DKL167" s="199"/>
      <c r="DKM167" s="200"/>
      <c r="DKN167" s="201"/>
      <c r="DKO167" s="202"/>
      <c r="DKP167" s="202"/>
      <c r="DKQ167" s="202"/>
      <c r="DKR167" s="202"/>
      <c r="DKS167" s="203"/>
      <c r="DKT167" s="204"/>
      <c r="DKU167" s="204"/>
      <c r="DKV167" s="204"/>
      <c r="DKW167" s="205"/>
      <c r="DKX167" s="206"/>
      <c r="DKY167" s="207"/>
      <c r="DKZ167" s="207"/>
      <c r="DLA167" s="208"/>
      <c r="DLB167" s="209"/>
      <c r="DLC167" s="207"/>
      <c r="DLD167" s="210"/>
      <c r="DLE167" s="209"/>
      <c r="DLF167" s="204"/>
      <c r="DLG167" s="204"/>
      <c r="DLH167" s="204"/>
      <c r="DLI167" s="199"/>
      <c r="DLJ167" s="167"/>
      <c r="DLK167" s="199"/>
      <c r="DLL167" s="200"/>
      <c r="DLM167" s="201"/>
      <c r="DLN167" s="202"/>
      <c r="DLO167" s="202"/>
      <c r="DLP167" s="202"/>
      <c r="DLQ167" s="202"/>
      <c r="DLR167" s="203"/>
      <c r="DLS167" s="204"/>
      <c r="DLT167" s="204"/>
      <c r="DLU167" s="204"/>
      <c r="DLV167" s="205"/>
      <c r="DLW167" s="206"/>
      <c r="DLX167" s="207"/>
      <c r="DLY167" s="207"/>
      <c r="DLZ167" s="208"/>
      <c r="DMA167" s="209"/>
      <c r="DMB167" s="207"/>
      <c r="DMC167" s="210"/>
      <c r="DMD167" s="209"/>
      <c r="DME167" s="204"/>
      <c r="DMF167" s="204"/>
      <c r="DMG167" s="204"/>
      <c r="DMH167" s="199"/>
      <c r="DMI167" s="167"/>
      <c r="DMJ167" s="199"/>
      <c r="DMK167" s="200"/>
      <c r="DML167" s="201"/>
      <c r="DMM167" s="202"/>
      <c r="DMN167" s="202"/>
      <c r="DMO167" s="202"/>
      <c r="DMP167" s="202"/>
      <c r="DMQ167" s="203"/>
      <c r="DMR167" s="204"/>
      <c r="DMS167" s="204"/>
      <c r="DMT167" s="204"/>
      <c r="DMU167" s="205"/>
      <c r="DMV167" s="206"/>
      <c r="DMW167" s="207"/>
      <c r="DMX167" s="207"/>
      <c r="DMY167" s="208"/>
      <c r="DMZ167" s="209"/>
      <c r="DNA167" s="207"/>
      <c r="DNB167" s="210"/>
      <c r="DNC167" s="209"/>
      <c r="DND167" s="204"/>
      <c r="DNE167" s="204"/>
      <c r="DNF167" s="204"/>
      <c r="DNG167" s="199"/>
      <c r="DNH167" s="167"/>
      <c r="DNI167" s="199"/>
      <c r="DNJ167" s="200"/>
      <c r="DNK167" s="201"/>
      <c r="DNL167" s="202"/>
      <c r="DNM167" s="202"/>
      <c r="DNN167" s="202"/>
      <c r="DNO167" s="202"/>
      <c r="DNP167" s="203"/>
      <c r="DNQ167" s="204"/>
      <c r="DNR167" s="204"/>
      <c r="DNS167" s="204"/>
      <c r="DNT167" s="205"/>
      <c r="DNU167" s="206"/>
      <c r="DNV167" s="207"/>
      <c r="DNW167" s="207"/>
      <c r="DNX167" s="208"/>
      <c r="DNY167" s="209"/>
      <c r="DNZ167" s="207"/>
      <c r="DOA167" s="210"/>
      <c r="DOB167" s="209"/>
      <c r="DOC167" s="204"/>
      <c r="DOD167" s="204"/>
      <c r="DOE167" s="204"/>
      <c r="DOF167" s="199"/>
      <c r="DOG167" s="167"/>
      <c r="DOH167" s="199"/>
      <c r="DOI167" s="200"/>
      <c r="DOJ167" s="201"/>
      <c r="DOK167" s="202"/>
      <c r="DOL167" s="202"/>
      <c r="DOM167" s="202"/>
      <c r="DON167" s="202"/>
      <c r="DOO167" s="203"/>
      <c r="DOP167" s="204"/>
      <c r="DOQ167" s="204"/>
      <c r="DOR167" s="204"/>
      <c r="DOS167" s="205"/>
      <c r="DOT167" s="206"/>
      <c r="DOU167" s="207"/>
      <c r="DOV167" s="207"/>
      <c r="DOW167" s="208"/>
      <c r="DOX167" s="209"/>
      <c r="DOY167" s="207"/>
      <c r="DOZ167" s="210"/>
      <c r="DPA167" s="209"/>
      <c r="DPB167" s="204"/>
      <c r="DPC167" s="204"/>
      <c r="DPD167" s="204"/>
      <c r="DPE167" s="199"/>
      <c r="DPF167" s="167"/>
      <c r="DPG167" s="199"/>
      <c r="DPH167" s="200"/>
      <c r="DPI167" s="201"/>
      <c r="DPJ167" s="202"/>
      <c r="DPK167" s="202"/>
      <c r="DPL167" s="202"/>
      <c r="DPM167" s="202"/>
      <c r="DPN167" s="203"/>
      <c r="DPO167" s="204"/>
      <c r="DPP167" s="204"/>
      <c r="DPQ167" s="204"/>
      <c r="DPR167" s="205"/>
      <c r="DPS167" s="206"/>
      <c r="DPT167" s="207"/>
      <c r="DPU167" s="207"/>
      <c r="DPV167" s="208"/>
      <c r="DPW167" s="209"/>
      <c r="DPX167" s="207"/>
      <c r="DPY167" s="210"/>
      <c r="DPZ167" s="209"/>
      <c r="DQA167" s="204"/>
      <c r="DQB167" s="204"/>
      <c r="DQC167" s="204"/>
      <c r="DQD167" s="199"/>
      <c r="DQE167" s="167"/>
      <c r="DQF167" s="199"/>
      <c r="DQG167" s="200"/>
      <c r="DQH167" s="201"/>
      <c r="DQI167" s="202"/>
      <c r="DQJ167" s="202"/>
      <c r="DQK167" s="202"/>
      <c r="DQL167" s="202"/>
      <c r="DQM167" s="203"/>
      <c r="DQN167" s="204"/>
      <c r="DQO167" s="204"/>
      <c r="DQP167" s="204"/>
      <c r="DQQ167" s="205"/>
      <c r="DQR167" s="206"/>
      <c r="DQS167" s="207"/>
      <c r="DQT167" s="207"/>
      <c r="DQU167" s="208"/>
      <c r="DQV167" s="209"/>
      <c r="DQW167" s="207"/>
      <c r="DQX167" s="210"/>
      <c r="DQY167" s="209"/>
      <c r="DQZ167" s="204"/>
      <c r="DRA167" s="204"/>
      <c r="DRB167" s="204"/>
      <c r="DRC167" s="199"/>
      <c r="DRD167" s="167"/>
      <c r="DRE167" s="199"/>
      <c r="DRF167" s="200"/>
      <c r="DRG167" s="201"/>
      <c r="DRH167" s="202"/>
      <c r="DRI167" s="202"/>
      <c r="DRJ167" s="202"/>
      <c r="DRK167" s="202"/>
      <c r="DRL167" s="203"/>
      <c r="DRM167" s="204"/>
      <c r="DRN167" s="204"/>
      <c r="DRO167" s="204"/>
      <c r="DRP167" s="205"/>
      <c r="DRQ167" s="206"/>
      <c r="DRR167" s="207"/>
      <c r="DRS167" s="207"/>
      <c r="DRT167" s="208"/>
      <c r="DRU167" s="209"/>
      <c r="DRV167" s="207"/>
      <c r="DRW167" s="210"/>
      <c r="DRX167" s="209"/>
      <c r="DRY167" s="204"/>
      <c r="DRZ167" s="204"/>
      <c r="DSA167" s="204"/>
      <c r="DSB167" s="199"/>
      <c r="DSC167" s="167"/>
      <c r="DSD167" s="199"/>
      <c r="DSE167" s="200"/>
      <c r="DSF167" s="201"/>
      <c r="DSG167" s="202"/>
      <c r="DSH167" s="202"/>
      <c r="DSI167" s="202"/>
      <c r="DSJ167" s="202"/>
      <c r="DSK167" s="203"/>
      <c r="DSL167" s="204"/>
      <c r="DSM167" s="204"/>
      <c r="DSN167" s="204"/>
      <c r="DSO167" s="205"/>
      <c r="DSP167" s="206"/>
      <c r="DSQ167" s="207"/>
      <c r="DSR167" s="207"/>
      <c r="DSS167" s="208"/>
      <c r="DST167" s="209"/>
      <c r="DSU167" s="207"/>
      <c r="DSV167" s="210"/>
      <c r="DSW167" s="209"/>
      <c r="DSX167" s="204"/>
      <c r="DSY167" s="204"/>
      <c r="DSZ167" s="204"/>
      <c r="DTA167" s="199"/>
      <c r="DTB167" s="167"/>
      <c r="DTC167" s="199"/>
      <c r="DTD167" s="200"/>
      <c r="DTE167" s="201"/>
      <c r="DTF167" s="202"/>
      <c r="DTG167" s="202"/>
      <c r="DTH167" s="202"/>
      <c r="DTI167" s="202"/>
      <c r="DTJ167" s="203"/>
      <c r="DTK167" s="204"/>
      <c r="DTL167" s="204"/>
      <c r="DTM167" s="204"/>
      <c r="DTN167" s="205"/>
      <c r="DTO167" s="206"/>
      <c r="DTP167" s="207"/>
      <c r="DTQ167" s="207"/>
      <c r="DTR167" s="208"/>
      <c r="DTS167" s="209"/>
      <c r="DTT167" s="207"/>
      <c r="DTU167" s="210"/>
      <c r="DTV167" s="209"/>
      <c r="DTW167" s="204"/>
      <c r="DTX167" s="204"/>
      <c r="DTY167" s="204"/>
      <c r="DTZ167" s="199"/>
      <c r="DUA167" s="167"/>
      <c r="DUB167" s="199"/>
      <c r="DUC167" s="200"/>
      <c r="DUD167" s="201"/>
      <c r="DUE167" s="202"/>
      <c r="DUF167" s="202"/>
      <c r="DUG167" s="202"/>
      <c r="DUH167" s="202"/>
      <c r="DUI167" s="203"/>
      <c r="DUJ167" s="204"/>
      <c r="DUK167" s="204"/>
      <c r="DUL167" s="204"/>
      <c r="DUM167" s="205"/>
      <c r="DUN167" s="206"/>
      <c r="DUO167" s="207"/>
      <c r="DUP167" s="207"/>
      <c r="DUQ167" s="208"/>
      <c r="DUR167" s="209"/>
      <c r="DUS167" s="207"/>
      <c r="DUT167" s="210"/>
      <c r="DUU167" s="209"/>
      <c r="DUV167" s="204"/>
      <c r="DUW167" s="204"/>
      <c r="DUX167" s="204"/>
      <c r="DUY167" s="199"/>
      <c r="DUZ167" s="167"/>
      <c r="DVA167" s="199"/>
      <c r="DVB167" s="200"/>
      <c r="DVC167" s="201"/>
      <c r="DVD167" s="202"/>
      <c r="DVE167" s="202"/>
      <c r="DVF167" s="202"/>
      <c r="DVG167" s="202"/>
      <c r="DVH167" s="203"/>
      <c r="DVI167" s="204"/>
      <c r="DVJ167" s="204"/>
      <c r="DVK167" s="204"/>
      <c r="DVL167" s="205"/>
      <c r="DVM167" s="206"/>
      <c r="DVN167" s="207"/>
      <c r="DVO167" s="207"/>
      <c r="DVP167" s="208"/>
      <c r="DVQ167" s="209"/>
      <c r="DVR167" s="207"/>
      <c r="DVS167" s="210"/>
      <c r="DVT167" s="209"/>
      <c r="DVU167" s="204"/>
      <c r="DVV167" s="204"/>
      <c r="DVW167" s="204"/>
      <c r="DVX167" s="199"/>
      <c r="DVY167" s="167"/>
      <c r="DVZ167" s="199"/>
      <c r="DWA167" s="200"/>
      <c r="DWB167" s="201"/>
      <c r="DWC167" s="202"/>
      <c r="DWD167" s="202"/>
      <c r="DWE167" s="202"/>
      <c r="DWF167" s="202"/>
      <c r="DWG167" s="203"/>
      <c r="DWH167" s="204"/>
      <c r="DWI167" s="204"/>
      <c r="DWJ167" s="204"/>
      <c r="DWK167" s="205"/>
      <c r="DWL167" s="206"/>
      <c r="DWM167" s="207"/>
      <c r="DWN167" s="207"/>
      <c r="DWO167" s="208"/>
      <c r="DWP167" s="209"/>
      <c r="DWQ167" s="207"/>
      <c r="DWR167" s="210"/>
      <c r="DWS167" s="209"/>
      <c r="DWT167" s="204"/>
      <c r="DWU167" s="204"/>
      <c r="DWV167" s="204"/>
      <c r="DWW167" s="199"/>
      <c r="DWX167" s="167"/>
      <c r="DWY167" s="199"/>
      <c r="DWZ167" s="200"/>
      <c r="DXA167" s="201"/>
      <c r="DXB167" s="202"/>
      <c r="DXC167" s="202"/>
      <c r="DXD167" s="202"/>
      <c r="DXE167" s="202"/>
      <c r="DXF167" s="203"/>
      <c r="DXG167" s="204"/>
      <c r="DXH167" s="204"/>
      <c r="DXI167" s="204"/>
      <c r="DXJ167" s="205"/>
      <c r="DXK167" s="206"/>
      <c r="DXL167" s="207"/>
      <c r="DXM167" s="207"/>
      <c r="DXN167" s="208"/>
      <c r="DXO167" s="209"/>
      <c r="DXP167" s="207"/>
      <c r="DXQ167" s="210"/>
      <c r="DXR167" s="209"/>
      <c r="DXS167" s="204"/>
      <c r="DXT167" s="204"/>
      <c r="DXU167" s="204"/>
      <c r="DXV167" s="199"/>
      <c r="DXW167" s="167"/>
      <c r="DXX167" s="199"/>
      <c r="DXY167" s="200"/>
      <c r="DXZ167" s="201"/>
      <c r="DYA167" s="202"/>
      <c r="DYB167" s="202"/>
      <c r="DYC167" s="202"/>
      <c r="DYD167" s="202"/>
      <c r="DYE167" s="203"/>
      <c r="DYF167" s="204"/>
      <c r="DYG167" s="204"/>
      <c r="DYH167" s="204"/>
      <c r="DYI167" s="205"/>
      <c r="DYJ167" s="206"/>
      <c r="DYK167" s="207"/>
      <c r="DYL167" s="207"/>
      <c r="DYM167" s="208"/>
      <c r="DYN167" s="209"/>
      <c r="DYO167" s="207"/>
      <c r="DYP167" s="210"/>
      <c r="DYQ167" s="209"/>
      <c r="DYR167" s="204"/>
      <c r="DYS167" s="204"/>
      <c r="DYT167" s="204"/>
      <c r="DYU167" s="199"/>
      <c r="DYV167" s="167"/>
      <c r="DYW167" s="199"/>
      <c r="DYX167" s="200"/>
      <c r="DYY167" s="201"/>
      <c r="DYZ167" s="202"/>
      <c r="DZA167" s="202"/>
      <c r="DZB167" s="202"/>
      <c r="DZC167" s="202"/>
      <c r="DZD167" s="203"/>
      <c r="DZE167" s="204"/>
      <c r="DZF167" s="204"/>
      <c r="DZG167" s="204"/>
      <c r="DZH167" s="205"/>
      <c r="DZI167" s="206"/>
      <c r="DZJ167" s="207"/>
      <c r="DZK167" s="207"/>
      <c r="DZL167" s="208"/>
      <c r="DZM167" s="209"/>
      <c r="DZN167" s="207"/>
      <c r="DZO167" s="210"/>
      <c r="DZP167" s="209"/>
      <c r="DZQ167" s="204"/>
      <c r="DZR167" s="204"/>
      <c r="DZS167" s="204"/>
      <c r="DZT167" s="199"/>
      <c r="DZU167" s="167"/>
      <c r="DZV167" s="199"/>
      <c r="DZW167" s="200"/>
      <c r="DZX167" s="201"/>
      <c r="DZY167" s="202"/>
      <c r="DZZ167" s="202"/>
      <c r="EAA167" s="202"/>
      <c r="EAB167" s="202"/>
      <c r="EAC167" s="203"/>
      <c r="EAD167" s="204"/>
      <c r="EAE167" s="204"/>
      <c r="EAF167" s="204"/>
      <c r="EAG167" s="205"/>
      <c r="EAH167" s="206"/>
      <c r="EAI167" s="207"/>
      <c r="EAJ167" s="207"/>
      <c r="EAK167" s="208"/>
      <c r="EAL167" s="209"/>
      <c r="EAM167" s="207"/>
      <c r="EAN167" s="210"/>
      <c r="EAO167" s="209"/>
      <c r="EAP167" s="204"/>
      <c r="EAQ167" s="204"/>
      <c r="EAR167" s="204"/>
      <c r="EAS167" s="199"/>
      <c r="EAT167" s="167"/>
      <c r="EAU167" s="199"/>
      <c r="EAV167" s="200"/>
      <c r="EAW167" s="201"/>
      <c r="EAX167" s="202"/>
      <c r="EAY167" s="202"/>
      <c r="EAZ167" s="202"/>
      <c r="EBA167" s="202"/>
      <c r="EBB167" s="203"/>
      <c r="EBC167" s="204"/>
      <c r="EBD167" s="204"/>
      <c r="EBE167" s="204"/>
      <c r="EBF167" s="205"/>
      <c r="EBG167" s="206"/>
      <c r="EBH167" s="207"/>
      <c r="EBI167" s="207"/>
      <c r="EBJ167" s="208"/>
      <c r="EBK167" s="209"/>
      <c r="EBL167" s="207"/>
      <c r="EBM167" s="210"/>
      <c r="EBN167" s="209"/>
      <c r="EBO167" s="204"/>
      <c r="EBP167" s="204"/>
      <c r="EBQ167" s="204"/>
      <c r="EBR167" s="199"/>
      <c r="EBS167" s="167"/>
      <c r="EBT167" s="199"/>
      <c r="EBU167" s="200"/>
      <c r="EBV167" s="201"/>
      <c r="EBW167" s="202"/>
      <c r="EBX167" s="202"/>
      <c r="EBY167" s="202"/>
      <c r="EBZ167" s="202"/>
      <c r="ECA167" s="203"/>
      <c r="ECB167" s="204"/>
      <c r="ECC167" s="204"/>
      <c r="ECD167" s="204"/>
      <c r="ECE167" s="205"/>
      <c r="ECF167" s="206"/>
      <c r="ECG167" s="207"/>
      <c r="ECH167" s="207"/>
      <c r="ECI167" s="208"/>
      <c r="ECJ167" s="209"/>
      <c r="ECK167" s="207"/>
      <c r="ECL167" s="210"/>
      <c r="ECM167" s="209"/>
      <c r="ECN167" s="204"/>
      <c r="ECO167" s="204"/>
      <c r="ECP167" s="204"/>
      <c r="ECQ167" s="199"/>
      <c r="ECR167" s="167"/>
      <c r="ECS167" s="199"/>
      <c r="ECT167" s="200"/>
      <c r="ECU167" s="201"/>
      <c r="ECV167" s="202"/>
      <c r="ECW167" s="202"/>
      <c r="ECX167" s="202"/>
      <c r="ECY167" s="202"/>
      <c r="ECZ167" s="203"/>
      <c r="EDA167" s="204"/>
      <c r="EDB167" s="204"/>
      <c r="EDC167" s="204"/>
      <c r="EDD167" s="205"/>
      <c r="EDE167" s="206"/>
      <c r="EDF167" s="207"/>
      <c r="EDG167" s="207"/>
      <c r="EDH167" s="208"/>
      <c r="EDI167" s="209"/>
      <c r="EDJ167" s="207"/>
      <c r="EDK167" s="210"/>
      <c r="EDL167" s="209"/>
      <c r="EDM167" s="204"/>
      <c r="EDN167" s="204"/>
      <c r="EDO167" s="204"/>
      <c r="EDP167" s="199"/>
      <c r="EDQ167" s="167"/>
      <c r="EDR167" s="199"/>
      <c r="EDS167" s="200"/>
      <c r="EDT167" s="201"/>
      <c r="EDU167" s="202"/>
      <c r="EDV167" s="202"/>
      <c r="EDW167" s="202"/>
      <c r="EDX167" s="202"/>
      <c r="EDY167" s="203"/>
      <c r="EDZ167" s="204"/>
      <c r="EEA167" s="204"/>
      <c r="EEB167" s="204"/>
      <c r="EEC167" s="205"/>
      <c r="EED167" s="206"/>
      <c r="EEE167" s="207"/>
      <c r="EEF167" s="207"/>
      <c r="EEG167" s="208"/>
      <c r="EEH167" s="209"/>
      <c r="EEI167" s="207"/>
      <c r="EEJ167" s="210"/>
      <c r="EEK167" s="209"/>
      <c r="EEL167" s="204"/>
      <c r="EEM167" s="204"/>
      <c r="EEN167" s="204"/>
      <c r="EEO167" s="199"/>
      <c r="EEP167" s="167"/>
      <c r="EEQ167" s="199"/>
      <c r="EER167" s="200"/>
      <c r="EES167" s="201"/>
      <c r="EET167" s="202"/>
      <c r="EEU167" s="202"/>
      <c r="EEV167" s="202"/>
      <c r="EEW167" s="202"/>
      <c r="EEX167" s="203"/>
      <c r="EEY167" s="204"/>
      <c r="EEZ167" s="204"/>
      <c r="EFA167" s="204"/>
      <c r="EFB167" s="205"/>
      <c r="EFC167" s="206"/>
      <c r="EFD167" s="207"/>
      <c r="EFE167" s="207"/>
      <c r="EFF167" s="208"/>
      <c r="EFG167" s="209"/>
      <c r="EFH167" s="207"/>
      <c r="EFI167" s="210"/>
      <c r="EFJ167" s="209"/>
      <c r="EFK167" s="204"/>
      <c r="EFL167" s="204"/>
      <c r="EFM167" s="204"/>
      <c r="EFN167" s="199"/>
      <c r="EFO167" s="167"/>
      <c r="EFP167" s="199"/>
      <c r="EFQ167" s="200"/>
      <c r="EFR167" s="201"/>
      <c r="EFS167" s="202"/>
      <c r="EFT167" s="202"/>
      <c r="EFU167" s="202"/>
      <c r="EFV167" s="202"/>
      <c r="EFW167" s="203"/>
      <c r="EFX167" s="204"/>
      <c r="EFY167" s="204"/>
      <c r="EFZ167" s="204"/>
      <c r="EGA167" s="205"/>
      <c r="EGB167" s="206"/>
      <c r="EGC167" s="207"/>
      <c r="EGD167" s="207"/>
      <c r="EGE167" s="208"/>
      <c r="EGF167" s="209"/>
      <c r="EGG167" s="207"/>
      <c r="EGH167" s="210"/>
      <c r="EGI167" s="209"/>
      <c r="EGJ167" s="204"/>
      <c r="EGK167" s="204"/>
      <c r="EGL167" s="204"/>
      <c r="EGM167" s="199"/>
      <c r="EGN167" s="167"/>
      <c r="EGO167" s="199"/>
      <c r="EGP167" s="200"/>
      <c r="EGQ167" s="201"/>
      <c r="EGR167" s="202"/>
      <c r="EGS167" s="202"/>
      <c r="EGT167" s="202"/>
      <c r="EGU167" s="202"/>
      <c r="EGV167" s="203"/>
      <c r="EGW167" s="204"/>
      <c r="EGX167" s="204"/>
      <c r="EGY167" s="204"/>
      <c r="EGZ167" s="205"/>
      <c r="EHA167" s="206"/>
      <c r="EHB167" s="207"/>
      <c r="EHC167" s="207"/>
      <c r="EHD167" s="208"/>
      <c r="EHE167" s="209"/>
      <c r="EHF167" s="207"/>
      <c r="EHG167" s="210"/>
      <c r="EHH167" s="209"/>
      <c r="EHI167" s="204"/>
      <c r="EHJ167" s="204"/>
      <c r="EHK167" s="204"/>
      <c r="EHL167" s="199"/>
      <c r="EHM167" s="167"/>
      <c r="EHN167" s="199"/>
      <c r="EHO167" s="200"/>
      <c r="EHP167" s="201"/>
      <c r="EHQ167" s="202"/>
      <c r="EHR167" s="202"/>
      <c r="EHS167" s="202"/>
      <c r="EHT167" s="202"/>
      <c r="EHU167" s="203"/>
      <c r="EHV167" s="204"/>
      <c r="EHW167" s="204"/>
      <c r="EHX167" s="204"/>
      <c r="EHY167" s="205"/>
      <c r="EHZ167" s="206"/>
      <c r="EIA167" s="207"/>
      <c r="EIB167" s="207"/>
      <c r="EIC167" s="208"/>
      <c r="EID167" s="209"/>
      <c r="EIE167" s="207"/>
      <c r="EIF167" s="210"/>
      <c r="EIG167" s="209"/>
      <c r="EIH167" s="204"/>
      <c r="EII167" s="204"/>
      <c r="EIJ167" s="204"/>
      <c r="EIK167" s="199"/>
      <c r="EIL167" s="167"/>
      <c r="EIM167" s="199"/>
      <c r="EIN167" s="200"/>
      <c r="EIO167" s="201"/>
      <c r="EIP167" s="202"/>
      <c r="EIQ167" s="202"/>
      <c r="EIR167" s="202"/>
      <c r="EIS167" s="202"/>
      <c r="EIT167" s="203"/>
      <c r="EIU167" s="204"/>
      <c r="EIV167" s="204"/>
      <c r="EIW167" s="204"/>
      <c r="EIX167" s="205"/>
      <c r="EIY167" s="206"/>
      <c r="EIZ167" s="207"/>
      <c r="EJA167" s="207"/>
      <c r="EJB167" s="208"/>
      <c r="EJC167" s="209"/>
      <c r="EJD167" s="207"/>
      <c r="EJE167" s="210"/>
      <c r="EJF167" s="209"/>
      <c r="EJG167" s="204"/>
      <c r="EJH167" s="204"/>
      <c r="EJI167" s="204"/>
      <c r="EJJ167" s="199"/>
      <c r="EJK167" s="167"/>
      <c r="EJL167" s="199"/>
      <c r="EJM167" s="200"/>
      <c r="EJN167" s="201"/>
      <c r="EJO167" s="202"/>
      <c r="EJP167" s="202"/>
      <c r="EJQ167" s="202"/>
      <c r="EJR167" s="202"/>
      <c r="EJS167" s="203"/>
      <c r="EJT167" s="204"/>
      <c r="EJU167" s="204"/>
      <c r="EJV167" s="204"/>
      <c r="EJW167" s="205"/>
      <c r="EJX167" s="206"/>
      <c r="EJY167" s="207"/>
      <c r="EJZ167" s="207"/>
      <c r="EKA167" s="208"/>
      <c r="EKB167" s="209"/>
      <c r="EKC167" s="207"/>
      <c r="EKD167" s="210"/>
      <c r="EKE167" s="209"/>
      <c r="EKF167" s="204"/>
      <c r="EKG167" s="204"/>
      <c r="EKH167" s="204"/>
      <c r="EKI167" s="199"/>
      <c r="EKJ167" s="167"/>
      <c r="EKK167" s="199"/>
      <c r="EKL167" s="200"/>
      <c r="EKM167" s="201"/>
      <c r="EKN167" s="202"/>
      <c r="EKO167" s="202"/>
      <c r="EKP167" s="202"/>
      <c r="EKQ167" s="202"/>
      <c r="EKR167" s="203"/>
      <c r="EKS167" s="204"/>
      <c r="EKT167" s="204"/>
      <c r="EKU167" s="204"/>
      <c r="EKV167" s="205"/>
      <c r="EKW167" s="206"/>
      <c r="EKX167" s="207"/>
      <c r="EKY167" s="207"/>
      <c r="EKZ167" s="208"/>
      <c r="ELA167" s="209"/>
      <c r="ELB167" s="207"/>
      <c r="ELC167" s="210"/>
      <c r="ELD167" s="209"/>
      <c r="ELE167" s="204"/>
      <c r="ELF167" s="204"/>
      <c r="ELG167" s="204"/>
      <c r="ELH167" s="199"/>
      <c r="ELI167" s="167"/>
      <c r="ELJ167" s="199"/>
      <c r="ELK167" s="200"/>
      <c r="ELL167" s="201"/>
      <c r="ELM167" s="202"/>
      <c r="ELN167" s="202"/>
      <c r="ELO167" s="202"/>
      <c r="ELP167" s="202"/>
      <c r="ELQ167" s="203"/>
      <c r="ELR167" s="204"/>
      <c r="ELS167" s="204"/>
      <c r="ELT167" s="204"/>
      <c r="ELU167" s="205"/>
      <c r="ELV167" s="206"/>
      <c r="ELW167" s="207"/>
      <c r="ELX167" s="207"/>
      <c r="ELY167" s="208"/>
      <c r="ELZ167" s="209"/>
      <c r="EMA167" s="207"/>
      <c r="EMB167" s="210"/>
      <c r="EMC167" s="209"/>
      <c r="EMD167" s="204"/>
      <c r="EME167" s="204"/>
      <c r="EMF167" s="204"/>
      <c r="EMG167" s="199"/>
      <c r="EMH167" s="167"/>
      <c r="EMI167" s="199"/>
      <c r="EMJ167" s="200"/>
      <c r="EMK167" s="201"/>
      <c r="EML167" s="202"/>
      <c r="EMM167" s="202"/>
      <c r="EMN167" s="202"/>
      <c r="EMO167" s="202"/>
      <c r="EMP167" s="203"/>
      <c r="EMQ167" s="204"/>
      <c r="EMR167" s="204"/>
      <c r="EMS167" s="204"/>
      <c r="EMT167" s="205"/>
      <c r="EMU167" s="206"/>
      <c r="EMV167" s="207"/>
      <c r="EMW167" s="207"/>
      <c r="EMX167" s="208"/>
      <c r="EMY167" s="209"/>
      <c r="EMZ167" s="207"/>
      <c r="ENA167" s="210"/>
      <c r="ENB167" s="209"/>
      <c r="ENC167" s="204"/>
      <c r="END167" s="204"/>
      <c r="ENE167" s="204"/>
      <c r="ENF167" s="199"/>
      <c r="ENG167" s="167"/>
      <c r="ENH167" s="199"/>
      <c r="ENI167" s="200"/>
      <c r="ENJ167" s="201"/>
      <c r="ENK167" s="202"/>
      <c r="ENL167" s="202"/>
      <c r="ENM167" s="202"/>
      <c r="ENN167" s="202"/>
      <c r="ENO167" s="203"/>
      <c r="ENP167" s="204"/>
      <c r="ENQ167" s="204"/>
      <c r="ENR167" s="204"/>
      <c r="ENS167" s="205"/>
      <c r="ENT167" s="206"/>
      <c r="ENU167" s="207"/>
      <c r="ENV167" s="207"/>
      <c r="ENW167" s="208"/>
      <c r="ENX167" s="209"/>
      <c r="ENY167" s="207"/>
      <c r="ENZ167" s="210"/>
      <c r="EOA167" s="209"/>
      <c r="EOB167" s="204"/>
      <c r="EOC167" s="204"/>
      <c r="EOD167" s="204"/>
      <c r="EOE167" s="199"/>
      <c r="EOF167" s="167"/>
      <c r="EOG167" s="199"/>
      <c r="EOH167" s="200"/>
      <c r="EOI167" s="201"/>
      <c r="EOJ167" s="202"/>
      <c r="EOK167" s="202"/>
      <c r="EOL167" s="202"/>
      <c r="EOM167" s="202"/>
      <c r="EON167" s="203"/>
      <c r="EOO167" s="204"/>
      <c r="EOP167" s="204"/>
      <c r="EOQ167" s="204"/>
      <c r="EOR167" s="205"/>
      <c r="EOS167" s="206"/>
      <c r="EOT167" s="207"/>
      <c r="EOU167" s="207"/>
      <c r="EOV167" s="208"/>
      <c r="EOW167" s="209"/>
      <c r="EOX167" s="207"/>
      <c r="EOY167" s="210"/>
      <c r="EOZ167" s="209"/>
      <c r="EPA167" s="204"/>
      <c r="EPB167" s="204"/>
      <c r="EPC167" s="204"/>
      <c r="EPD167" s="199"/>
      <c r="EPE167" s="167"/>
      <c r="EPF167" s="199"/>
      <c r="EPG167" s="200"/>
      <c r="EPH167" s="201"/>
      <c r="EPI167" s="202"/>
      <c r="EPJ167" s="202"/>
      <c r="EPK167" s="202"/>
      <c r="EPL167" s="202"/>
      <c r="EPM167" s="203"/>
      <c r="EPN167" s="204"/>
      <c r="EPO167" s="204"/>
      <c r="EPP167" s="204"/>
      <c r="EPQ167" s="205"/>
      <c r="EPR167" s="206"/>
      <c r="EPS167" s="207"/>
      <c r="EPT167" s="207"/>
      <c r="EPU167" s="208"/>
      <c r="EPV167" s="209"/>
      <c r="EPW167" s="207"/>
      <c r="EPX167" s="210"/>
      <c r="EPY167" s="209"/>
      <c r="EPZ167" s="204"/>
      <c r="EQA167" s="204"/>
      <c r="EQB167" s="204"/>
      <c r="EQC167" s="199"/>
      <c r="EQD167" s="167"/>
      <c r="EQE167" s="199"/>
      <c r="EQF167" s="200"/>
      <c r="EQG167" s="201"/>
      <c r="EQH167" s="202"/>
      <c r="EQI167" s="202"/>
      <c r="EQJ167" s="202"/>
      <c r="EQK167" s="202"/>
      <c r="EQL167" s="203"/>
      <c r="EQM167" s="204"/>
      <c r="EQN167" s="204"/>
      <c r="EQO167" s="204"/>
      <c r="EQP167" s="205"/>
      <c r="EQQ167" s="206"/>
      <c r="EQR167" s="207"/>
      <c r="EQS167" s="207"/>
      <c r="EQT167" s="208"/>
      <c r="EQU167" s="209"/>
      <c r="EQV167" s="207"/>
      <c r="EQW167" s="210"/>
      <c r="EQX167" s="209"/>
      <c r="EQY167" s="204"/>
      <c r="EQZ167" s="204"/>
      <c r="ERA167" s="204"/>
      <c r="ERB167" s="199"/>
      <c r="ERC167" s="167"/>
      <c r="ERD167" s="199"/>
      <c r="ERE167" s="200"/>
      <c r="ERF167" s="201"/>
      <c r="ERG167" s="202"/>
      <c r="ERH167" s="202"/>
      <c r="ERI167" s="202"/>
      <c r="ERJ167" s="202"/>
      <c r="ERK167" s="203"/>
      <c r="ERL167" s="204"/>
      <c r="ERM167" s="204"/>
      <c r="ERN167" s="204"/>
      <c r="ERO167" s="205"/>
      <c r="ERP167" s="206"/>
      <c r="ERQ167" s="207"/>
      <c r="ERR167" s="207"/>
      <c r="ERS167" s="208"/>
      <c r="ERT167" s="209"/>
      <c r="ERU167" s="207"/>
      <c r="ERV167" s="210"/>
      <c r="ERW167" s="209"/>
      <c r="ERX167" s="204"/>
      <c r="ERY167" s="204"/>
      <c r="ERZ167" s="204"/>
      <c r="ESA167" s="199"/>
      <c r="ESB167" s="167"/>
      <c r="ESC167" s="199"/>
      <c r="ESD167" s="200"/>
      <c r="ESE167" s="201"/>
      <c r="ESF167" s="202"/>
      <c r="ESG167" s="202"/>
      <c r="ESH167" s="202"/>
      <c r="ESI167" s="202"/>
      <c r="ESJ167" s="203"/>
      <c r="ESK167" s="204"/>
      <c r="ESL167" s="204"/>
      <c r="ESM167" s="204"/>
      <c r="ESN167" s="205"/>
      <c r="ESO167" s="206"/>
      <c r="ESP167" s="207"/>
      <c r="ESQ167" s="207"/>
      <c r="ESR167" s="208"/>
      <c r="ESS167" s="209"/>
      <c r="EST167" s="207"/>
      <c r="ESU167" s="210"/>
      <c r="ESV167" s="209"/>
      <c r="ESW167" s="204"/>
      <c r="ESX167" s="204"/>
      <c r="ESY167" s="204"/>
      <c r="ESZ167" s="199"/>
      <c r="ETA167" s="167"/>
      <c r="ETB167" s="199"/>
      <c r="ETC167" s="200"/>
      <c r="ETD167" s="201"/>
      <c r="ETE167" s="202"/>
      <c r="ETF167" s="202"/>
      <c r="ETG167" s="202"/>
      <c r="ETH167" s="202"/>
      <c r="ETI167" s="203"/>
      <c r="ETJ167" s="204"/>
      <c r="ETK167" s="204"/>
      <c r="ETL167" s="204"/>
      <c r="ETM167" s="205"/>
      <c r="ETN167" s="206"/>
      <c r="ETO167" s="207"/>
      <c r="ETP167" s="207"/>
      <c r="ETQ167" s="208"/>
      <c r="ETR167" s="209"/>
      <c r="ETS167" s="207"/>
      <c r="ETT167" s="210"/>
      <c r="ETU167" s="209"/>
      <c r="ETV167" s="204"/>
      <c r="ETW167" s="204"/>
      <c r="ETX167" s="204"/>
      <c r="ETY167" s="199"/>
      <c r="ETZ167" s="167"/>
      <c r="EUA167" s="199"/>
      <c r="EUB167" s="200"/>
      <c r="EUC167" s="201"/>
      <c r="EUD167" s="202"/>
      <c r="EUE167" s="202"/>
      <c r="EUF167" s="202"/>
      <c r="EUG167" s="202"/>
      <c r="EUH167" s="203"/>
      <c r="EUI167" s="204"/>
      <c r="EUJ167" s="204"/>
      <c r="EUK167" s="204"/>
      <c r="EUL167" s="205"/>
      <c r="EUM167" s="206"/>
      <c r="EUN167" s="207"/>
      <c r="EUO167" s="207"/>
      <c r="EUP167" s="208"/>
      <c r="EUQ167" s="209"/>
      <c r="EUR167" s="207"/>
      <c r="EUS167" s="210"/>
      <c r="EUT167" s="209"/>
      <c r="EUU167" s="204"/>
      <c r="EUV167" s="204"/>
      <c r="EUW167" s="204"/>
      <c r="EUX167" s="199"/>
      <c r="EUY167" s="167"/>
      <c r="EUZ167" s="199"/>
      <c r="EVA167" s="200"/>
      <c r="EVB167" s="201"/>
      <c r="EVC167" s="202"/>
      <c r="EVD167" s="202"/>
      <c r="EVE167" s="202"/>
      <c r="EVF167" s="202"/>
      <c r="EVG167" s="203"/>
      <c r="EVH167" s="204"/>
      <c r="EVI167" s="204"/>
      <c r="EVJ167" s="204"/>
      <c r="EVK167" s="205"/>
      <c r="EVL167" s="206"/>
      <c r="EVM167" s="207"/>
      <c r="EVN167" s="207"/>
      <c r="EVO167" s="208"/>
      <c r="EVP167" s="209"/>
      <c r="EVQ167" s="207"/>
      <c r="EVR167" s="210"/>
      <c r="EVS167" s="209"/>
      <c r="EVT167" s="204"/>
      <c r="EVU167" s="204"/>
      <c r="EVV167" s="204"/>
      <c r="EVW167" s="199"/>
      <c r="EVX167" s="167"/>
      <c r="EVY167" s="199"/>
      <c r="EVZ167" s="200"/>
      <c r="EWA167" s="201"/>
      <c r="EWB167" s="202"/>
      <c r="EWC167" s="202"/>
      <c r="EWD167" s="202"/>
      <c r="EWE167" s="202"/>
      <c r="EWF167" s="203"/>
      <c r="EWG167" s="204"/>
      <c r="EWH167" s="204"/>
      <c r="EWI167" s="204"/>
      <c r="EWJ167" s="205"/>
      <c r="EWK167" s="206"/>
      <c r="EWL167" s="207"/>
      <c r="EWM167" s="207"/>
      <c r="EWN167" s="208"/>
      <c r="EWO167" s="209"/>
      <c r="EWP167" s="207"/>
      <c r="EWQ167" s="210"/>
      <c r="EWR167" s="209"/>
      <c r="EWS167" s="204"/>
      <c r="EWT167" s="204"/>
      <c r="EWU167" s="204"/>
      <c r="EWV167" s="199"/>
      <c r="EWW167" s="167"/>
      <c r="EWX167" s="199"/>
      <c r="EWY167" s="200"/>
      <c r="EWZ167" s="201"/>
      <c r="EXA167" s="202"/>
      <c r="EXB167" s="202"/>
      <c r="EXC167" s="202"/>
      <c r="EXD167" s="202"/>
      <c r="EXE167" s="203"/>
      <c r="EXF167" s="204"/>
      <c r="EXG167" s="204"/>
      <c r="EXH167" s="204"/>
      <c r="EXI167" s="205"/>
      <c r="EXJ167" s="206"/>
      <c r="EXK167" s="207"/>
      <c r="EXL167" s="207"/>
      <c r="EXM167" s="208"/>
      <c r="EXN167" s="209"/>
      <c r="EXO167" s="207"/>
      <c r="EXP167" s="210"/>
      <c r="EXQ167" s="209"/>
      <c r="EXR167" s="204"/>
      <c r="EXS167" s="204"/>
      <c r="EXT167" s="204"/>
      <c r="EXU167" s="199"/>
      <c r="EXV167" s="167"/>
      <c r="EXW167" s="199"/>
      <c r="EXX167" s="200"/>
      <c r="EXY167" s="201"/>
      <c r="EXZ167" s="202"/>
      <c r="EYA167" s="202"/>
      <c r="EYB167" s="202"/>
      <c r="EYC167" s="202"/>
      <c r="EYD167" s="203"/>
      <c r="EYE167" s="204"/>
      <c r="EYF167" s="204"/>
      <c r="EYG167" s="204"/>
      <c r="EYH167" s="205"/>
      <c r="EYI167" s="206"/>
      <c r="EYJ167" s="207"/>
      <c r="EYK167" s="207"/>
      <c r="EYL167" s="208"/>
      <c r="EYM167" s="209"/>
      <c r="EYN167" s="207"/>
      <c r="EYO167" s="210"/>
      <c r="EYP167" s="209"/>
      <c r="EYQ167" s="204"/>
      <c r="EYR167" s="204"/>
      <c r="EYS167" s="204"/>
      <c r="EYT167" s="199"/>
      <c r="EYU167" s="167"/>
      <c r="EYV167" s="199"/>
      <c r="EYW167" s="200"/>
      <c r="EYX167" s="201"/>
      <c r="EYY167" s="202"/>
      <c r="EYZ167" s="202"/>
      <c r="EZA167" s="202"/>
      <c r="EZB167" s="202"/>
      <c r="EZC167" s="203"/>
      <c r="EZD167" s="204"/>
      <c r="EZE167" s="204"/>
      <c r="EZF167" s="204"/>
      <c r="EZG167" s="205"/>
      <c r="EZH167" s="206"/>
      <c r="EZI167" s="207"/>
      <c r="EZJ167" s="207"/>
      <c r="EZK167" s="208"/>
      <c r="EZL167" s="209"/>
      <c r="EZM167" s="207"/>
      <c r="EZN167" s="210"/>
      <c r="EZO167" s="209"/>
      <c r="EZP167" s="204"/>
      <c r="EZQ167" s="204"/>
      <c r="EZR167" s="204"/>
      <c r="EZS167" s="199"/>
      <c r="EZT167" s="167"/>
      <c r="EZU167" s="199"/>
      <c r="EZV167" s="200"/>
      <c r="EZW167" s="201"/>
      <c r="EZX167" s="202"/>
      <c r="EZY167" s="202"/>
      <c r="EZZ167" s="202"/>
      <c r="FAA167" s="202"/>
      <c r="FAB167" s="203"/>
      <c r="FAC167" s="204"/>
      <c r="FAD167" s="204"/>
      <c r="FAE167" s="204"/>
      <c r="FAF167" s="205"/>
      <c r="FAG167" s="206"/>
      <c r="FAH167" s="207"/>
      <c r="FAI167" s="207"/>
      <c r="FAJ167" s="208"/>
      <c r="FAK167" s="209"/>
      <c r="FAL167" s="207"/>
      <c r="FAM167" s="210"/>
      <c r="FAN167" s="209"/>
      <c r="FAO167" s="204"/>
      <c r="FAP167" s="204"/>
      <c r="FAQ167" s="204"/>
      <c r="FAR167" s="199"/>
      <c r="FAS167" s="167"/>
      <c r="FAT167" s="199"/>
      <c r="FAU167" s="200"/>
      <c r="FAV167" s="201"/>
      <c r="FAW167" s="202"/>
      <c r="FAX167" s="202"/>
      <c r="FAY167" s="202"/>
      <c r="FAZ167" s="202"/>
      <c r="FBA167" s="203"/>
      <c r="FBB167" s="204"/>
      <c r="FBC167" s="204"/>
      <c r="FBD167" s="204"/>
      <c r="FBE167" s="205"/>
      <c r="FBF167" s="206"/>
      <c r="FBG167" s="207"/>
      <c r="FBH167" s="207"/>
      <c r="FBI167" s="208"/>
      <c r="FBJ167" s="209"/>
      <c r="FBK167" s="207"/>
      <c r="FBL167" s="210"/>
      <c r="FBM167" s="209"/>
      <c r="FBN167" s="204"/>
      <c r="FBO167" s="204"/>
      <c r="FBP167" s="204"/>
      <c r="FBQ167" s="199"/>
      <c r="FBR167" s="167"/>
      <c r="FBS167" s="199"/>
      <c r="FBT167" s="200"/>
      <c r="FBU167" s="201"/>
      <c r="FBV167" s="202"/>
      <c r="FBW167" s="202"/>
      <c r="FBX167" s="202"/>
      <c r="FBY167" s="202"/>
      <c r="FBZ167" s="203"/>
      <c r="FCA167" s="204"/>
      <c r="FCB167" s="204"/>
      <c r="FCC167" s="204"/>
      <c r="FCD167" s="205"/>
      <c r="FCE167" s="206"/>
      <c r="FCF167" s="207"/>
      <c r="FCG167" s="207"/>
      <c r="FCH167" s="208"/>
      <c r="FCI167" s="209"/>
      <c r="FCJ167" s="207"/>
      <c r="FCK167" s="210"/>
      <c r="FCL167" s="209"/>
      <c r="FCM167" s="204"/>
      <c r="FCN167" s="204"/>
      <c r="FCO167" s="204"/>
      <c r="FCP167" s="199"/>
      <c r="FCQ167" s="167"/>
      <c r="FCR167" s="199"/>
      <c r="FCS167" s="200"/>
      <c r="FCT167" s="201"/>
      <c r="FCU167" s="202"/>
      <c r="FCV167" s="202"/>
      <c r="FCW167" s="202"/>
      <c r="FCX167" s="202"/>
      <c r="FCY167" s="203"/>
      <c r="FCZ167" s="204"/>
      <c r="FDA167" s="204"/>
      <c r="FDB167" s="204"/>
      <c r="FDC167" s="205"/>
      <c r="FDD167" s="206"/>
      <c r="FDE167" s="207"/>
      <c r="FDF167" s="207"/>
      <c r="FDG167" s="208"/>
      <c r="FDH167" s="209"/>
      <c r="FDI167" s="207"/>
      <c r="FDJ167" s="210"/>
      <c r="FDK167" s="209"/>
      <c r="FDL167" s="204"/>
      <c r="FDM167" s="204"/>
      <c r="FDN167" s="204"/>
      <c r="FDO167" s="199"/>
      <c r="FDP167" s="167"/>
      <c r="FDQ167" s="199"/>
      <c r="FDR167" s="200"/>
      <c r="FDS167" s="201"/>
      <c r="FDT167" s="202"/>
      <c r="FDU167" s="202"/>
      <c r="FDV167" s="202"/>
      <c r="FDW167" s="202"/>
      <c r="FDX167" s="203"/>
      <c r="FDY167" s="204"/>
      <c r="FDZ167" s="204"/>
      <c r="FEA167" s="204"/>
      <c r="FEB167" s="205"/>
      <c r="FEC167" s="206"/>
      <c r="FED167" s="207"/>
      <c r="FEE167" s="207"/>
      <c r="FEF167" s="208"/>
      <c r="FEG167" s="209"/>
      <c r="FEH167" s="207"/>
      <c r="FEI167" s="210"/>
      <c r="FEJ167" s="209"/>
      <c r="FEK167" s="204"/>
      <c r="FEL167" s="204"/>
      <c r="FEM167" s="204"/>
      <c r="FEN167" s="199"/>
      <c r="FEO167" s="167"/>
      <c r="FEP167" s="199"/>
      <c r="FEQ167" s="200"/>
      <c r="FER167" s="201"/>
      <c r="FES167" s="202"/>
      <c r="FET167" s="202"/>
      <c r="FEU167" s="202"/>
      <c r="FEV167" s="202"/>
      <c r="FEW167" s="203"/>
      <c r="FEX167" s="204"/>
      <c r="FEY167" s="204"/>
      <c r="FEZ167" s="204"/>
      <c r="FFA167" s="205"/>
      <c r="FFB167" s="206"/>
      <c r="FFC167" s="207"/>
      <c r="FFD167" s="207"/>
      <c r="FFE167" s="208"/>
      <c r="FFF167" s="209"/>
      <c r="FFG167" s="207"/>
      <c r="FFH167" s="210"/>
      <c r="FFI167" s="209"/>
      <c r="FFJ167" s="204"/>
      <c r="FFK167" s="204"/>
      <c r="FFL167" s="204"/>
      <c r="FFM167" s="199"/>
      <c r="FFN167" s="167"/>
      <c r="FFO167" s="199"/>
      <c r="FFP167" s="200"/>
      <c r="FFQ167" s="201"/>
      <c r="FFR167" s="202"/>
      <c r="FFS167" s="202"/>
      <c r="FFT167" s="202"/>
      <c r="FFU167" s="202"/>
      <c r="FFV167" s="203"/>
      <c r="FFW167" s="204"/>
      <c r="FFX167" s="204"/>
      <c r="FFY167" s="204"/>
      <c r="FFZ167" s="205"/>
      <c r="FGA167" s="206"/>
      <c r="FGB167" s="207"/>
      <c r="FGC167" s="207"/>
      <c r="FGD167" s="208"/>
      <c r="FGE167" s="209"/>
      <c r="FGF167" s="207"/>
      <c r="FGG167" s="210"/>
      <c r="FGH167" s="209"/>
      <c r="FGI167" s="204"/>
      <c r="FGJ167" s="204"/>
      <c r="FGK167" s="204"/>
      <c r="FGL167" s="199"/>
      <c r="FGM167" s="167"/>
      <c r="FGN167" s="199"/>
      <c r="FGO167" s="200"/>
      <c r="FGP167" s="201"/>
      <c r="FGQ167" s="202"/>
      <c r="FGR167" s="202"/>
      <c r="FGS167" s="202"/>
      <c r="FGT167" s="202"/>
      <c r="FGU167" s="203"/>
      <c r="FGV167" s="204"/>
      <c r="FGW167" s="204"/>
      <c r="FGX167" s="204"/>
      <c r="FGY167" s="205"/>
      <c r="FGZ167" s="206"/>
      <c r="FHA167" s="207"/>
      <c r="FHB167" s="207"/>
      <c r="FHC167" s="208"/>
      <c r="FHD167" s="209"/>
      <c r="FHE167" s="207"/>
      <c r="FHF167" s="210"/>
      <c r="FHG167" s="209"/>
      <c r="FHH167" s="204"/>
      <c r="FHI167" s="204"/>
      <c r="FHJ167" s="204"/>
      <c r="FHK167" s="199"/>
      <c r="FHL167" s="167"/>
      <c r="FHM167" s="199"/>
      <c r="FHN167" s="200"/>
      <c r="FHO167" s="201"/>
      <c r="FHP167" s="202"/>
      <c r="FHQ167" s="202"/>
      <c r="FHR167" s="202"/>
      <c r="FHS167" s="202"/>
      <c r="FHT167" s="203"/>
      <c r="FHU167" s="204"/>
      <c r="FHV167" s="204"/>
      <c r="FHW167" s="204"/>
      <c r="FHX167" s="205"/>
      <c r="FHY167" s="206"/>
      <c r="FHZ167" s="207"/>
      <c r="FIA167" s="207"/>
      <c r="FIB167" s="208"/>
      <c r="FIC167" s="209"/>
      <c r="FID167" s="207"/>
      <c r="FIE167" s="210"/>
      <c r="FIF167" s="209"/>
      <c r="FIG167" s="204"/>
      <c r="FIH167" s="204"/>
      <c r="FII167" s="204"/>
      <c r="FIJ167" s="199"/>
      <c r="FIK167" s="167"/>
      <c r="FIL167" s="199"/>
      <c r="FIM167" s="200"/>
      <c r="FIN167" s="201"/>
      <c r="FIO167" s="202"/>
      <c r="FIP167" s="202"/>
      <c r="FIQ167" s="202"/>
      <c r="FIR167" s="202"/>
      <c r="FIS167" s="203"/>
      <c r="FIT167" s="204"/>
      <c r="FIU167" s="204"/>
      <c r="FIV167" s="204"/>
      <c r="FIW167" s="205"/>
      <c r="FIX167" s="206"/>
      <c r="FIY167" s="207"/>
      <c r="FIZ167" s="207"/>
      <c r="FJA167" s="208"/>
      <c r="FJB167" s="209"/>
      <c r="FJC167" s="207"/>
      <c r="FJD167" s="210"/>
      <c r="FJE167" s="209"/>
      <c r="FJF167" s="204"/>
      <c r="FJG167" s="204"/>
      <c r="FJH167" s="204"/>
      <c r="FJI167" s="199"/>
      <c r="FJJ167" s="167"/>
      <c r="FJK167" s="199"/>
      <c r="FJL167" s="200"/>
      <c r="FJM167" s="201"/>
      <c r="FJN167" s="202"/>
      <c r="FJO167" s="202"/>
      <c r="FJP167" s="202"/>
      <c r="FJQ167" s="202"/>
      <c r="FJR167" s="203"/>
      <c r="FJS167" s="204"/>
      <c r="FJT167" s="204"/>
      <c r="FJU167" s="204"/>
      <c r="FJV167" s="205"/>
      <c r="FJW167" s="206"/>
      <c r="FJX167" s="207"/>
      <c r="FJY167" s="207"/>
      <c r="FJZ167" s="208"/>
      <c r="FKA167" s="209"/>
      <c r="FKB167" s="207"/>
      <c r="FKC167" s="210"/>
      <c r="FKD167" s="209"/>
      <c r="FKE167" s="204"/>
      <c r="FKF167" s="204"/>
      <c r="FKG167" s="204"/>
      <c r="FKH167" s="199"/>
      <c r="FKI167" s="167"/>
      <c r="FKJ167" s="199"/>
      <c r="FKK167" s="200"/>
      <c r="FKL167" s="201"/>
      <c r="FKM167" s="202"/>
      <c r="FKN167" s="202"/>
      <c r="FKO167" s="202"/>
      <c r="FKP167" s="202"/>
      <c r="FKQ167" s="203"/>
      <c r="FKR167" s="204"/>
      <c r="FKS167" s="204"/>
      <c r="FKT167" s="204"/>
      <c r="FKU167" s="205"/>
      <c r="FKV167" s="206"/>
      <c r="FKW167" s="207"/>
      <c r="FKX167" s="207"/>
      <c r="FKY167" s="208"/>
      <c r="FKZ167" s="209"/>
      <c r="FLA167" s="207"/>
      <c r="FLB167" s="210"/>
      <c r="FLC167" s="209"/>
      <c r="FLD167" s="204"/>
      <c r="FLE167" s="204"/>
      <c r="FLF167" s="204"/>
      <c r="FLG167" s="199"/>
      <c r="FLH167" s="167"/>
      <c r="FLI167" s="199"/>
      <c r="FLJ167" s="200"/>
      <c r="FLK167" s="201"/>
      <c r="FLL167" s="202"/>
      <c r="FLM167" s="202"/>
      <c r="FLN167" s="202"/>
      <c r="FLO167" s="202"/>
      <c r="FLP167" s="203"/>
      <c r="FLQ167" s="204"/>
      <c r="FLR167" s="204"/>
      <c r="FLS167" s="204"/>
      <c r="FLT167" s="205"/>
      <c r="FLU167" s="206"/>
      <c r="FLV167" s="207"/>
      <c r="FLW167" s="207"/>
      <c r="FLX167" s="208"/>
      <c r="FLY167" s="209"/>
      <c r="FLZ167" s="207"/>
      <c r="FMA167" s="210"/>
      <c r="FMB167" s="209"/>
      <c r="FMC167" s="204"/>
      <c r="FMD167" s="204"/>
      <c r="FME167" s="204"/>
      <c r="FMF167" s="199"/>
      <c r="FMG167" s="167"/>
      <c r="FMH167" s="199"/>
      <c r="FMI167" s="200"/>
      <c r="FMJ167" s="201"/>
      <c r="FMK167" s="202"/>
      <c r="FML167" s="202"/>
      <c r="FMM167" s="202"/>
      <c r="FMN167" s="202"/>
      <c r="FMO167" s="203"/>
      <c r="FMP167" s="204"/>
      <c r="FMQ167" s="204"/>
      <c r="FMR167" s="204"/>
      <c r="FMS167" s="205"/>
      <c r="FMT167" s="206"/>
      <c r="FMU167" s="207"/>
      <c r="FMV167" s="207"/>
      <c r="FMW167" s="208"/>
      <c r="FMX167" s="209"/>
      <c r="FMY167" s="207"/>
      <c r="FMZ167" s="210"/>
      <c r="FNA167" s="209"/>
      <c r="FNB167" s="204"/>
      <c r="FNC167" s="204"/>
      <c r="FND167" s="204"/>
      <c r="FNE167" s="199"/>
      <c r="FNF167" s="167"/>
      <c r="FNG167" s="199"/>
      <c r="FNH167" s="200"/>
      <c r="FNI167" s="201"/>
      <c r="FNJ167" s="202"/>
      <c r="FNK167" s="202"/>
      <c r="FNL167" s="202"/>
      <c r="FNM167" s="202"/>
      <c r="FNN167" s="203"/>
      <c r="FNO167" s="204"/>
      <c r="FNP167" s="204"/>
      <c r="FNQ167" s="204"/>
      <c r="FNR167" s="205"/>
      <c r="FNS167" s="206"/>
      <c r="FNT167" s="207"/>
      <c r="FNU167" s="207"/>
      <c r="FNV167" s="208"/>
      <c r="FNW167" s="209"/>
      <c r="FNX167" s="207"/>
      <c r="FNY167" s="210"/>
      <c r="FNZ167" s="209"/>
      <c r="FOA167" s="204"/>
      <c r="FOB167" s="204"/>
      <c r="FOC167" s="204"/>
      <c r="FOD167" s="199"/>
      <c r="FOE167" s="167"/>
      <c r="FOF167" s="199"/>
      <c r="FOG167" s="200"/>
      <c r="FOH167" s="201"/>
      <c r="FOI167" s="202"/>
      <c r="FOJ167" s="202"/>
      <c r="FOK167" s="202"/>
      <c r="FOL167" s="202"/>
      <c r="FOM167" s="203"/>
      <c r="FON167" s="204"/>
      <c r="FOO167" s="204"/>
      <c r="FOP167" s="204"/>
      <c r="FOQ167" s="205"/>
      <c r="FOR167" s="206"/>
      <c r="FOS167" s="207"/>
      <c r="FOT167" s="207"/>
      <c r="FOU167" s="208"/>
      <c r="FOV167" s="209"/>
      <c r="FOW167" s="207"/>
      <c r="FOX167" s="210"/>
      <c r="FOY167" s="209"/>
      <c r="FOZ167" s="204"/>
      <c r="FPA167" s="204"/>
      <c r="FPB167" s="204"/>
      <c r="FPC167" s="199"/>
      <c r="FPD167" s="167"/>
      <c r="FPE167" s="199"/>
      <c r="FPF167" s="200"/>
      <c r="FPG167" s="201"/>
      <c r="FPH167" s="202"/>
      <c r="FPI167" s="202"/>
      <c r="FPJ167" s="202"/>
      <c r="FPK167" s="202"/>
      <c r="FPL167" s="203"/>
      <c r="FPM167" s="204"/>
      <c r="FPN167" s="204"/>
      <c r="FPO167" s="204"/>
      <c r="FPP167" s="205"/>
      <c r="FPQ167" s="206"/>
      <c r="FPR167" s="207"/>
      <c r="FPS167" s="207"/>
      <c r="FPT167" s="208"/>
      <c r="FPU167" s="209"/>
      <c r="FPV167" s="207"/>
      <c r="FPW167" s="210"/>
      <c r="FPX167" s="209"/>
      <c r="FPY167" s="204"/>
      <c r="FPZ167" s="204"/>
      <c r="FQA167" s="204"/>
      <c r="FQB167" s="199"/>
      <c r="FQC167" s="167"/>
      <c r="FQD167" s="199"/>
      <c r="FQE167" s="200"/>
      <c r="FQF167" s="201"/>
      <c r="FQG167" s="202"/>
      <c r="FQH167" s="202"/>
      <c r="FQI167" s="202"/>
      <c r="FQJ167" s="202"/>
      <c r="FQK167" s="203"/>
      <c r="FQL167" s="204"/>
      <c r="FQM167" s="204"/>
      <c r="FQN167" s="204"/>
      <c r="FQO167" s="205"/>
      <c r="FQP167" s="206"/>
      <c r="FQQ167" s="207"/>
      <c r="FQR167" s="207"/>
      <c r="FQS167" s="208"/>
      <c r="FQT167" s="209"/>
      <c r="FQU167" s="207"/>
      <c r="FQV167" s="210"/>
      <c r="FQW167" s="209"/>
      <c r="FQX167" s="204"/>
      <c r="FQY167" s="204"/>
      <c r="FQZ167" s="204"/>
      <c r="FRA167" s="199"/>
      <c r="FRB167" s="167"/>
      <c r="FRC167" s="199"/>
      <c r="FRD167" s="200"/>
      <c r="FRE167" s="201"/>
      <c r="FRF167" s="202"/>
      <c r="FRG167" s="202"/>
      <c r="FRH167" s="202"/>
      <c r="FRI167" s="202"/>
      <c r="FRJ167" s="203"/>
      <c r="FRK167" s="204"/>
      <c r="FRL167" s="204"/>
      <c r="FRM167" s="204"/>
      <c r="FRN167" s="205"/>
      <c r="FRO167" s="206"/>
      <c r="FRP167" s="207"/>
      <c r="FRQ167" s="207"/>
      <c r="FRR167" s="208"/>
      <c r="FRS167" s="209"/>
      <c r="FRT167" s="207"/>
      <c r="FRU167" s="210"/>
      <c r="FRV167" s="209"/>
      <c r="FRW167" s="204"/>
      <c r="FRX167" s="204"/>
      <c r="FRY167" s="204"/>
      <c r="FRZ167" s="199"/>
      <c r="FSA167" s="167"/>
      <c r="FSB167" s="199"/>
      <c r="FSC167" s="200"/>
      <c r="FSD167" s="201"/>
      <c r="FSE167" s="202"/>
      <c r="FSF167" s="202"/>
      <c r="FSG167" s="202"/>
      <c r="FSH167" s="202"/>
      <c r="FSI167" s="203"/>
      <c r="FSJ167" s="204"/>
      <c r="FSK167" s="204"/>
      <c r="FSL167" s="204"/>
      <c r="FSM167" s="205"/>
      <c r="FSN167" s="206"/>
      <c r="FSO167" s="207"/>
      <c r="FSP167" s="207"/>
      <c r="FSQ167" s="208"/>
      <c r="FSR167" s="209"/>
      <c r="FSS167" s="207"/>
      <c r="FST167" s="210"/>
      <c r="FSU167" s="209"/>
      <c r="FSV167" s="204"/>
      <c r="FSW167" s="204"/>
      <c r="FSX167" s="204"/>
      <c r="FSY167" s="199"/>
      <c r="FSZ167" s="167"/>
      <c r="FTA167" s="199"/>
      <c r="FTB167" s="200"/>
      <c r="FTC167" s="201"/>
      <c r="FTD167" s="202"/>
      <c r="FTE167" s="202"/>
      <c r="FTF167" s="202"/>
      <c r="FTG167" s="202"/>
      <c r="FTH167" s="203"/>
      <c r="FTI167" s="204"/>
      <c r="FTJ167" s="204"/>
      <c r="FTK167" s="204"/>
      <c r="FTL167" s="205"/>
      <c r="FTM167" s="206"/>
      <c r="FTN167" s="207"/>
      <c r="FTO167" s="207"/>
      <c r="FTP167" s="208"/>
      <c r="FTQ167" s="209"/>
      <c r="FTR167" s="207"/>
      <c r="FTS167" s="210"/>
      <c r="FTT167" s="209"/>
      <c r="FTU167" s="204"/>
      <c r="FTV167" s="204"/>
      <c r="FTW167" s="204"/>
      <c r="FTX167" s="199"/>
      <c r="FTY167" s="167"/>
      <c r="FTZ167" s="199"/>
      <c r="FUA167" s="200"/>
      <c r="FUB167" s="201"/>
      <c r="FUC167" s="202"/>
      <c r="FUD167" s="202"/>
      <c r="FUE167" s="202"/>
      <c r="FUF167" s="202"/>
      <c r="FUG167" s="203"/>
      <c r="FUH167" s="204"/>
      <c r="FUI167" s="204"/>
      <c r="FUJ167" s="204"/>
      <c r="FUK167" s="205"/>
      <c r="FUL167" s="206"/>
      <c r="FUM167" s="207"/>
      <c r="FUN167" s="207"/>
      <c r="FUO167" s="208"/>
      <c r="FUP167" s="209"/>
      <c r="FUQ167" s="207"/>
      <c r="FUR167" s="210"/>
      <c r="FUS167" s="209"/>
      <c r="FUT167" s="204"/>
      <c r="FUU167" s="204"/>
      <c r="FUV167" s="204"/>
      <c r="FUW167" s="199"/>
      <c r="FUX167" s="167"/>
      <c r="FUY167" s="199"/>
      <c r="FUZ167" s="200"/>
      <c r="FVA167" s="201"/>
      <c r="FVB167" s="202"/>
      <c r="FVC167" s="202"/>
      <c r="FVD167" s="202"/>
      <c r="FVE167" s="202"/>
      <c r="FVF167" s="203"/>
      <c r="FVG167" s="204"/>
      <c r="FVH167" s="204"/>
      <c r="FVI167" s="204"/>
      <c r="FVJ167" s="205"/>
      <c r="FVK167" s="206"/>
      <c r="FVL167" s="207"/>
      <c r="FVM167" s="207"/>
      <c r="FVN167" s="208"/>
      <c r="FVO167" s="209"/>
      <c r="FVP167" s="207"/>
      <c r="FVQ167" s="210"/>
      <c r="FVR167" s="209"/>
      <c r="FVS167" s="204"/>
      <c r="FVT167" s="204"/>
      <c r="FVU167" s="204"/>
      <c r="FVV167" s="199"/>
      <c r="FVW167" s="167"/>
      <c r="FVX167" s="199"/>
      <c r="FVY167" s="200"/>
      <c r="FVZ167" s="201"/>
      <c r="FWA167" s="202"/>
      <c r="FWB167" s="202"/>
      <c r="FWC167" s="202"/>
      <c r="FWD167" s="202"/>
      <c r="FWE167" s="203"/>
      <c r="FWF167" s="204"/>
      <c r="FWG167" s="204"/>
      <c r="FWH167" s="204"/>
      <c r="FWI167" s="205"/>
      <c r="FWJ167" s="206"/>
      <c r="FWK167" s="207"/>
      <c r="FWL167" s="207"/>
      <c r="FWM167" s="208"/>
      <c r="FWN167" s="209"/>
      <c r="FWO167" s="207"/>
      <c r="FWP167" s="210"/>
      <c r="FWQ167" s="209"/>
      <c r="FWR167" s="204"/>
      <c r="FWS167" s="204"/>
      <c r="FWT167" s="204"/>
      <c r="FWU167" s="199"/>
      <c r="FWV167" s="167"/>
      <c r="FWW167" s="199"/>
      <c r="FWX167" s="200"/>
      <c r="FWY167" s="201"/>
      <c r="FWZ167" s="202"/>
      <c r="FXA167" s="202"/>
      <c r="FXB167" s="202"/>
      <c r="FXC167" s="202"/>
      <c r="FXD167" s="203"/>
      <c r="FXE167" s="204"/>
      <c r="FXF167" s="204"/>
      <c r="FXG167" s="204"/>
      <c r="FXH167" s="205"/>
      <c r="FXI167" s="206"/>
      <c r="FXJ167" s="207"/>
      <c r="FXK167" s="207"/>
      <c r="FXL167" s="208"/>
      <c r="FXM167" s="209"/>
      <c r="FXN167" s="207"/>
      <c r="FXO167" s="210"/>
      <c r="FXP167" s="209"/>
      <c r="FXQ167" s="204"/>
      <c r="FXR167" s="204"/>
      <c r="FXS167" s="204"/>
      <c r="FXT167" s="199"/>
      <c r="FXU167" s="167"/>
      <c r="FXV167" s="199"/>
      <c r="FXW167" s="200"/>
      <c r="FXX167" s="201"/>
      <c r="FXY167" s="202"/>
      <c r="FXZ167" s="202"/>
      <c r="FYA167" s="202"/>
      <c r="FYB167" s="202"/>
      <c r="FYC167" s="203"/>
      <c r="FYD167" s="204"/>
      <c r="FYE167" s="204"/>
      <c r="FYF167" s="204"/>
      <c r="FYG167" s="205"/>
      <c r="FYH167" s="206"/>
      <c r="FYI167" s="207"/>
      <c r="FYJ167" s="207"/>
      <c r="FYK167" s="208"/>
      <c r="FYL167" s="209"/>
      <c r="FYM167" s="207"/>
      <c r="FYN167" s="210"/>
      <c r="FYO167" s="209"/>
      <c r="FYP167" s="204"/>
      <c r="FYQ167" s="204"/>
      <c r="FYR167" s="204"/>
      <c r="FYS167" s="199"/>
      <c r="FYT167" s="167"/>
      <c r="FYU167" s="199"/>
      <c r="FYV167" s="200"/>
      <c r="FYW167" s="201"/>
      <c r="FYX167" s="202"/>
      <c r="FYY167" s="202"/>
      <c r="FYZ167" s="202"/>
      <c r="FZA167" s="202"/>
      <c r="FZB167" s="203"/>
      <c r="FZC167" s="204"/>
      <c r="FZD167" s="204"/>
      <c r="FZE167" s="204"/>
      <c r="FZF167" s="205"/>
      <c r="FZG167" s="206"/>
      <c r="FZH167" s="207"/>
      <c r="FZI167" s="207"/>
      <c r="FZJ167" s="208"/>
      <c r="FZK167" s="209"/>
      <c r="FZL167" s="207"/>
      <c r="FZM167" s="210"/>
      <c r="FZN167" s="209"/>
      <c r="FZO167" s="204"/>
      <c r="FZP167" s="204"/>
      <c r="FZQ167" s="204"/>
      <c r="FZR167" s="199"/>
      <c r="FZS167" s="167"/>
      <c r="FZT167" s="199"/>
      <c r="FZU167" s="200"/>
      <c r="FZV167" s="201"/>
      <c r="FZW167" s="202"/>
      <c r="FZX167" s="202"/>
      <c r="FZY167" s="202"/>
      <c r="FZZ167" s="202"/>
      <c r="GAA167" s="203"/>
      <c r="GAB167" s="204"/>
      <c r="GAC167" s="204"/>
      <c r="GAD167" s="204"/>
      <c r="GAE167" s="205"/>
      <c r="GAF167" s="206"/>
      <c r="GAG167" s="207"/>
      <c r="GAH167" s="207"/>
      <c r="GAI167" s="208"/>
      <c r="GAJ167" s="209"/>
      <c r="GAK167" s="207"/>
      <c r="GAL167" s="210"/>
      <c r="GAM167" s="209"/>
      <c r="GAN167" s="204"/>
      <c r="GAO167" s="204"/>
      <c r="GAP167" s="204"/>
      <c r="GAQ167" s="199"/>
      <c r="GAR167" s="167"/>
      <c r="GAS167" s="199"/>
      <c r="GAT167" s="200"/>
      <c r="GAU167" s="201"/>
      <c r="GAV167" s="202"/>
      <c r="GAW167" s="202"/>
      <c r="GAX167" s="202"/>
      <c r="GAY167" s="202"/>
      <c r="GAZ167" s="203"/>
      <c r="GBA167" s="204"/>
      <c r="GBB167" s="204"/>
      <c r="GBC167" s="204"/>
      <c r="GBD167" s="205"/>
      <c r="GBE167" s="206"/>
      <c r="GBF167" s="207"/>
      <c r="GBG167" s="207"/>
      <c r="GBH167" s="208"/>
      <c r="GBI167" s="209"/>
      <c r="GBJ167" s="207"/>
      <c r="GBK167" s="210"/>
      <c r="GBL167" s="209"/>
      <c r="GBM167" s="204"/>
      <c r="GBN167" s="204"/>
      <c r="GBO167" s="204"/>
      <c r="GBP167" s="199"/>
      <c r="GBQ167" s="167"/>
      <c r="GBR167" s="199"/>
      <c r="GBS167" s="200"/>
      <c r="GBT167" s="201"/>
      <c r="GBU167" s="202"/>
      <c r="GBV167" s="202"/>
      <c r="GBW167" s="202"/>
      <c r="GBX167" s="202"/>
      <c r="GBY167" s="203"/>
      <c r="GBZ167" s="204"/>
      <c r="GCA167" s="204"/>
      <c r="GCB167" s="204"/>
      <c r="GCC167" s="205"/>
      <c r="GCD167" s="206"/>
      <c r="GCE167" s="207"/>
      <c r="GCF167" s="207"/>
      <c r="GCG167" s="208"/>
      <c r="GCH167" s="209"/>
      <c r="GCI167" s="207"/>
      <c r="GCJ167" s="210"/>
      <c r="GCK167" s="209"/>
      <c r="GCL167" s="204"/>
      <c r="GCM167" s="204"/>
      <c r="GCN167" s="204"/>
      <c r="GCO167" s="199"/>
      <c r="GCP167" s="167"/>
      <c r="GCQ167" s="199"/>
      <c r="GCR167" s="200"/>
      <c r="GCS167" s="201"/>
      <c r="GCT167" s="202"/>
      <c r="GCU167" s="202"/>
      <c r="GCV167" s="202"/>
      <c r="GCW167" s="202"/>
      <c r="GCX167" s="203"/>
      <c r="GCY167" s="204"/>
      <c r="GCZ167" s="204"/>
      <c r="GDA167" s="204"/>
      <c r="GDB167" s="205"/>
      <c r="GDC167" s="206"/>
      <c r="GDD167" s="207"/>
      <c r="GDE167" s="207"/>
      <c r="GDF167" s="208"/>
      <c r="GDG167" s="209"/>
      <c r="GDH167" s="207"/>
      <c r="GDI167" s="210"/>
      <c r="GDJ167" s="209"/>
      <c r="GDK167" s="204"/>
      <c r="GDL167" s="204"/>
      <c r="GDM167" s="204"/>
      <c r="GDN167" s="199"/>
      <c r="GDO167" s="167"/>
      <c r="GDP167" s="199"/>
      <c r="GDQ167" s="200"/>
      <c r="GDR167" s="201"/>
      <c r="GDS167" s="202"/>
      <c r="GDT167" s="202"/>
      <c r="GDU167" s="202"/>
      <c r="GDV167" s="202"/>
      <c r="GDW167" s="203"/>
      <c r="GDX167" s="204"/>
      <c r="GDY167" s="204"/>
      <c r="GDZ167" s="204"/>
      <c r="GEA167" s="205"/>
      <c r="GEB167" s="206"/>
      <c r="GEC167" s="207"/>
      <c r="GED167" s="207"/>
      <c r="GEE167" s="208"/>
      <c r="GEF167" s="209"/>
      <c r="GEG167" s="207"/>
      <c r="GEH167" s="210"/>
      <c r="GEI167" s="209"/>
      <c r="GEJ167" s="204"/>
      <c r="GEK167" s="204"/>
      <c r="GEL167" s="204"/>
      <c r="GEM167" s="199"/>
      <c r="GEN167" s="167"/>
      <c r="GEO167" s="199"/>
      <c r="GEP167" s="200"/>
      <c r="GEQ167" s="201"/>
      <c r="GER167" s="202"/>
      <c r="GES167" s="202"/>
      <c r="GET167" s="202"/>
      <c r="GEU167" s="202"/>
      <c r="GEV167" s="203"/>
      <c r="GEW167" s="204"/>
      <c r="GEX167" s="204"/>
      <c r="GEY167" s="204"/>
      <c r="GEZ167" s="205"/>
      <c r="GFA167" s="206"/>
      <c r="GFB167" s="207"/>
      <c r="GFC167" s="207"/>
      <c r="GFD167" s="208"/>
      <c r="GFE167" s="209"/>
      <c r="GFF167" s="207"/>
      <c r="GFG167" s="210"/>
      <c r="GFH167" s="209"/>
      <c r="GFI167" s="204"/>
      <c r="GFJ167" s="204"/>
      <c r="GFK167" s="204"/>
      <c r="GFL167" s="199"/>
      <c r="GFM167" s="167"/>
      <c r="GFN167" s="199"/>
      <c r="GFO167" s="200"/>
      <c r="GFP167" s="201"/>
      <c r="GFQ167" s="202"/>
      <c r="GFR167" s="202"/>
      <c r="GFS167" s="202"/>
      <c r="GFT167" s="202"/>
      <c r="GFU167" s="203"/>
      <c r="GFV167" s="204"/>
      <c r="GFW167" s="204"/>
      <c r="GFX167" s="204"/>
      <c r="GFY167" s="205"/>
      <c r="GFZ167" s="206"/>
      <c r="GGA167" s="207"/>
      <c r="GGB167" s="207"/>
      <c r="GGC167" s="208"/>
      <c r="GGD167" s="209"/>
      <c r="GGE167" s="207"/>
      <c r="GGF167" s="210"/>
      <c r="GGG167" s="209"/>
      <c r="GGH167" s="204"/>
      <c r="GGI167" s="204"/>
      <c r="GGJ167" s="204"/>
      <c r="GGK167" s="199"/>
      <c r="GGL167" s="167"/>
      <c r="GGM167" s="199"/>
      <c r="GGN167" s="200"/>
      <c r="GGO167" s="201"/>
      <c r="GGP167" s="202"/>
      <c r="GGQ167" s="202"/>
      <c r="GGR167" s="202"/>
      <c r="GGS167" s="202"/>
      <c r="GGT167" s="203"/>
      <c r="GGU167" s="204"/>
      <c r="GGV167" s="204"/>
      <c r="GGW167" s="204"/>
      <c r="GGX167" s="205"/>
      <c r="GGY167" s="206"/>
      <c r="GGZ167" s="207"/>
      <c r="GHA167" s="207"/>
      <c r="GHB167" s="208"/>
      <c r="GHC167" s="209"/>
      <c r="GHD167" s="207"/>
      <c r="GHE167" s="210"/>
      <c r="GHF167" s="209"/>
      <c r="GHG167" s="204"/>
      <c r="GHH167" s="204"/>
      <c r="GHI167" s="204"/>
      <c r="GHJ167" s="199"/>
      <c r="GHK167" s="167"/>
      <c r="GHL167" s="199"/>
      <c r="GHM167" s="200"/>
      <c r="GHN167" s="201"/>
      <c r="GHO167" s="202"/>
      <c r="GHP167" s="202"/>
      <c r="GHQ167" s="202"/>
      <c r="GHR167" s="202"/>
      <c r="GHS167" s="203"/>
      <c r="GHT167" s="204"/>
      <c r="GHU167" s="204"/>
      <c r="GHV167" s="204"/>
      <c r="GHW167" s="205"/>
      <c r="GHX167" s="206"/>
      <c r="GHY167" s="207"/>
      <c r="GHZ167" s="207"/>
      <c r="GIA167" s="208"/>
      <c r="GIB167" s="209"/>
      <c r="GIC167" s="207"/>
      <c r="GID167" s="210"/>
      <c r="GIE167" s="209"/>
      <c r="GIF167" s="204"/>
      <c r="GIG167" s="204"/>
      <c r="GIH167" s="204"/>
      <c r="GII167" s="199"/>
      <c r="GIJ167" s="167"/>
      <c r="GIK167" s="199"/>
      <c r="GIL167" s="200"/>
      <c r="GIM167" s="201"/>
      <c r="GIN167" s="202"/>
      <c r="GIO167" s="202"/>
      <c r="GIP167" s="202"/>
      <c r="GIQ167" s="202"/>
      <c r="GIR167" s="203"/>
      <c r="GIS167" s="204"/>
      <c r="GIT167" s="204"/>
      <c r="GIU167" s="204"/>
      <c r="GIV167" s="205"/>
      <c r="GIW167" s="206"/>
      <c r="GIX167" s="207"/>
      <c r="GIY167" s="207"/>
      <c r="GIZ167" s="208"/>
      <c r="GJA167" s="209"/>
      <c r="GJB167" s="207"/>
      <c r="GJC167" s="210"/>
      <c r="GJD167" s="209"/>
      <c r="GJE167" s="204"/>
      <c r="GJF167" s="204"/>
      <c r="GJG167" s="204"/>
      <c r="GJH167" s="199"/>
      <c r="GJI167" s="167"/>
      <c r="GJJ167" s="199"/>
      <c r="GJK167" s="200"/>
      <c r="GJL167" s="201"/>
      <c r="GJM167" s="202"/>
      <c r="GJN167" s="202"/>
      <c r="GJO167" s="202"/>
      <c r="GJP167" s="202"/>
      <c r="GJQ167" s="203"/>
      <c r="GJR167" s="204"/>
      <c r="GJS167" s="204"/>
      <c r="GJT167" s="204"/>
      <c r="GJU167" s="205"/>
      <c r="GJV167" s="206"/>
      <c r="GJW167" s="207"/>
      <c r="GJX167" s="207"/>
      <c r="GJY167" s="208"/>
      <c r="GJZ167" s="209"/>
      <c r="GKA167" s="207"/>
      <c r="GKB167" s="210"/>
      <c r="GKC167" s="209"/>
      <c r="GKD167" s="204"/>
      <c r="GKE167" s="204"/>
      <c r="GKF167" s="204"/>
      <c r="GKG167" s="199"/>
      <c r="GKH167" s="167"/>
      <c r="GKI167" s="199"/>
      <c r="GKJ167" s="200"/>
      <c r="GKK167" s="201"/>
      <c r="GKL167" s="202"/>
      <c r="GKM167" s="202"/>
      <c r="GKN167" s="202"/>
      <c r="GKO167" s="202"/>
      <c r="GKP167" s="203"/>
      <c r="GKQ167" s="204"/>
      <c r="GKR167" s="204"/>
      <c r="GKS167" s="204"/>
      <c r="GKT167" s="205"/>
      <c r="GKU167" s="206"/>
      <c r="GKV167" s="207"/>
      <c r="GKW167" s="207"/>
      <c r="GKX167" s="208"/>
      <c r="GKY167" s="209"/>
      <c r="GKZ167" s="207"/>
      <c r="GLA167" s="210"/>
      <c r="GLB167" s="209"/>
      <c r="GLC167" s="204"/>
      <c r="GLD167" s="204"/>
      <c r="GLE167" s="204"/>
      <c r="GLF167" s="199"/>
      <c r="GLG167" s="167"/>
      <c r="GLH167" s="199"/>
      <c r="GLI167" s="200"/>
      <c r="GLJ167" s="201"/>
      <c r="GLK167" s="202"/>
      <c r="GLL167" s="202"/>
      <c r="GLM167" s="202"/>
      <c r="GLN167" s="202"/>
      <c r="GLO167" s="203"/>
      <c r="GLP167" s="204"/>
      <c r="GLQ167" s="204"/>
      <c r="GLR167" s="204"/>
      <c r="GLS167" s="205"/>
      <c r="GLT167" s="206"/>
      <c r="GLU167" s="207"/>
      <c r="GLV167" s="207"/>
      <c r="GLW167" s="208"/>
      <c r="GLX167" s="209"/>
      <c r="GLY167" s="207"/>
      <c r="GLZ167" s="210"/>
      <c r="GMA167" s="209"/>
      <c r="GMB167" s="204"/>
      <c r="GMC167" s="204"/>
      <c r="GMD167" s="204"/>
      <c r="GME167" s="199"/>
      <c r="GMF167" s="167"/>
      <c r="GMG167" s="199"/>
      <c r="GMH167" s="200"/>
      <c r="GMI167" s="201"/>
      <c r="GMJ167" s="202"/>
      <c r="GMK167" s="202"/>
      <c r="GML167" s="202"/>
      <c r="GMM167" s="202"/>
      <c r="GMN167" s="203"/>
      <c r="GMO167" s="204"/>
      <c r="GMP167" s="204"/>
      <c r="GMQ167" s="204"/>
      <c r="GMR167" s="205"/>
      <c r="GMS167" s="206"/>
      <c r="GMT167" s="207"/>
      <c r="GMU167" s="207"/>
      <c r="GMV167" s="208"/>
      <c r="GMW167" s="209"/>
      <c r="GMX167" s="207"/>
      <c r="GMY167" s="210"/>
      <c r="GMZ167" s="209"/>
      <c r="GNA167" s="204"/>
      <c r="GNB167" s="204"/>
      <c r="GNC167" s="204"/>
      <c r="GND167" s="199"/>
      <c r="GNE167" s="167"/>
      <c r="GNF167" s="199"/>
      <c r="GNG167" s="200"/>
      <c r="GNH167" s="201"/>
      <c r="GNI167" s="202"/>
      <c r="GNJ167" s="202"/>
      <c r="GNK167" s="202"/>
      <c r="GNL167" s="202"/>
      <c r="GNM167" s="203"/>
      <c r="GNN167" s="204"/>
      <c r="GNO167" s="204"/>
      <c r="GNP167" s="204"/>
      <c r="GNQ167" s="205"/>
      <c r="GNR167" s="206"/>
      <c r="GNS167" s="207"/>
      <c r="GNT167" s="207"/>
      <c r="GNU167" s="208"/>
      <c r="GNV167" s="209"/>
      <c r="GNW167" s="207"/>
      <c r="GNX167" s="210"/>
      <c r="GNY167" s="209"/>
      <c r="GNZ167" s="204"/>
      <c r="GOA167" s="204"/>
      <c r="GOB167" s="204"/>
      <c r="GOC167" s="199"/>
      <c r="GOD167" s="167"/>
      <c r="GOE167" s="199"/>
      <c r="GOF167" s="200"/>
      <c r="GOG167" s="201"/>
      <c r="GOH167" s="202"/>
      <c r="GOI167" s="202"/>
      <c r="GOJ167" s="202"/>
      <c r="GOK167" s="202"/>
      <c r="GOL167" s="203"/>
      <c r="GOM167" s="204"/>
      <c r="GON167" s="204"/>
      <c r="GOO167" s="204"/>
      <c r="GOP167" s="205"/>
      <c r="GOQ167" s="206"/>
      <c r="GOR167" s="207"/>
      <c r="GOS167" s="207"/>
      <c r="GOT167" s="208"/>
      <c r="GOU167" s="209"/>
      <c r="GOV167" s="207"/>
      <c r="GOW167" s="210"/>
      <c r="GOX167" s="209"/>
      <c r="GOY167" s="204"/>
      <c r="GOZ167" s="204"/>
      <c r="GPA167" s="204"/>
      <c r="GPB167" s="199"/>
      <c r="GPC167" s="167"/>
      <c r="GPD167" s="199"/>
      <c r="GPE167" s="200"/>
      <c r="GPF167" s="201"/>
      <c r="GPG167" s="202"/>
      <c r="GPH167" s="202"/>
      <c r="GPI167" s="202"/>
      <c r="GPJ167" s="202"/>
      <c r="GPK167" s="203"/>
      <c r="GPL167" s="204"/>
      <c r="GPM167" s="204"/>
      <c r="GPN167" s="204"/>
      <c r="GPO167" s="205"/>
      <c r="GPP167" s="206"/>
      <c r="GPQ167" s="207"/>
      <c r="GPR167" s="207"/>
      <c r="GPS167" s="208"/>
      <c r="GPT167" s="209"/>
      <c r="GPU167" s="207"/>
      <c r="GPV167" s="210"/>
      <c r="GPW167" s="209"/>
      <c r="GPX167" s="204"/>
      <c r="GPY167" s="204"/>
      <c r="GPZ167" s="204"/>
      <c r="GQA167" s="199"/>
      <c r="GQB167" s="167"/>
      <c r="GQC167" s="199"/>
      <c r="GQD167" s="200"/>
      <c r="GQE167" s="201"/>
      <c r="GQF167" s="202"/>
      <c r="GQG167" s="202"/>
      <c r="GQH167" s="202"/>
      <c r="GQI167" s="202"/>
      <c r="GQJ167" s="203"/>
      <c r="GQK167" s="204"/>
      <c r="GQL167" s="204"/>
      <c r="GQM167" s="204"/>
      <c r="GQN167" s="205"/>
      <c r="GQO167" s="206"/>
      <c r="GQP167" s="207"/>
      <c r="GQQ167" s="207"/>
      <c r="GQR167" s="208"/>
      <c r="GQS167" s="209"/>
      <c r="GQT167" s="207"/>
      <c r="GQU167" s="210"/>
      <c r="GQV167" s="209"/>
      <c r="GQW167" s="204"/>
      <c r="GQX167" s="204"/>
      <c r="GQY167" s="204"/>
      <c r="GQZ167" s="199"/>
      <c r="GRA167" s="167"/>
      <c r="GRB167" s="199"/>
      <c r="GRC167" s="200"/>
      <c r="GRD167" s="201"/>
      <c r="GRE167" s="202"/>
      <c r="GRF167" s="202"/>
      <c r="GRG167" s="202"/>
      <c r="GRH167" s="202"/>
      <c r="GRI167" s="203"/>
      <c r="GRJ167" s="204"/>
      <c r="GRK167" s="204"/>
      <c r="GRL167" s="204"/>
      <c r="GRM167" s="205"/>
      <c r="GRN167" s="206"/>
      <c r="GRO167" s="207"/>
      <c r="GRP167" s="207"/>
      <c r="GRQ167" s="208"/>
      <c r="GRR167" s="209"/>
      <c r="GRS167" s="207"/>
      <c r="GRT167" s="210"/>
      <c r="GRU167" s="209"/>
      <c r="GRV167" s="204"/>
      <c r="GRW167" s="204"/>
      <c r="GRX167" s="204"/>
      <c r="GRY167" s="199"/>
      <c r="GRZ167" s="167"/>
      <c r="GSA167" s="199"/>
      <c r="GSB167" s="200"/>
      <c r="GSC167" s="201"/>
      <c r="GSD167" s="202"/>
      <c r="GSE167" s="202"/>
      <c r="GSF167" s="202"/>
      <c r="GSG167" s="202"/>
      <c r="GSH167" s="203"/>
      <c r="GSI167" s="204"/>
      <c r="GSJ167" s="204"/>
      <c r="GSK167" s="204"/>
      <c r="GSL167" s="205"/>
      <c r="GSM167" s="206"/>
      <c r="GSN167" s="207"/>
      <c r="GSO167" s="207"/>
      <c r="GSP167" s="208"/>
      <c r="GSQ167" s="209"/>
      <c r="GSR167" s="207"/>
      <c r="GSS167" s="210"/>
      <c r="GST167" s="209"/>
      <c r="GSU167" s="204"/>
      <c r="GSV167" s="204"/>
      <c r="GSW167" s="204"/>
      <c r="GSX167" s="199"/>
      <c r="GSY167" s="167"/>
      <c r="GSZ167" s="199"/>
      <c r="GTA167" s="200"/>
      <c r="GTB167" s="201"/>
      <c r="GTC167" s="202"/>
      <c r="GTD167" s="202"/>
      <c r="GTE167" s="202"/>
      <c r="GTF167" s="202"/>
      <c r="GTG167" s="203"/>
      <c r="GTH167" s="204"/>
      <c r="GTI167" s="204"/>
      <c r="GTJ167" s="204"/>
      <c r="GTK167" s="205"/>
      <c r="GTL167" s="206"/>
      <c r="GTM167" s="207"/>
      <c r="GTN167" s="207"/>
      <c r="GTO167" s="208"/>
      <c r="GTP167" s="209"/>
      <c r="GTQ167" s="207"/>
      <c r="GTR167" s="210"/>
      <c r="GTS167" s="209"/>
      <c r="GTT167" s="204"/>
      <c r="GTU167" s="204"/>
      <c r="GTV167" s="204"/>
      <c r="GTW167" s="199"/>
      <c r="GTX167" s="167"/>
      <c r="GTY167" s="199"/>
      <c r="GTZ167" s="200"/>
      <c r="GUA167" s="201"/>
      <c r="GUB167" s="202"/>
      <c r="GUC167" s="202"/>
      <c r="GUD167" s="202"/>
      <c r="GUE167" s="202"/>
      <c r="GUF167" s="203"/>
      <c r="GUG167" s="204"/>
      <c r="GUH167" s="204"/>
      <c r="GUI167" s="204"/>
      <c r="GUJ167" s="205"/>
      <c r="GUK167" s="206"/>
      <c r="GUL167" s="207"/>
      <c r="GUM167" s="207"/>
      <c r="GUN167" s="208"/>
      <c r="GUO167" s="209"/>
      <c r="GUP167" s="207"/>
      <c r="GUQ167" s="210"/>
      <c r="GUR167" s="209"/>
      <c r="GUS167" s="204"/>
      <c r="GUT167" s="204"/>
      <c r="GUU167" s="204"/>
      <c r="GUV167" s="199"/>
      <c r="GUW167" s="167"/>
      <c r="GUX167" s="199"/>
      <c r="GUY167" s="200"/>
      <c r="GUZ167" s="201"/>
      <c r="GVA167" s="202"/>
      <c r="GVB167" s="202"/>
      <c r="GVC167" s="202"/>
      <c r="GVD167" s="202"/>
      <c r="GVE167" s="203"/>
      <c r="GVF167" s="204"/>
      <c r="GVG167" s="204"/>
      <c r="GVH167" s="204"/>
      <c r="GVI167" s="205"/>
      <c r="GVJ167" s="206"/>
      <c r="GVK167" s="207"/>
      <c r="GVL167" s="207"/>
      <c r="GVM167" s="208"/>
      <c r="GVN167" s="209"/>
      <c r="GVO167" s="207"/>
      <c r="GVP167" s="210"/>
      <c r="GVQ167" s="209"/>
      <c r="GVR167" s="204"/>
      <c r="GVS167" s="204"/>
      <c r="GVT167" s="204"/>
      <c r="GVU167" s="199"/>
      <c r="GVV167" s="167"/>
      <c r="GVW167" s="199"/>
      <c r="GVX167" s="200"/>
      <c r="GVY167" s="201"/>
      <c r="GVZ167" s="202"/>
      <c r="GWA167" s="202"/>
      <c r="GWB167" s="202"/>
      <c r="GWC167" s="202"/>
      <c r="GWD167" s="203"/>
      <c r="GWE167" s="204"/>
      <c r="GWF167" s="204"/>
      <c r="GWG167" s="204"/>
      <c r="GWH167" s="205"/>
      <c r="GWI167" s="206"/>
      <c r="GWJ167" s="207"/>
      <c r="GWK167" s="207"/>
      <c r="GWL167" s="208"/>
      <c r="GWM167" s="209"/>
      <c r="GWN167" s="207"/>
      <c r="GWO167" s="210"/>
      <c r="GWP167" s="209"/>
      <c r="GWQ167" s="204"/>
      <c r="GWR167" s="204"/>
      <c r="GWS167" s="204"/>
      <c r="GWT167" s="199"/>
      <c r="GWU167" s="167"/>
      <c r="GWV167" s="199"/>
      <c r="GWW167" s="200"/>
      <c r="GWX167" s="201"/>
      <c r="GWY167" s="202"/>
      <c r="GWZ167" s="202"/>
      <c r="GXA167" s="202"/>
      <c r="GXB167" s="202"/>
      <c r="GXC167" s="203"/>
      <c r="GXD167" s="204"/>
      <c r="GXE167" s="204"/>
      <c r="GXF167" s="204"/>
      <c r="GXG167" s="205"/>
      <c r="GXH167" s="206"/>
      <c r="GXI167" s="207"/>
      <c r="GXJ167" s="207"/>
      <c r="GXK167" s="208"/>
      <c r="GXL167" s="209"/>
      <c r="GXM167" s="207"/>
      <c r="GXN167" s="210"/>
      <c r="GXO167" s="209"/>
      <c r="GXP167" s="204"/>
      <c r="GXQ167" s="204"/>
      <c r="GXR167" s="204"/>
      <c r="GXS167" s="199"/>
      <c r="GXT167" s="167"/>
      <c r="GXU167" s="199"/>
      <c r="GXV167" s="200"/>
      <c r="GXW167" s="201"/>
      <c r="GXX167" s="202"/>
      <c r="GXY167" s="202"/>
      <c r="GXZ167" s="202"/>
      <c r="GYA167" s="202"/>
      <c r="GYB167" s="203"/>
      <c r="GYC167" s="204"/>
      <c r="GYD167" s="204"/>
      <c r="GYE167" s="204"/>
      <c r="GYF167" s="205"/>
      <c r="GYG167" s="206"/>
      <c r="GYH167" s="207"/>
      <c r="GYI167" s="207"/>
      <c r="GYJ167" s="208"/>
      <c r="GYK167" s="209"/>
      <c r="GYL167" s="207"/>
      <c r="GYM167" s="210"/>
      <c r="GYN167" s="209"/>
      <c r="GYO167" s="204"/>
      <c r="GYP167" s="204"/>
      <c r="GYQ167" s="204"/>
      <c r="GYR167" s="199"/>
      <c r="GYS167" s="167"/>
      <c r="GYT167" s="199"/>
      <c r="GYU167" s="200"/>
      <c r="GYV167" s="201"/>
      <c r="GYW167" s="202"/>
      <c r="GYX167" s="202"/>
      <c r="GYY167" s="202"/>
      <c r="GYZ167" s="202"/>
      <c r="GZA167" s="203"/>
      <c r="GZB167" s="204"/>
      <c r="GZC167" s="204"/>
      <c r="GZD167" s="204"/>
      <c r="GZE167" s="205"/>
      <c r="GZF167" s="206"/>
      <c r="GZG167" s="207"/>
      <c r="GZH167" s="207"/>
      <c r="GZI167" s="208"/>
      <c r="GZJ167" s="209"/>
      <c r="GZK167" s="207"/>
      <c r="GZL167" s="210"/>
      <c r="GZM167" s="209"/>
      <c r="GZN167" s="204"/>
      <c r="GZO167" s="204"/>
      <c r="GZP167" s="204"/>
      <c r="GZQ167" s="199"/>
      <c r="GZR167" s="167"/>
      <c r="GZS167" s="199"/>
      <c r="GZT167" s="200"/>
      <c r="GZU167" s="201"/>
      <c r="GZV167" s="202"/>
      <c r="GZW167" s="202"/>
      <c r="GZX167" s="202"/>
      <c r="GZY167" s="202"/>
      <c r="GZZ167" s="203"/>
      <c r="HAA167" s="204"/>
      <c r="HAB167" s="204"/>
      <c r="HAC167" s="204"/>
      <c r="HAD167" s="205"/>
      <c r="HAE167" s="206"/>
      <c r="HAF167" s="207"/>
      <c r="HAG167" s="207"/>
      <c r="HAH167" s="208"/>
      <c r="HAI167" s="209"/>
      <c r="HAJ167" s="207"/>
      <c r="HAK167" s="210"/>
      <c r="HAL167" s="209"/>
      <c r="HAM167" s="204"/>
      <c r="HAN167" s="204"/>
      <c r="HAO167" s="204"/>
      <c r="HAP167" s="199"/>
      <c r="HAQ167" s="167"/>
      <c r="HAR167" s="199"/>
      <c r="HAS167" s="200"/>
      <c r="HAT167" s="201"/>
      <c r="HAU167" s="202"/>
      <c r="HAV167" s="202"/>
      <c r="HAW167" s="202"/>
      <c r="HAX167" s="202"/>
      <c r="HAY167" s="203"/>
      <c r="HAZ167" s="204"/>
      <c r="HBA167" s="204"/>
      <c r="HBB167" s="204"/>
      <c r="HBC167" s="205"/>
      <c r="HBD167" s="206"/>
      <c r="HBE167" s="207"/>
      <c r="HBF167" s="207"/>
      <c r="HBG167" s="208"/>
      <c r="HBH167" s="209"/>
      <c r="HBI167" s="207"/>
      <c r="HBJ167" s="210"/>
      <c r="HBK167" s="209"/>
      <c r="HBL167" s="204"/>
      <c r="HBM167" s="204"/>
      <c r="HBN167" s="204"/>
      <c r="HBO167" s="199"/>
      <c r="HBP167" s="167"/>
      <c r="HBQ167" s="199"/>
      <c r="HBR167" s="200"/>
      <c r="HBS167" s="201"/>
      <c r="HBT167" s="202"/>
      <c r="HBU167" s="202"/>
      <c r="HBV167" s="202"/>
      <c r="HBW167" s="202"/>
      <c r="HBX167" s="203"/>
      <c r="HBY167" s="204"/>
      <c r="HBZ167" s="204"/>
      <c r="HCA167" s="204"/>
      <c r="HCB167" s="205"/>
      <c r="HCC167" s="206"/>
      <c r="HCD167" s="207"/>
      <c r="HCE167" s="207"/>
      <c r="HCF167" s="208"/>
      <c r="HCG167" s="209"/>
      <c r="HCH167" s="207"/>
      <c r="HCI167" s="210"/>
      <c r="HCJ167" s="209"/>
      <c r="HCK167" s="204"/>
      <c r="HCL167" s="204"/>
      <c r="HCM167" s="204"/>
      <c r="HCN167" s="199"/>
      <c r="HCO167" s="167"/>
      <c r="HCP167" s="199"/>
      <c r="HCQ167" s="200"/>
      <c r="HCR167" s="201"/>
      <c r="HCS167" s="202"/>
      <c r="HCT167" s="202"/>
      <c r="HCU167" s="202"/>
      <c r="HCV167" s="202"/>
      <c r="HCW167" s="203"/>
      <c r="HCX167" s="204"/>
      <c r="HCY167" s="204"/>
      <c r="HCZ167" s="204"/>
      <c r="HDA167" s="205"/>
      <c r="HDB167" s="206"/>
      <c r="HDC167" s="207"/>
      <c r="HDD167" s="207"/>
      <c r="HDE167" s="208"/>
      <c r="HDF167" s="209"/>
      <c r="HDG167" s="207"/>
      <c r="HDH167" s="210"/>
      <c r="HDI167" s="209"/>
      <c r="HDJ167" s="204"/>
      <c r="HDK167" s="204"/>
      <c r="HDL167" s="204"/>
      <c r="HDM167" s="199"/>
      <c r="HDN167" s="167"/>
      <c r="HDO167" s="199"/>
      <c r="HDP167" s="200"/>
      <c r="HDQ167" s="201"/>
      <c r="HDR167" s="202"/>
      <c r="HDS167" s="202"/>
      <c r="HDT167" s="202"/>
      <c r="HDU167" s="202"/>
      <c r="HDV167" s="203"/>
      <c r="HDW167" s="204"/>
      <c r="HDX167" s="204"/>
      <c r="HDY167" s="204"/>
      <c r="HDZ167" s="205"/>
      <c r="HEA167" s="206"/>
      <c r="HEB167" s="207"/>
      <c r="HEC167" s="207"/>
      <c r="HED167" s="208"/>
      <c r="HEE167" s="209"/>
      <c r="HEF167" s="207"/>
      <c r="HEG167" s="210"/>
      <c r="HEH167" s="209"/>
      <c r="HEI167" s="204"/>
      <c r="HEJ167" s="204"/>
      <c r="HEK167" s="204"/>
      <c r="HEL167" s="199"/>
      <c r="HEM167" s="167"/>
      <c r="HEN167" s="199"/>
      <c r="HEO167" s="200"/>
      <c r="HEP167" s="201"/>
      <c r="HEQ167" s="202"/>
      <c r="HER167" s="202"/>
      <c r="HES167" s="202"/>
      <c r="HET167" s="202"/>
      <c r="HEU167" s="203"/>
      <c r="HEV167" s="204"/>
      <c r="HEW167" s="204"/>
      <c r="HEX167" s="204"/>
      <c r="HEY167" s="205"/>
      <c r="HEZ167" s="206"/>
      <c r="HFA167" s="207"/>
      <c r="HFB167" s="207"/>
      <c r="HFC167" s="208"/>
      <c r="HFD167" s="209"/>
      <c r="HFE167" s="207"/>
      <c r="HFF167" s="210"/>
      <c r="HFG167" s="209"/>
      <c r="HFH167" s="204"/>
      <c r="HFI167" s="204"/>
      <c r="HFJ167" s="204"/>
      <c r="HFK167" s="199"/>
      <c r="HFL167" s="167"/>
      <c r="HFM167" s="199"/>
      <c r="HFN167" s="200"/>
      <c r="HFO167" s="201"/>
      <c r="HFP167" s="202"/>
      <c r="HFQ167" s="202"/>
      <c r="HFR167" s="202"/>
      <c r="HFS167" s="202"/>
      <c r="HFT167" s="203"/>
      <c r="HFU167" s="204"/>
      <c r="HFV167" s="204"/>
      <c r="HFW167" s="204"/>
      <c r="HFX167" s="205"/>
      <c r="HFY167" s="206"/>
      <c r="HFZ167" s="207"/>
      <c r="HGA167" s="207"/>
      <c r="HGB167" s="208"/>
      <c r="HGC167" s="209"/>
      <c r="HGD167" s="207"/>
      <c r="HGE167" s="210"/>
      <c r="HGF167" s="209"/>
      <c r="HGG167" s="204"/>
      <c r="HGH167" s="204"/>
      <c r="HGI167" s="204"/>
      <c r="HGJ167" s="199"/>
      <c r="HGK167" s="167"/>
      <c r="HGL167" s="199"/>
      <c r="HGM167" s="200"/>
      <c r="HGN167" s="201"/>
      <c r="HGO167" s="202"/>
      <c r="HGP167" s="202"/>
      <c r="HGQ167" s="202"/>
      <c r="HGR167" s="202"/>
      <c r="HGS167" s="203"/>
      <c r="HGT167" s="204"/>
      <c r="HGU167" s="204"/>
      <c r="HGV167" s="204"/>
      <c r="HGW167" s="205"/>
      <c r="HGX167" s="206"/>
      <c r="HGY167" s="207"/>
      <c r="HGZ167" s="207"/>
      <c r="HHA167" s="208"/>
      <c r="HHB167" s="209"/>
      <c r="HHC167" s="207"/>
      <c r="HHD167" s="210"/>
      <c r="HHE167" s="209"/>
      <c r="HHF167" s="204"/>
      <c r="HHG167" s="204"/>
      <c r="HHH167" s="204"/>
      <c r="HHI167" s="199"/>
      <c r="HHJ167" s="167"/>
      <c r="HHK167" s="199"/>
      <c r="HHL167" s="200"/>
      <c r="HHM167" s="201"/>
      <c r="HHN167" s="202"/>
      <c r="HHO167" s="202"/>
      <c r="HHP167" s="202"/>
      <c r="HHQ167" s="202"/>
      <c r="HHR167" s="203"/>
      <c r="HHS167" s="204"/>
      <c r="HHT167" s="204"/>
      <c r="HHU167" s="204"/>
      <c r="HHV167" s="205"/>
      <c r="HHW167" s="206"/>
      <c r="HHX167" s="207"/>
      <c r="HHY167" s="207"/>
      <c r="HHZ167" s="208"/>
      <c r="HIA167" s="209"/>
      <c r="HIB167" s="207"/>
      <c r="HIC167" s="210"/>
      <c r="HID167" s="209"/>
      <c r="HIE167" s="204"/>
      <c r="HIF167" s="204"/>
      <c r="HIG167" s="204"/>
      <c r="HIH167" s="199"/>
      <c r="HII167" s="167"/>
      <c r="HIJ167" s="199"/>
      <c r="HIK167" s="200"/>
      <c r="HIL167" s="201"/>
      <c r="HIM167" s="202"/>
      <c r="HIN167" s="202"/>
      <c r="HIO167" s="202"/>
      <c r="HIP167" s="202"/>
      <c r="HIQ167" s="203"/>
      <c r="HIR167" s="204"/>
      <c r="HIS167" s="204"/>
      <c r="HIT167" s="204"/>
      <c r="HIU167" s="205"/>
      <c r="HIV167" s="206"/>
      <c r="HIW167" s="207"/>
      <c r="HIX167" s="207"/>
      <c r="HIY167" s="208"/>
      <c r="HIZ167" s="209"/>
      <c r="HJA167" s="207"/>
      <c r="HJB167" s="210"/>
      <c r="HJC167" s="209"/>
      <c r="HJD167" s="204"/>
      <c r="HJE167" s="204"/>
      <c r="HJF167" s="204"/>
      <c r="HJG167" s="199"/>
      <c r="HJH167" s="167"/>
      <c r="HJI167" s="199"/>
      <c r="HJJ167" s="200"/>
      <c r="HJK167" s="201"/>
      <c r="HJL167" s="202"/>
      <c r="HJM167" s="202"/>
      <c r="HJN167" s="202"/>
      <c r="HJO167" s="202"/>
      <c r="HJP167" s="203"/>
      <c r="HJQ167" s="204"/>
      <c r="HJR167" s="204"/>
      <c r="HJS167" s="204"/>
      <c r="HJT167" s="205"/>
      <c r="HJU167" s="206"/>
      <c r="HJV167" s="207"/>
      <c r="HJW167" s="207"/>
      <c r="HJX167" s="208"/>
      <c r="HJY167" s="209"/>
      <c r="HJZ167" s="207"/>
      <c r="HKA167" s="210"/>
      <c r="HKB167" s="209"/>
      <c r="HKC167" s="204"/>
      <c r="HKD167" s="204"/>
      <c r="HKE167" s="204"/>
      <c r="HKF167" s="199"/>
      <c r="HKG167" s="167"/>
      <c r="HKH167" s="199"/>
      <c r="HKI167" s="200"/>
      <c r="HKJ167" s="201"/>
      <c r="HKK167" s="202"/>
      <c r="HKL167" s="202"/>
      <c r="HKM167" s="202"/>
      <c r="HKN167" s="202"/>
      <c r="HKO167" s="203"/>
      <c r="HKP167" s="204"/>
      <c r="HKQ167" s="204"/>
      <c r="HKR167" s="204"/>
      <c r="HKS167" s="205"/>
      <c r="HKT167" s="206"/>
      <c r="HKU167" s="207"/>
      <c r="HKV167" s="207"/>
      <c r="HKW167" s="208"/>
      <c r="HKX167" s="209"/>
      <c r="HKY167" s="207"/>
      <c r="HKZ167" s="210"/>
      <c r="HLA167" s="209"/>
      <c r="HLB167" s="204"/>
      <c r="HLC167" s="204"/>
      <c r="HLD167" s="204"/>
      <c r="HLE167" s="199"/>
      <c r="HLF167" s="167"/>
      <c r="HLG167" s="199"/>
      <c r="HLH167" s="200"/>
      <c r="HLI167" s="201"/>
      <c r="HLJ167" s="202"/>
      <c r="HLK167" s="202"/>
      <c r="HLL167" s="202"/>
      <c r="HLM167" s="202"/>
      <c r="HLN167" s="203"/>
      <c r="HLO167" s="204"/>
      <c r="HLP167" s="204"/>
      <c r="HLQ167" s="204"/>
      <c r="HLR167" s="205"/>
      <c r="HLS167" s="206"/>
      <c r="HLT167" s="207"/>
      <c r="HLU167" s="207"/>
      <c r="HLV167" s="208"/>
      <c r="HLW167" s="209"/>
      <c r="HLX167" s="207"/>
      <c r="HLY167" s="210"/>
      <c r="HLZ167" s="209"/>
      <c r="HMA167" s="204"/>
      <c r="HMB167" s="204"/>
      <c r="HMC167" s="204"/>
      <c r="HMD167" s="199"/>
      <c r="HME167" s="167"/>
      <c r="HMF167" s="199"/>
      <c r="HMG167" s="200"/>
      <c r="HMH167" s="201"/>
      <c r="HMI167" s="202"/>
      <c r="HMJ167" s="202"/>
      <c r="HMK167" s="202"/>
      <c r="HML167" s="202"/>
      <c r="HMM167" s="203"/>
      <c r="HMN167" s="204"/>
      <c r="HMO167" s="204"/>
      <c r="HMP167" s="204"/>
      <c r="HMQ167" s="205"/>
      <c r="HMR167" s="206"/>
      <c r="HMS167" s="207"/>
      <c r="HMT167" s="207"/>
      <c r="HMU167" s="208"/>
      <c r="HMV167" s="209"/>
      <c r="HMW167" s="207"/>
      <c r="HMX167" s="210"/>
      <c r="HMY167" s="209"/>
      <c r="HMZ167" s="204"/>
      <c r="HNA167" s="204"/>
      <c r="HNB167" s="204"/>
      <c r="HNC167" s="199"/>
      <c r="HND167" s="167"/>
      <c r="HNE167" s="199"/>
      <c r="HNF167" s="200"/>
      <c r="HNG167" s="201"/>
      <c r="HNH167" s="202"/>
      <c r="HNI167" s="202"/>
      <c r="HNJ167" s="202"/>
      <c r="HNK167" s="202"/>
      <c r="HNL167" s="203"/>
      <c r="HNM167" s="204"/>
      <c r="HNN167" s="204"/>
      <c r="HNO167" s="204"/>
      <c r="HNP167" s="205"/>
      <c r="HNQ167" s="206"/>
      <c r="HNR167" s="207"/>
      <c r="HNS167" s="207"/>
      <c r="HNT167" s="208"/>
      <c r="HNU167" s="209"/>
      <c r="HNV167" s="207"/>
      <c r="HNW167" s="210"/>
      <c r="HNX167" s="209"/>
      <c r="HNY167" s="204"/>
      <c r="HNZ167" s="204"/>
      <c r="HOA167" s="204"/>
      <c r="HOB167" s="199"/>
      <c r="HOC167" s="167"/>
      <c r="HOD167" s="199"/>
      <c r="HOE167" s="200"/>
      <c r="HOF167" s="201"/>
      <c r="HOG167" s="202"/>
      <c r="HOH167" s="202"/>
      <c r="HOI167" s="202"/>
      <c r="HOJ167" s="202"/>
      <c r="HOK167" s="203"/>
      <c r="HOL167" s="204"/>
      <c r="HOM167" s="204"/>
      <c r="HON167" s="204"/>
      <c r="HOO167" s="205"/>
      <c r="HOP167" s="206"/>
      <c r="HOQ167" s="207"/>
      <c r="HOR167" s="207"/>
      <c r="HOS167" s="208"/>
      <c r="HOT167" s="209"/>
      <c r="HOU167" s="207"/>
      <c r="HOV167" s="210"/>
      <c r="HOW167" s="209"/>
      <c r="HOX167" s="204"/>
      <c r="HOY167" s="204"/>
      <c r="HOZ167" s="204"/>
      <c r="HPA167" s="199"/>
      <c r="HPB167" s="167"/>
      <c r="HPC167" s="199"/>
      <c r="HPD167" s="200"/>
      <c r="HPE167" s="201"/>
      <c r="HPF167" s="202"/>
      <c r="HPG167" s="202"/>
      <c r="HPH167" s="202"/>
      <c r="HPI167" s="202"/>
      <c r="HPJ167" s="203"/>
      <c r="HPK167" s="204"/>
      <c r="HPL167" s="204"/>
      <c r="HPM167" s="204"/>
      <c r="HPN167" s="205"/>
      <c r="HPO167" s="206"/>
      <c r="HPP167" s="207"/>
      <c r="HPQ167" s="207"/>
      <c r="HPR167" s="208"/>
      <c r="HPS167" s="209"/>
      <c r="HPT167" s="207"/>
      <c r="HPU167" s="210"/>
      <c r="HPV167" s="209"/>
      <c r="HPW167" s="204"/>
      <c r="HPX167" s="204"/>
      <c r="HPY167" s="204"/>
      <c r="HPZ167" s="199"/>
      <c r="HQA167" s="167"/>
      <c r="HQB167" s="199"/>
      <c r="HQC167" s="200"/>
      <c r="HQD167" s="201"/>
      <c r="HQE167" s="202"/>
      <c r="HQF167" s="202"/>
      <c r="HQG167" s="202"/>
      <c r="HQH167" s="202"/>
      <c r="HQI167" s="203"/>
      <c r="HQJ167" s="204"/>
      <c r="HQK167" s="204"/>
      <c r="HQL167" s="204"/>
      <c r="HQM167" s="205"/>
      <c r="HQN167" s="206"/>
      <c r="HQO167" s="207"/>
      <c r="HQP167" s="207"/>
      <c r="HQQ167" s="208"/>
      <c r="HQR167" s="209"/>
      <c r="HQS167" s="207"/>
      <c r="HQT167" s="210"/>
      <c r="HQU167" s="209"/>
      <c r="HQV167" s="204"/>
      <c r="HQW167" s="204"/>
      <c r="HQX167" s="204"/>
      <c r="HQY167" s="199"/>
      <c r="HQZ167" s="167"/>
      <c r="HRA167" s="199"/>
      <c r="HRB167" s="200"/>
      <c r="HRC167" s="201"/>
      <c r="HRD167" s="202"/>
      <c r="HRE167" s="202"/>
      <c r="HRF167" s="202"/>
      <c r="HRG167" s="202"/>
      <c r="HRH167" s="203"/>
      <c r="HRI167" s="204"/>
      <c r="HRJ167" s="204"/>
      <c r="HRK167" s="204"/>
      <c r="HRL167" s="205"/>
      <c r="HRM167" s="206"/>
      <c r="HRN167" s="207"/>
      <c r="HRO167" s="207"/>
      <c r="HRP167" s="208"/>
      <c r="HRQ167" s="209"/>
      <c r="HRR167" s="207"/>
      <c r="HRS167" s="210"/>
      <c r="HRT167" s="209"/>
      <c r="HRU167" s="204"/>
      <c r="HRV167" s="204"/>
      <c r="HRW167" s="204"/>
      <c r="HRX167" s="199"/>
      <c r="HRY167" s="167"/>
      <c r="HRZ167" s="199"/>
      <c r="HSA167" s="200"/>
      <c r="HSB167" s="201"/>
      <c r="HSC167" s="202"/>
      <c r="HSD167" s="202"/>
      <c r="HSE167" s="202"/>
      <c r="HSF167" s="202"/>
      <c r="HSG167" s="203"/>
      <c r="HSH167" s="204"/>
      <c r="HSI167" s="204"/>
      <c r="HSJ167" s="204"/>
      <c r="HSK167" s="205"/>
      <c r="HSL167" s="206"/>
      <c r="HSM167" s="207"/>
      <c r="HSN167" s="207"/>
      <c r="HSO167" s="208"/>
      <c r="HSP167" s="209"/>
      <c r="HSQ167" s="207"/>
      <c r="HSR167" s="210"/>
      <c r="HSS167" s="209"/>
      <c r="HST167" s="204"/>
      <c r="HSU167" s="204"/>
      <c r="HSV167" s="204"/>
      <c r="HSW167" s="199"/>
      <c r="HSX167" s="167"/>
      <c r="HSY167" s="199"/>
      <c r="HSZ167" s="200"/>
      <c r="HTA167" s="201"/>
      <c r="HTB167" s="202"/>
      <c r="HTC167" s="202"/>
      <c r="HTD167" s="202"/>
      <c r="HTE167" s="202"/>
      <c r="HTF167" s="203"/>
      <c r="HTG167" s="204"/>
      <c r="HTH167" s="204"/>
      <c r="HTI167" s="204"/>
      <c r="HTJ167" s="205"/>
      <c r="HTK167" s="206"/>
      <c r="HTL167" s="207"/>
      <c r="HTM167" s="207"/>
      <c r="HTN167" s="208"/>
      <c r="HTO167" s="209"/>
      <c r="HTP167" s="207"/>
      <c r="HTQ167" s="210"/>
      <c r="HTR167" s="209"/>
      <c r="HTS167" s="204"/>
      <c r="HTT167" s="204"/>
      <c r="HTU167" s="204"/>
      <c r="HTV167" s="199"/>
      <c r="HTW167" s="167"/>
      <c r="HTX167" s="199"/>
      <c r="HTY167" s="200"/>
      <c r="HTZ167" s="201"/>
      <c r="HUA167" s="202"/>
      <c r="HUB167" s="202"/>
      <c r="HUC167" s="202"/>
      <c r="HUD167" s="202"/>
      <c r="HUE167" s="203"/>
      <c r="HUF167" s="204"/>
      <c r="HUG167" s="204"/>
      <c r="HUH167" s="204"/>
      <c r="HUI167" s="205"/>
      <c r="HUJ167" s="206"/>
      <c r="HUK167" s="207"/>
      <c r="HUL167" s="207"/>
      <c r="HUM167" s="208"/>
      <c r="HUN167" s="209"/>
      <c r="HUO167" s="207"/>
      <c r="HUP167" s="210"/>
      <c r="HUQ167" s="209"/>
      <c r="HUR167" s="204"/>
      <c r="HUS167" s="204"/>
      <c r="HUT167" s="204"/>
      <c r="HUU167" s="199"/>
      <c r="HUV167" s="167"/>
      <c r="HUW167" s="199"/>
      <c r="HUX167" s="200"/>
      <c r="HUY167" s="201"/>
      <c r="HUZ167" s="202"/>
      <c r="HVA167" s="202"/>
      <c r="HVB167" s="202"/>
      <c r="HVC167" s="202"/>
      <c r="HVD167" s="203"/>
      <c r="HVE167" s="204"/>
      <c r="HVF167" s="204"/>
      <c r="HVG167" s="204"/>
      <c r="HVH167" s="205"/>
      <c r="HVI167" s="206"/>
      <c r="HVJ167" s="207"/>
      <c r="HVK167" s="207"/>
      <c r="HVL167" s="208"/>
      <c r="HVM167" s="209"/>
      <c r="HVN167" s="207"/>
      <c r="HVO167" s="210"/>
      <c r="HVP167" s="209"/>
      <c r="HVQ167" s="204"/>
      <c r="HVR167" s="204"/>
      <c r="HVS167" s="204"/>
      <c r="HVT167" s="199"/>
      <c r="HVU167" s="167"/>
      <c r="HVV167" s="199"/>
      <c r="HVW167" s="200"/>
      <c r="HVX167" s="201"/>
      <c r="HVY167" s="202"/>
      <c r="HVZ167" s="202"/>
      <c r="HWA167" s="202"/>
      <c r="HWB167" s="202"/>
      <c r="HWC167" s="203"/>
      <c r="HWD167" s="204"/>
      <c r="HWE167" s="204"/>
      <c r="HWF167" s="204"/>
      <c r="HWG167" s="205"/>
      <c r="HWH167" s="206"/>
      <c r="HWI167" s="207"/>
      <c r="HWJ167" s="207"/>
      <c r="HWK167" s="208"/>
      <c r="HWL167" s="209"/>
      <c r="HWM167" s="207"/>
      <c r="HWN167" s="210"/>
      <c r="HWO167" s="209"/>
      <c r="HWP167" s="204"/>
      <c r="HWQ167" s="204"/>
      <c r="HWR167" s="204"/>
      <c r="HWS167" s="199"/>
      <c r="HWT167" s="167"/>
      <c r="HWU167" s="199"/>
      <c r="HWV167" s="200"/>
      <c r="HWW167" s="201"/>
      <c r="HWX167" s="202"/>
      <c r="HWY167" s="202"/>
      <c r="HWZ167" s="202"/>
      <c r="HXA167" s="202"/>
      <c r="HXB167" s="203"/>
      <c r="HXC167" s="204"/>
      <c r="HXD167" s="204"/>
      <c r="HXE167" s="204"/>
      <c r="HXF167" s="205"/>
      <c r="HXG167" s="206"/>
      <c r="HXH167" s="207"/>
      <c r="HXI167" s="207"/>
      <c r="HXJ167" s="208"/>
      <c r="HXK167" s="209"/>
      <c r="HXL167" s="207"/>
      <c r="HXM167" s="210"/>
      <c r="HXN167" s="209"/>
      <c r="HXO167" s="204"/>
      <c r="HXP167" s="204"/>
      <c r="HXQ167" s="204"/>
      <c r="HXR167" s="199"/>
      <c r="HXS167" s="167"/>
      <c r="HXT167" s="199"/>
      <c r="HXU167" s="200"/>
      <c r="HXV167" s="201"/>
      <c r="HXW167" s="202"/>
      <c r="HXX167" s="202"/>
      <c r="HXY167" s="202"/>
      <c r="HXZ167" s="202"/>
      <c r="HYA167" s="203"/>
      <c r="HYB167" s="204"/>
      <c r="HYC167" s="204"/>
      <c r="HYD167" s="204"/>
      <c r="HYE167" s="205"/>
      <c r="HYF167" s="206"/>
      <c r="HYG167" s="207"/>
      <c r="HYH167" s="207"/>
      <c r="HYI167" s="208"/>
      <c r="HYJ167" s="209"/>
      <c r="HYK167" s="207"/>
      <c r="HYL167" s="210"/>
      <c r="HYM167" s="209"/>
      <c r="HYN167" s="204"/>
      <c r="HYO167" s="204"/>
      <c r="HYP167" s="204"/>
      <c r="HYQ167" s="199"/>
      <c r="HYR167" s="167"/>
      <c r="HYS167" s="199"/>
      <c r="HYT167" s="200"/>
      <c r="HYU167" s="201"/>
      <c r="HYV167" s="202"/>
      <c r="HYW167" s="202"/>
      <c r="HYX167" s="202"/>
      <c r="HYY167" s="202"/>
      <c r="HYZ167" s="203"/>
      <c r="HZA167" s="204"/>
      <c r="HZB167" s="204"/>
      <c r="HZC167" s="204"/>
      <c r="HZD167" s="205"/>
      <c r="HZE167" s="206"/>
      <c r="HZF167" s="207"/>
      <c r="HZG167" s="207"/>
      <c r="HZH167" s="208"/>
      <c r="HZI167" s="209"/>
      <c r="HZJ167" s="207"/>
      <c r="HZK167" s="210"/>
      <c r="HZL167" s="209"/>
      <c r="HZM167" s="204"/>
      <c r="HZN167" s="204"/>
      <c r="HZO167" s="204"/>
      <c r="HZP167" s="199"/>
      <c r="HZQ167" s="167"/>
      <c r="HZR167" s="199"/>
      <c r="HZS167" s="200"/>
      <c r="HZT167" s="201"/>
      <c r="HZU167" s="202"/>
      <c r="HZV167" s="202"/>
      <c r="HZW167" s="202"/>
      <c r="HZX167" s="202"/>
      <c r="HZY167" s="203"/>
      <c r="HZZ167" s="204"/>
      <c r="IAA167" s="204"/>
      <c r="IAB167" s="204"/>
      <c r="IAC167" s="205"/>
      <c r="IAD167" s="206"/>
      <c r="IAE167" s="207"/>
      <c r="IAF167" s="207"/>
      <c r="IAG167" s="208"/>
      <c r="IAH167" s="209"/>
      <c r="IAI167" s="207"/>
      <c r="IAJ167" s="210"/>
      <c r="IAK167" s="209"/>
      <c r="IAL167" s="204"/>
      <c r="IAM167" s="204"/>
      <c r="IAN167" s="204"/>
      <c r="IAO167" s="199"/>
      <c r="IAP167" s="167"/>
      <c r="IAQ167" s="199"/>
      <c r="IAR167" s="200"/>
      <c r="IAS167" s="201"/>
      <c r="IAT167" s="202"/>
      <c r="IAU167" s="202"/>
      <c r="IAV167" s="202"/>
      <c r="IAW167" s="202"/>
      <c r="IAX167" s="203"/>
      <c r="IAY167" s="204"/>
      <c r="IAZ167" s="204"/>
      <c r="IBA167" s="204"/>
      <c r="IBB167" s="205"/>
      <c r="IBC167" s="206"/>
      <c r="IBD167" s="207"/>
      <c r="IBE167" s="207"/>
      <c r="IBF167" s="208"/>
      <c r="IBG167" s="209"/>
      <c r="IBH167" s="207"/>
      <c r="IBI167" s="210"/>
      <c r="IBJ167" s="209"/>
      <c r="IBK167" s="204"/>
      <c r="IBL167" s="204"/>
      <c r="IBM167" s="204"/>
      <c r="IBN167" s="199"/>
      <c r="IBO167" s="167"/>
      <c r="IBP167" s="199"/>
      <c r="IBQ167" s="200"/>
      <c r="IBR167" s="201"/>
      <c r="IBS167" s="202"/>
      <c r="IBT167" s="202"/>
      <c r="IBU167" s="202"/>
      <c r="IBV167" s="202"/>
      <c r="IBW167" s="203"/>
      <c r="IBX167" s="204"/>
      <c r="IBY167" s="204"/>
      <c r="IBZ167" s="204"/>
      <c r="ICA167" s="205"/>
      <c r="ICB167" s="206"/>
      <c r="ICC167" s="207"/>
      <c r="ICD167" s="207"/>
      <c r="ICE167" s="208"/>
      <c r="ICF167" s="209"/>
      <c r="ICG167" s="207"/>
      <c r="ICH167" s="210"/>
      <c r="ICI167" s="209"/>
      <c r="ICJ167" s="204"/>
      <c r="ICK167" s="204"/>
      <c r="ICL167" s="204"/>
      <c r="ICM167" s="199"/>
      <c r="ICN167" s="167"/>
      <c r="ICO167" s="199"/>
      <c r="ICP167" s="200"/>
      <c r="ICQ167" s="201"/>
      <c r="ICR167" s="202"/>
      <c r="ICS167" s="202"/>
      <c r="ICT167" s="202"/>
      <c r="ICU167" s="202"/>
      <c r="ICV167" s="203"/>
      <c r="ICW167" s="204"/>
      <c r="ICX167" s="204"/>
      <c r="ICY167" s="204"/>
      <c r="ICZ167" s="205"/>
      <c r="IDA167" s="206"/>
      <c r="IDB167" s="207"/>
      <c r="IDC167" s="207"/>
      <c r="IDD167" s="208"/>
      <c r="IDE167" s="209"/>
      <c r="IDF167" s="207"/>
      <c r="IDG167" s="210"/>
      <c r="IDH167" s="209"/>
      <c r="IDI167" s="204"/>
      <c r="IDJ167" s="204"/>
      <c r="IDK167" s="204"/>
      <c r="IDL167" s="199"/>
      <c r="IDM167" s="167"/>
      <c r="IDN167" s="199"/>
      <c r="IDO167" s="200"/>
      <c r="IDP167" s="201"/>
      <c r="IDQ167" s="202"/>
      <c r="IDR167" s="202"/>
      <c r="IDS167" s="202"/>
      <c r="IDT167" s="202"/>
      <c r="IDU167" s="203"/>
      <c r="IDV167" s="204"/>
      <c r="IDW167" s="204"/>
      <c r="IDX167" s="204"/>
      <c r="IDY167" s="205"/>
      <c r="IDZ167" s="206"/>
      <c r="IEA167" s="207"/>
      <c r="IEB167" s="207"/>
      <c r="IEC167" s="208"/>
      <c r="IED167" s="209"/>
      <c r="IEE167" s="207"/>
      <c r="IEF167" s="210"/>
      <c r="IEG167" s="209"/>
      <c r="IEH167" s="204"/>
      <c r="IEI167" s="204"/>
      <c r="IEJ167" s="204"/>
      <c r="IEK167" s="199"/>
      <c r="IEL167" s="167"/>
      <c r="IEM167" s="199"/>
      <c r="IEN167" s="200"/>
      <c r="IEO167" s="201"/>
      <c r="IEP167" s="202"/>
      <c r="IEQ167" s="202"/>
      <c r="IER167" s="202"/>
      <c r="IES167" s="202"/>
      <c r="IET167" s="203"/>
      <c r="IEU167" s="204"/>
      <c r="IEV167" s="204"/>
      <c r="IEW167" s="204"/>
      <c r="IEX167" s="205"/>
      <c r="IEY167" s="206"/>
      <c r="IEZ167" s="207"/>
      <c r="IFA167" s="207"/>
      <c r="IFB167" s="208"/>
      <c r="IFC167" s="209"/>
      <c r="IFD167" s="207"/>
      <c r="IFE167" s="210"/>
      <c r="IFF167" s="209"/>
      <c r="IFG167" s="204"/>
      <c r="IFH167" s="204"/>
      <c r="IFI167" s="204"/>
      <c r="IFJ167" s="199"/>
      <c r="IFK167" s="167"/>
      <c r="IFL167" s="199"/>
      <c r="IFM167" s="200"/>
      <c r="IFN167" s="201"/>
      <c r="IFO167" s="202"/>
      <c r="IFP167" s="202"/>
      <c r="IFQ167" s="202"/>
      <c r="IFR167" s="202"/>
      <c r="IFS167" s="203"/>
      <c r="IFT167" s="204"/>
      <c r="IFU167" s="204"/>
      <c r="IFV167" s="204"/>
      <c r="IFW167" s="205"/>
      <c r="IFX167" s="206"/>
      <c r="IFY167" s="207"/>
      <c r="IFZ167" s="207"/>
      <c r="IGA167" s="208"/>
      <c r="IGB167" s="209"/>
      <c r="IGC167" s="207"/>
      <c r="IGD167" s="210"/>
      <c r="IGE167" s="209"/>
      <c r="IGF167" s="204"/>
      <c r="IGG167" s="204"/>
      <c r="IGH167" s="204"/>
      <c r="IGI167" s="199"/>
      <c r="IGJ167" s="167"/>
      <c r="IGK167" s="199"/>
      <c r="IGL167" s="200"/>
      <c r="IGM167" s="201"/>
      <c r="IGN167" s="202"/>
      <c r="IGO167" s="202"/>
      <c r="IGP167" s="202"/>
      <c r="IGQ167" s="202"/>
      <c r="IGR167" s="203"/>
      <c r="IGS167" s="204"/>
      <c r="IGT167" s="204"/>
      <c r="IGU167" s="204"/>
      <c r="IGV167" s="205"/>
      <c r="IGW167" s="206"/>
      <c r="IGX167" s="207"/>
      <c r="IGY167" s="207"/>
      <c r="IGZ167" s="208"/>
      <c r="IHA167" s="209"/>
      <c r="IHB167" s="207"/>
      <c r="IHC167" s="210"/>
      <c r="IHD167" s="209"/>
      <c r="IHE167" s="204"/>
      <c r="IHF167" s="204"/>
      <c r="IHG167" s="204"/>
      <c r="IHH167" s="199"/>
      <c r="IHI167" s="167"/>
      <c r="IHJ167" s="199"/>
      <c r="IHK167" s="200"/>
      <c r="IHL167" s="201"/>
      <c r="IHM167" s="202"/>
      <c r="IHN167" s="202"/>
      <c r="IHO167" s="202"/>
      <c r="IHP167" s="202"/>
      <c r="IHQ167" s="203"/>
      <c r="IHR167" s="204"/>
      <c r="IHS167" s="204"/>
      <c r="IHT167" s="204"/>
      <c r="IHU167" s="205"/>
      <c r="IHV167" s="206"/>
      <c r="IHW167" s="207"/>
      <c r="IHX167" s="207"/>
      <c r="IHY167" s="208"/>
      <c r="IHZ167" s="209"/>
      <c r="IIA167" s="207"/>
      <c r="IIB167" s="210"/>
      <c r="IIC167" s="209"/>
      <c r="IID167" s="204"/>
      <c r="IIE167" s="204"/>
      <c r="IIF167" s="204"/>
      <c r="IIG167" s="199"/>
      <c r="IIH167" s="167"/>
      <c r="III167" s="199"/>
      <c r="IIJ167" s="200"/>
      <c r="IIK167" s="201"/>
      <c r="IIL167" s="202"/>
      <c r="IIM167" s="202"/>
      <c r="IIN167" s="202"/>
      <c r="IIO167" s="202"/>
      <c r="IIP167" s="203"/>
      <c r="IIQ167" s="204"/>
      <c r="IIR167" s="204"/>
      <c r="IIS167" s="204"/>
      <c r="IIT167" s="205"/>
      <c r="IIU167" s="206"/>
      <c r="IIV167" s="207"/>
      <c r="IIW167" s="207"/>
      <c r="IIX167" s="208"/>
      <c r="IIY167" s="209"/>
      <c r="IIZ167" s="207"/>
      <c r="IJA167" s="210"/>
      <c r="IJB167" s="209"/>
      <c r="IJC167" s="204"/>
      <c r="IJD167" s="204"/>
      <c r="IJE167" s="204"/>
      <c r="IJF167" s="199"/>
      <c r="IJG167" s="167"/>
      <c r="IJH167" s="199"/>
      <c r="IJI167" s="200"/>
      <c r="IJJ167" s="201"/>
      <c r="IJK167" s="202"/>
      <c r="IJL167" s="202"/>
      <c r="IJM167" s="202"/>
      <c r="IJN167" s="202"/>
      <c r="IJO167" s="203"/>
      <c r="IJP167" s="204"/>
      <c r="IJQ167" s="204"/>
      <c r="IJR167" s="204"/>
      <c r="IJS167" s="205"/>
      <c r="IJT167" s="206"/>
      <c r="IJU167" s="207"/>
      <c r="IJV167" s="207"/>
      <c r="IJW167" s="208"/>
      <c r="IJX167" s="209"/>
      <c r="IJY167" s="207"/>
      <c r="IJZ167" s="210"/>
      <c r="IKA167" s="209"/>
      <c r="IKB167" s="204"/>
      <c r="IKC167" s="204"/>
      <c r="IKD167" s="204"/>
      <c r="IKE167" s="199"/>
      <c r="IKF167" s="167"/>
      <c r="IKG167" s="199"/>
      <c r="IKH167" s="200"/>
      <c r="IKI167" s="201"/>
      <c r="IKJ167" s="202"/>
      <c r="IKK167" s="202"/>
      <c r="IKL167" s="202"/>
      <c r="IKM167" s="202"/>
      <c r="IKN167" s="203"/>
      <c r="IKO167" s="204"/>
      <c r="IKP167" s="204"/>
      <c r="IKQ167" s="204"/>
      <c r="IKR167" s="205"/>
      <c r="IKS167" s="206"/>
      <c r="IKT167" s="207"/>
      <c r="IKU167" s="207"/>
      <c r="IKV167" s="208"/>
      <c r="IKW167" s="209"/>
      <c r="IKX167" s="207"/>
      <c r="IKY167" s="210"/>
      <c r="IKZ167" s="209"/>
      <c r="ILA167" s="204"/>
      <c r="ILB167" s="204"/>
      <c r="ILC167" s="204"/>
      <c r="ILD167" s="199"/>
      <c r="ILE167" s="167"/>
      <c r="ILF167" s="199"/>
      <c r="ILG167" s="200"/>
      <c r="ILH167" s="201"/>
      <c r="ILI167" s="202"/>
      <c r="ILJ167" s="202"/>
      <c r="ILK167" s="202"/>
      <c r="ILL167" s="202"/>
      <c r="ILM167" s="203"/>
      <c r="ILN167" s="204"/>
      <c r="ILO167" s="204"/>
      <c r="ILP167" s="204"/>
      <c r="ILQ167" s="205"/>
      <c r="ILR167" s="206"/>
      <c r="ILS167" s="207"/>
      <c r="ILT167" s="207"/>
      <c r="ILU167" s="208"/>
      <c r="ILV167" s="209"/>
      <c r="ILW167" s="207"/>
      <c r="ILX167" s="210"/>
      <c r="ILY167" s="209"/>
      <c r="ILZ167" s="204"/>
      <c r="IMA167" s="204"/>
      <c r="IMB167" s="204"/>
      <c r="IMC167" s="199"/>
      <c r="IMD167" s="167"/>
      <c r="IME167" s="199"/>
      <c r="IMF167" s="200"/>
      <c r="IMG167" s="201"/>
      <c r="IMH167" s="202"/>
      <c r="IMI167" s="202"/>
      <c r="IMJ167" s="202"/>
      <c r="IMK167" s="202"/>
      <c r="IML167" s="203"/>
      <c r="IMM167" s="204"/>
      <c r="IMN167" s="204"/>
      <c r="IMO167" s="204"/>
      <c r="IMP167" s="205"/>
      <c r="IMQ167" s="206"/>
      <c r="IMR167" s="207"/>
      <c r="IMS167" s="207"/>
      <c r="IMT167" s="208"/>
      <c r="IMU167" s="209"/>
      <c r="IMV167" s="207"/>
      <c r="IMW167" s="210"/>
      <c r="IMX167" s="209"/>
      <c r="IMY167" s="204"/>
      <c r="IMZ167" s="204"/>
      <c r="INA167" s="204"/>
      <c r="INB167" s="199"/>
      <c r="INC167" s="167"/>
      <c r="IND167" s="199"/>
      <c r="INE167" s="200"/>
      <c r="INF167" s="201"/>
      <c r="ING167" s="202"/>
      <c r="INH167" s="202"/>
      <c r="INI167" s="202"/>
      <c r="INJ167" s="202"/>
      <c r="INK167" s="203"/>
      <c r="INL167" s="204"/>
      <c r="INM167" s="204"/>
      <c r="INN167" s="204"/>
      <c r="INO167" s="205"/>
      <c r="INP167" s="206"/>
      <c r="INQ167" s="207"/>
      <c r="INR167" s="207"/>
      <c r="INS167" s="208"/>
      <c r="INT167" s="209"/>
      <c r="INU167" s="207"/>
      <c r="INV167" s="210"/>
      <c r="INW167" s="209"/>
      <c r="INX167" s="204"/>
      <c r="INY167" s="204"/>
      <c r="INZ167" s="204"/>
      <c r="IOA167" s="199"/>
      <c r="IOB167" s="167"/>
      <c r="IOC167" s="199"/>
      <c r="IOD167" s="200"/>
      <c r="IOE167" s="201"/>
      <c r="IOF167" s="202"/>
      <c r="IOG167" s="202"/>
      <c r="IOH167" s="202"/>
      <c r="IOI167" s="202"/>
      <c r="IOJ167" s="203"/>
      <c r="IOK167" s="204"/>
      <c r="IOL167" s="204"/>
      <c r="IOM167" s="204"/>
      <c r="ION167" s="205"/>
      <c r="IOO167" s="206"/>
      <c r="IOP167" s="207"/>
      <c r="IOQ167" s="207"/>
      <c r="IOR167" s="208"/>
      <c r="IOS167" s="209"/>
      <c r="IOT167" s="207"/>
      <c r="IOU167" s="210"/>
      <c r="IOV167" s="209"/>
      <c r="IOW167" s="204"/>
      <c r="IOX167" s="204"/>
      <c r="IOY167" s="204"/>
      <c r="IOZ167" s="199"/>
      <c r="IPA167" s="167"/>
      <c r="IPB167" s="199"/>
      <c r="IPC167" s="200"/>
      <c r="IPD167" s="201"/>
      <c r="IPE167" s="202"/>
      <c r="IPF167" s="202"/>
      <c r="IPG167" s="202"/>
      <c r="IPH167" s="202"/>
      <c r="IPI167" s="203"/>
      <c r="IPJ167" s="204"/>
      <c r="IPK167" s="204"/>
      <c r="IPL167" s="204"/>
      <c r="IPM167" s="205"/>
      <c r="IPN167" s="206"/>
      <c r="IPO167" s="207"/>
      <c r="IPP167" s="207"/>
      <c r="IPQ167" s="208"/>
      <c r="IPR167" s="209"/>
      <c r="IPS167" s="207"/>
      <c r="IPT167" s="210"/>
      <c r="IPU167" s="209"/>
      <c r="IPV167" s="204"/>
      <c r="IPW167" s="204"/>
      <c r="IPX167" s="204"/>
      <c r="IPY167" s="199"/>
      <c r="IPZ167" s="167"/>
      <c r="IQA167" s="199"/>
      <c r="IQB167" s="200"/>
      <c r="IQC167" s="201"/>
      <c r="IQD167" s="202"/>
      <c r="IQE167" s="202"/>
      <c r="IQF167" s="202"/>
      <c r="IQG167" s="202"/>
      <c r="IQH167" s="203"/>
      <c r="IQI167" s="204"/>
      <c r="IQJ167" s="204"/>
      <c r="IQK167" s="204"/>
      <c r="IQL167" s="205"/>
      <c r="IQM167" s="206"/>
      <c r="IQN167" s="207"/>
      <c r="IQO167" s="207"/>
      <c r="IQP167" s="208"/>
      <c r="IQQ167" s="209"/>
      <c r="IQR167" s="207"/>
      <c r="IQS167" s="210"/>
      <c r="IQT167" s="209"/>
      <c r="IQU167" s="204"/>
      <c r="IQV167" s="204"/>
      <c r="IQW167" s="204"/>
      <c r="IQX167" s="199"/>
      <c r="IQY167" s="167"/>
      <c r="IQZ167" s="199"/>
      <c r="IRA167" s="200"/>
      <c r="IRB167" s="201"/>
      <c r="IRC167" s="202"/>
      <c r="IRD167" s="202"/>
      <c r="IRE167" s="202"/>
      <c r="IRF167" s="202"/>
      <c r="IRG167" s="203"/>
      <c r="IRH167" s="204"/>
      <c r="IRI167" s="204"/>
      <c r="IRJ167" s="204"/>
      <c r="IRK167" s="205"/>
      <c r="IRL167" s="206"/>
      <c r="IRM167" s="207"/>
      <c r="IRN167" s="207"/>
      <c r="IRO167" s="208"/>
      <c r="IRP167" s="209"/>
      <c r="IRQ167" s="207"/>
      <c r="IRR167" s="210"/>
      <c r="IRS167" s="209"/>
      <c r="IRT167" s="204"/>
      <c r="IRU167" s="204"/>
      <c r="IRV167" s="204"/>
      <c r="IRW167" s="199"/>
      <c r="IRX167" s="167"/>
      <c r="IRY167" s="199"/>
      <c r="IRZ167" s="200"/>
      <c r="ISA167" s="201"/>
      <c r="ISB167" s="202"/>
      <c r="ISC167" s="202"/>
      <c r="ISD167" s="202"/>
      <c r="ISE167" s="202"/>
      <c r="ISF167" s="203"/>
      <c r="ISG167" s="204"/>
      <c r="ISH167" s="204"/>
      <c r="ISI167" s="204"/>
      <c r="ISJ167" s="205"/>
      <c r="ISK167" s="206"/>
      <c r="ISL167" s="207"/>
      <c r="ISM167" s="207"/>
      <c r="ISN167" s="208"/>
      <c r="ISO167" s="209"/>
      <c r="ISP167" s="207"/>
      <c r="ISQ167" s="210"/>
      <c r="ISR167" s="209"/>
      <c r="ISS167" s="204"/>
      <c r="IST167" s="204"/>
      <c r="ISU167" s="204"/>
      <c r="ISV167" s="199"/>
      <c r="ISW167" s="167"/>
      <c r="ISX167" s="199"/>
      <c r="ISY167" s="200"/>
      <c r="ISZ167" s="201"/>
      <c r="ITA167" s="202"/>
      <c r="ITB167" s="202"/>
      <c r="ITC167" s="202"/>
      <c r="ITD167" s="202"/>
      <c r="ITE167" s="203"/>
      <c r="ITF167" s="204"/>
      <c r="ITG167" s="204"/>
      <c r="ITH167" s="204"/>
      <c r="ITI167" s="205"/>
      <c r="ITJ167" s="206"/>
      <c r="ITK167" s="207"/>
      <c r="ITL167" s="207"/>
      <c r="ITM167" s="208"/>
      <c r="ITN167" s="209"/>
      <c r="ITO167" s="207"/>
      <c r="ITP167" s="210"/>
      <c r="ITQ167" s="209"/>
      <c r="ITR167" s="204"/>
      <c r="ITS167" s="204"/>
      <c r="ITT167" s="204"/>
      <c r="ITU167" s="199"/>
      <c r="ITV167" s="167"/>
      <c r="ITW167" s="199"/>
      <c r="ITX167" s="200"/>
      <c r="ITY167" s="201"/>
      <c r="ITZ167" s="202"/>
      <c r="IUA167" s="202"/>
      <c r="IUB167" s="202"/>
      <c r="IUC167" s="202"/>
      <c r="IUD167" s="203"/>
      <c r="IUE167" s="204"/>
      <c r="IUF167" s="204"/>
      <c r="IUG167" s="204"/>
      <c r="IUH167" s="205"/>
      <c r="IUI167" s="206"/>
      <c r="IUJ167" s="207"/>
      <c r="IUK167" s="207"/>
      <c r="IUL167" s="208"/>
      <c r="IUM167" s="209"/>
      <c r="IUN167" s="207"/>
      <c r="IUO167" s="210"/>
      <c r="IUP167" s="209"/>
      <c r="IUQ167" s="204"/>
      <c r="IUR167" s="204"/>
      <c r="IUS167" s="204"/>
      <c r="IUT167" s="199"/>
      <c r="IUU167" s="167"/>
      <c r="IUV167" s="199"/>
      <c r="IUW167" s="200"/>
      <c r="IUX167" s="201"/>
      <c r="IUY167" s="202"/>
      <c r="IUZ167" s="202"/>
      <c r="IVA167" s="202"/>
      <c r="IVB167" s="202"/>
      <c r="IVC167" s="203"/>
      <c r="IVD167" s="204"/>
      <c r="IVE167" s="204"/>
      <c r="IVF167" s="204"/>
      <c r="IVG167" s="205"/>
      <c r="IVH167" s="206"/>
      <c r="IVI167" s="207"/>
      <c r="IVJ167" s="207"/>
      <c r="IVK167" s="208"/>
      <c r="IVL167" s="209"/>
      <c r="IVM167" s="207"/>
      <c r="IVN167" s="210"/>
      <c r="IVO167" s="209"/>
      <c r="IVP167" s="204"/>
      <c r="IVQ167" s="204"/>
      <c r="IVR167" s="204"/>
      <c r="IVS167" s="199"/>
      <c r="IVT167" s="167"/>
      <c r="IVU167" s="199"/>
      <c r="IVV167" s="200"/>
      <c r="IVW167" s="201"/>
      <c r="IVX167" s="202"/>
      <c r="IVY167" s="202"/>
      <c r="IVZ167" s="202"/>
      <c r="IWA167" s="202"/>
      <c r="IWB167" s="203"/>
      <c r="IWC167" s="204"/>
      <c r="IWD167" s="204"/>
      <c r="IWE167" s="204"/>
      <c r="IWF167" s="205"/>
      <c r="IWG167" s="206"/>
      <c r="IWH167" s="207"/>
      <c r="IWI167" s="207"/>
      <c r="IWJ167" s="208"/>
      <c r="IWK167" s="209"/>
      <c r="IWL167" s="207"/>
      <c r="IWM167" s="210"/>
      <c r="IWN167" s="209"/>
      <c r="IWO167" s="204"/>
      <c r="IWP167" s="204"/>
      <c r="IWQ167" s="204"/>
      <c r="IWR167" s="199"/>
      <c r="IWS167" s="167"/>
      <c r="IWT167" s="199"/>
      <c r="IWU167" s="200"/>
      <c r="IWV167" s="201"/>
      <c r="IWW167" s="202"/>
      <c r="IWX167" s="202"/>
      <c r="IWY167" s="202"/>
      <c r="IWZ167" s="202"/>
      <c r="IXA167" s="203"/>
      <c r="IXB167" s="204"/>
      <c r="IXC167" s="204"/>
      <c r="IXD167" s="204"/>
      <c r="IXE167" s="205"/>
      <c r="IXF167" s="206"/>
      <c r="IXG167" s="207"/>
      <c r="IXH167" s="207"/>
      <c r="IXI167" s="208"/>
      <c r="IXJ167" s="209"/>
      <c r="IXK167" s="207"/>
      <c r="IXL167" s="210"/>
      <c r="IXM167" s="209"/>
      <c r="IXN167" s="204"/>
      <c r="IXO167" s="204"/>
      <c r="IXP167" s="204"/>
      <c r="IXQ167" s="199"/>
      <c r="IXR167" s="167"/>
      <c r="IXS167" s="199"/>
      <c r="IXT167" s="200"/>
      <c r="IXU167" s="201"/>
      <c r="IXV167" s="202"/>
      <c r="IXW167" s="202"/>
      <c r="IXX167" s="202"/>
      <c r="IXY167" s="202"/>
      <c r="IXZ167" s="203"/>
      <c r="IYA167" s="204"/>
      <c r="IYB167" s="204"/>
      <c r="IYC167" s="204"/>
      <c r="IYD167" s="205"/>
      <c r="IYE167" s="206"/>
      <c r="IYF167" s="207"/>
      <c r="IYG167" s="207"/>
      <c r="IYH167" s="208"/>
      <c r="IYI167" s="209"/>
      <c r="IYJ167" s="207"/>
      <c r="IYK167" s="210"/>
      <c r="IYL167" s="209"/>
      <c r="IYM167" s="204"/>
      <c r="IYN167" s="204"/>
      <c r="IYO167" s="204"/>
      <c r="IYP167" s="199"/>
      <c r="IYQ167" s="167"/>
      <c r="IYR167" s="199"/>
      <c r="IYS167" s="200"/>
      <c r="IYT167" s="201"/>
      <c r="IYU167" s="202"/>
      <c r="IYV167" s="202"/>
      <c r="IYW167" s="202"/>
      <c r="IYX167" s="202"/>
      <c r="IYY167" s="203"/>
      <c r="IYZ167" s="204"/>
      <c r="IZA167" s="204"/>
      <c r="IZB167" s="204"/>
      <c r="IZC167" s="205"/>
      <c r="IZD167" s="206"/>
      <c r="IZE167" s="207"/>
      <c r="IZF167" s="207"/>
      <c r="IZG167" s="208"/>
      <c r="IZH167" s="209"/>
      <c r="IZI167" s="207"/>
      <c r="IZJ167" s="210"/>
      <c r="IZK167" s="209"/>
      <c r="IZL167" s="204"/>
      <c r="IZM167" s="204"/>
      <c r="IZN167" s="204"/>
      <c r="IZO167" s="199"/>
      <c r="IZP167" s="167"/>
      <c r="IZQ167" s="199"/>
      <c r="IZR167" s="200"/>
      <c r="IZS167" s="201"/>
      <c r="IZT167" s="202"/>
      <c r="IZU167" s="202"/>
      <c r="IZV167" s="202"/>
      <c r="IZW167" s="202"/>
      <c r="IZX167" s="203"/>
      <c r="IZY167" s="204"/>
      <c r="IZZ167" s="204"/>
      <c r="JAA167" s="204"/>
      <c r="JAB167" s="205"/>
      <c r="JAC167" s="206"/>
      <c r="JAD167" s="207"/>
      <c r="JAE167" s="207"/>
      <c r="JAF167" s="208"/>
      <c r="JAG167" s="209"/>
      <c r="JAH167" s="207"/>
      <c r="JAI167" s="210"/>
      <c r="JAJ167" s="209"/>
      <c r="JAK167" s="204"/>
      <c r="JAL167" s="204"/>
      <c r="JAM167" s="204"/>
      <c r="JAN167" s="199"/>
      <c r="JAO167" s="167"/>
      <c r="JAP167" s="199"/>
      <c r="JAQ167" s="200"/>
      <c r="JAR167" s="201"/>
      <c r="JAS167" s="202"/>
      <c r="JAT167" s="202"/>
      <c r="JAU167" s="202"/>
      <c r="JAV167" s="202"/>
      <c r="JAW167" s="203"/>
      <c r="JAX167" s="204"/>
      <c r="JAY167" s="204"/>
      <c r="JAZ167" s="204"/>
      <c r="JBA167" s="205"/>
      <c r="JBB167" s="206"/>
      <c r="JBC167" s="207"/>
      <c r="JBD167" s="207"/>
      <c r="JBE167" s="208"/>
      <c r="JBF167" s="209"/>
      <c r="JBG167" s="207"/>
      <c r="JBH167" s="210"/>
      <c r="JBI167" s="209"/>
      <c r="JBJ167" s="204"/>
      <c r="JBK167" s="204"/>
      <c r="JBL167" s="204"/>
      <c r="JBM167" s="199"/>
      <c r="JBN167" s="167"/>
      <c r="JBO167" s="199"/>
      <c r="JBP167" s="200"/>
      <c r="JBQ167" s="201"/>
      <c r="JBR167" s="202"/>
      <c r="JBS167" s="202"/>
      <c r="JBT167" s="202"/>
      <c r="JBU167" s="202"/>
      <c r="JBV167" s="203"/>
      <c r="JBW167" s="204"/>
      <c r="JBX167" s="204"/>
      <c r="JBY167" s="204"/>
      <c r="JBZ167" s="205"/>
      <c r="JCA167" s="206"/>
      <c r="JCB167" s="207"/>
      <c r="JCC167" s="207"/>
      <c r="JCD167" s="208"/>
      <c r="JCE167" s="209"/>
      <c r="JCF167" s="207"/>
      <c r="JCG167" s="210"/>
      <c r="JCH167" s="209"/>
      <c r="JCI167" s="204"/>
      <c r="JCJ167" s="204"/>
      <c r="JCK167" s="204"/>
      <c r="JCL167" s="199"/>
      <c r="JCM167" s="167"/>
      <c r="JCN167" s="199"/>
      <c r="JCO167" s="200"/>
      <c r="JCP167" s="201"/>
      <c r="JCQ167" s="202"/>
      <c r="JCR167" s="202"/>
      <c r="JCS167" s="202"/>
      <c r="JCT167" s="202"/>
      <c r="JCU167" s="203"/>
      <c r="JCV167" s="204"/>
      <c r="JCW167" s="204"/>
      <c r="JCX167" s="204"/>
      <c r="JCY167" s="205"/>
      <c r="JCZ167" s="206"/>
      <c r="JDA167" s="207"/>
      <c r="JDB167" s="207"/>
      <c r="JDC167" s="208"/>
      <c r="JDD167" s="209"/>
      <c r="JDE167" s="207"/>
      <c r="JDF167" s="210"/>
      <c r="JDG167" s="209"/>
      <c r="JDH167" s="204"/>
      <c r="JDI167" s="204"/>
      <c r="JDJ167" s="204"/>
      <c r="JDK167" s="199"/>
      <c r="JDL167" s="167"/>
      <c r="JDM167" s="199"/>
      <c r="JDN167" s="200"/>
      <c r="JDO167" s="201"/>
      <c r="JDP167" s="202"/>
      <c r="JDQ167" s="202"/>
      <c r="JDR167" s="202"/>
      <c r="JDS167" s="202"/>
      <c r="JDT167" s="203"/>
      <c r="JDU167" s="204"/>
      <c r="JDV167" s="204"/>
      <c r="JDW167" s="204"/>
      <c r="JDX167" s="205"/>
      <c r="JDY167" s="206"/>
      <c r="JDZ167" s="207"/>
      <c r="JEA167" s="207"/>
      <c r="JEB167" s="208"/>
      <c r="JEC167" s="209"/>
      <c r="JED167" s="207"/>
      <c r="JEE167" s="210"/>
      <c r="JEF167" s="209"/>
      <c r="JEG167" s="204"/>
      <c r="JEH167" s="204"/>
      <c r="JEI167" s="204"/>
      <c r="JEJ167" s="199"/>
      <c r="JEK167" s="167"/>
      <c r="JEL167" s="199"/>
      <c r="JEM167" s="200"/>
      <c r="JEN167" s="201"/>
      <c r="JEO167" s="202"/>
      <c r="JEP167" s="202"/>
      <c r="JEQ167" s="202"/>
      <c r="JER167" s="202"/>
      <c r="JES167" s="203"/>
      <c r="JET167" s="204"/>
      <c r="JEU167" s="204"/>
      <c r="JEV167" s="204"/>
      <c r="JEW167" s="205"/>
      <c r="JEX167" s="206"/>
      <c r="JEY167" s="207"/>
      <c r="JEZ167" s="207"/>
      <c r="JFA167" s="208"/>
      <c r="JFB167" s="209"/>
      <c r="JFC167" s="207"/>
      <c r="JFD167" s="210"/>
      <c r="JFE167" s="209"/>
      <c r="JFF167" s="204"/>
      <c r="JFG167" s="204"/>
      <c r="JFH167" s="204"/>
      <c r="JFI167" s="199"/>
      <c r="JFJ167" s="167"/>
      <c r="JFK167" s="199"/>
      <c r="JFL167" s="200"/>
      <c r="JFM167" s="201"/>
      <c r="JFN167" s="202"/>
      <c r="JFO167" s="202"/>
      <c r="JFP167" s="202"/>
      <c r="JFQ167" s="202"/>
      <c r="JFR167" s="203"/>
      <c r="JFS167" s="204"/>
      <c r="JFT167" s="204"/>
      <c r="JFU167" s="204"/>
      <c r="JFV167" s="205"/>
      <c r="JFW167" s="206"/>
      <c r="JFX167" s="207"/>
      <c r="JFY167" s="207"/>
      <c r="JFZ167" s="208"/>
      <c r="JGA167" s="209"/>
      <c r="JGB167" s="207"/>
      <c r="JGC167" s="210"/>
      <c r="JGD167" s="209"/>
      <c r="JGE167" s="204"/>
      <c r="JGF167" s="204"/>
      <c r="JGG167" s="204"/>
      <c r="JGH167" s="199"/>
      <c r="JGI167" s="167"/>
      <c r="JGJ167" s="199"/>
      <c r="JGK167" s="200"/>
      <c r="JGL167" s="201"/>
      <c r="JGM167" s="202"/>
      <c r="JGN167" s="202"/>
      <c r="JGO167" s="202"/>
      <c r="JGP167" s="202"/>
      <c r="JGQ167" s="203"/>
      <c r="JGR167" s="204"/>
      <c r="JGS167" s="204"/>
      <c r="JGT167" s="204"/>
      <c r="JGU167" s="205"/>
      <c r="JGV167" s="206"/>
      <c r="JGW167" s="207"/>
      <c r="JGX167" s="207"/>
      <c r="JGY167" s="208"/>
      <c r="JGZ167" s="209"/>
      <c r="JHA167" s="207"/>
      <c r="JHB167" s="210"/>
      <c r="JHC167" s="209"/>
      <c r="JHD167" s="204"/>
      <c r="JHE167" s="204"/>
      <c r="JHF167" s="204"/>
      <c r="JHG167" s="199"/>
      <c r="JHH167" s="167"/>
      <c r="JHI167" s="199"/>
      <c r="JHJ167" s="200"/>
      <c r="JHK167" s="201"/>
      <c r="JHL167" s="202"/>
      <c r="JHM167" s="202"/>
      <c r="JHN167" s="202"/>
      <c r="JHO167" s="202"/>
      <c r="JHP167" s="203"/>
      <c r="JHQ167" s="204"/>
      <c r="JHR167" s="204"/>
      <c r="JHS167" s="204"/>
      <c r="JHT167" s="205"/>
      <c r="JHU167" s="206"/>
      <c r="JHV167" s="207"/>
      <c r="JHW167" s="207"/>
      <c r="JHX167" s="208"/>
      <c r="JHY167" s="209"/>
      <c r="JHZ167" s="207"/>
      <c r="JIA167" s="210"/>
      <c r="JIB167" s="209"/>
      <c r="JIC167" s="204"/>
      <c r="JID167" s="204"/>
      <c r="JIE167" s="204"/>
      <c r="JIF167" s="199"/>
      <c r="JIG167" s="167"/>
      <c r="JIH167" s="199"/>
      <c r="JII167" s="200"/>
      <c r="JIJ167" s="201"/>
      <c r="JIK167" s="202"/>
      <c r="JIL167" s="202"/>
      <c r="JIM167" s="202"/>
      <c r="JIN167" s="202"/>
      <c r="JIO167" s="203"/>
      <c r="JIP167" s="204"/>
      <c r="JIQ167" s="204"/>
      <c r="JIR167" s="204"/>
      <c r="JIS167" s="205"/>
      <c r="JIT167" s="206"/>
      <c r="JIU167" s="207"/>
      <c r="JIV167" s="207"/>
      <c r="JIW167" s="208"/>
      <c r="JIX167" s="209"/>
      <c r="JIY167" s="207"/>
      <c r="JIZ167" s="210"/>
      <c r="JJA167" s="209"/>
      <c r="JJB167" s="204"/>
      <c r="JJC167" s="204"/>
      <c r="JJD167" s="204"/>
      <c r="JJE167" s="199"/>
      <c r="JJF167" s="167"/>
      <c r="JJG167" s="199"/>
      <c r="JJH167" s="200"/>
      <c r="JJI167" s="201"/>
      <c r="JJJ167" s="202"/>
      <c r="JJK167" s="202"/>
      <c r="JJL167" s="202"/>
      <c r="JJM167" s="202"/>
      <c r="JJN167" s="203"/>
      <c r="JJO167" s="204"/>
      <c r="JJP167" s="204"/>
      <c r="JJQ167" s="204"/>
      <c r="JJR167" s="205"/>
      <c r="JJS167" s="206"/>
      <c r="JJT167" s="207"/>
      <c r="JJU167" s="207"/>
      <c r="JJV167" s="208"/>
      <c r="JJW167" s="209"/>
      <c r="JJX167" s="207"/>
      <c r="JJY167" s="210"/>
      <c r="JJZ167" s="209"/>
      <c r="JKA167" s="204"/>
      <c r="JKB167" s="204"/>
      <c r="JKC167" s="204"/>
      <c r="JKD167" s="199"/>
      <c r="JKE167" s="167"/>
      <c r="JKF167" s="199"/>
      <c r="JKG167" s="200"/>
      <c r="JKH167" s="201"/>
      <c r="JKI167" s="202"/>
      <c r="JKJ167" s="202"/>
      <c r="JKK167" s="202"/>
      <c r="JKL167" s="202"/>
      <c r="JKM167" s="203"/>
      <c r="JKN167" s="204"/>
      <c r="JKO167" s="204"/>
      <c r="JKP167" s="204"/>
      <c r="JKQ167" s="205"/>
      <c r="JKR167" s="206"/>
      <c r="JKS167" s="207"/>
      <c r="JKT167" s="207"/>
      <c r="JKU167" s="208"/>
      <c r="JKV167" s="209"/>
      <c r="JKW167" s="207"/>
      <c r="JKX167" s="210"/>
      <c r="JKY167" s="209"/>
      <c r="JKZ167" s="204"/>
      <c r="JLA167" s="204"/>
      <c r="JLB167" s="204"/>
      <c r="JLC167" s="199"/>
      <c r="JLD167" s="167"/>
      <c r="JLE167" s="199"/>
      <c r="JLF167" s="200"/>
      <c r="JLG167" s="201"/>
      <c r="JLH167" s="202"/>
      <c r="JLI167" s="202"/>
      <c r="JLJ167" s="202"/>
      <c r="JLK167" s="202"/>
      <c r="JLL167" s="203"/>
      <c r="JLM167" s="204"/>
      <c r="JLN167" s="204"/>
      <c r="JLO167" s="204"/>
      <c r="JLP167" s="205"/>
      <c r="JLQ167" s="206"/>
      <c r="JLR167" s="207"/>
      <c r="JLS167" s="207"/>
      <c r="JLT167" s="208"/>
      <c r="JLU167" s="209"/>
      <c r="JLV167" s="207"/>
      <c r="JLW167" s="210"/>
      <c r="JLX167" s="209"/>
      <c r="JLY167" s="204"/>
      <c r="JLZ167" s="204"/>
      <c r="JMA167" s="204"/>
      <c r="JMB167" s="199"/>
      <c r="JMC167" s="167"/>
      <c r="JMD167" s="199"/>
      <c r="JME167" s="200"/>
      <c r="JMF167" s="201"/>
      <c r="JMG167" s="202"/>
      <c r="JMH167" s="202"/>
      <c r="JMI167" s="202"/>
      <c r="JMJ167" s="202"/>
      <c r="JMK167" s="203"/>
      <c r="JML167" s="204"/>
      <c r="JMM167" s="204"/>
      <c r="JMN167" s="204"/>
      <c r="JMO167" s="205"/>
      <c r="JMP167" s="206"/>
      <c r="JMQ167" s="207"/>
      <c r="JMR167" s="207"/>
      <c r="JMS167" s="208"/>
      <c r="JMT167" s="209"/>
      <c r="JMU167" s="207"/>
      <c r="JMV167" s="210"/>
      <c r="JMW167" s="209"/>
      <c r="JMX167" s="204"/>
      <c r="JMY167" s="204"/>
      <c r="JMZ167" s="204"/>
      <c r="JNA167" s="199"/>
      <c r="JNB167" s="167"/>
      <c r="JNC167" s="199"/>
      <c r="JND167" s="200"/>
      <c r="JNE167" s="201"/>
      <c r="JNF167" s="202"/>
      <c r="JNG167" s="202"/>
      <c r="JNH167" s="202"/>
      <c r="JNI167" s="202"/>
      <c r="JNJ167" s="203"/>
      <c r="JNK167" s="204"/>
      <c r="JNL167" s="204"/>
      <c r="JNM167" s="204"/>
      <c r="JNN167" s="205"/>
      <c r="JNO167" s="206"/>
      <c r="JNP167" s="207"/>
      <c r="JNQ167" s="207"/>
      <c r="JNR167" s="208"/>
      <c r="JNS167" s="209"/>
      <c r="JNT167" s="207"/>
      <c r="JNU167" s="210"/>
      <c r="JNV167" s="209"/>
      <c r="JNW167" s="204"/>
      <c r="JNX167" s="204"/>
      <c r="JNY167" s="204"/>
      <c r="JNZ167" s="199"/>
      <c r="JOA167" s="167"/>
      <c r="JOB167" s="199"/>
      <c r="JOC167" s="200"/>
      <c r="JOD167" s="201"/>
      <c r="JOE167" s="202"/>
      <c r="JOF167" s="202"/>
      <c r="JOG167" s="202"/>
      <c r="JOH167" s="202"/>
      <c r="JOI167" s="203"/>
      <c r="JOJ167" s="204"/>
      <c r="JOK167" s="204"/>
      <c r="JOL167" s="204"/>
      <c r="JOM167" s="205"/>
      <c r="JON167" s="206"/>
      <c r="JOO167" s="207"/>
      <c r="JOP167" s="207"/>
      <c r="JOQ167" s="208"/>
      <c r="JOR167" s="209"/>
      <c r="JOS167" s="207"/>
      <c r="JOT167" s="210"/>
      <c r="JOU167" s="209"/>
      <c r="JOV167" s="204"/>
      <c r="JOW167" s="204"/>
      <c r="JOX167" s="204"/>
      <c r="JOY167" s="199"/>
      <c r="JOZ167" s="167"/>
      <c r="JPA167" s="199"/>
      <c r="JPB167" s="200"/>
      <c r="JPC167" s="201"/>
      <c r="JPD167" s="202"/>
      <c r="JPE167" s="202"/>
      <c r="JPF167" s="202"/>
      <c r="JPG167" s="202"/>
      <c r="JPH167" s="203"/>
      <c r="JPI167" s="204"/>
      <c r="JPJ167" s="204"/>
      <c r="JPK167" s="204"/>
      <c r="JPL167" s="205"/>
      <c r="JPM167" s="206"/>
      <c r="JPN167" s="207"/>
      <c r="JPO167" s="207"/>
      <c r="JPP167" s="208"/>
      <c r="JPQ167" s="209"/>
      <c r="JPR167" s="207"/>
      <c r="JPS167" s="210"/>
      <c r="JPT167" s="209"/>
      <c r="JPU167" s="204"/>
      <c r="JPV167" s="204"/>
      <c r="JPW167" s="204"/>
      <c r="JPX167" s="199"/>
      <c r="JPY167" s="167"/>
      <c r="JPZ167" s="199"/>
      <c r="JQA167" s="200"/>
      <c r="JQB167" s="201"/>
      <c r="JQC167" s="202"/>
      <c r="JQD167" s="202"/>
      <c r="JQE167" s="202"/>
      <c r="JQF167" s="202"/>
      <c r="JQG167" s="203"/>
      <c r="JQH167" s="204"/>
      <c r="JQI167" s="204"/>
      <c r="JQJ167" s="204"/>
      <c r="JQK167" s="205"/>
      <c r="JQL167" s="206"/>
      <c r="JQM167" s="207"/>
      <c r="JQN167" s="207"/>
      <c r="JQO167" s="208"/>
      <c r="JQP167" s="209"/>
      <c r="JQQ167" s="207"/>
      <c r="JQR167" s="210"/>
      <c r="JQS167" s="209"/>
      <c r="JQT167" s="204"/>
      <c r="JQU167" s="204"/>
      <c r="JQV167" s="204"/>
      <c r="JQW167" s="199"/>
      <c r="JQX167" s="167"/>
      <c r="JQY167" s="199"/>
      <c r="JQZ167" s="200"/>
      <c r="JRA167" s="201"/>
      <c r="JRB167" s="202"/>
      <c r="JRC167" s="202"/>
      <c r="JRD167" s="202"/>
      <c r="JRE167" s="202"/>
      <c r="JRF167" s="203"/>
      <c r="JRG167" s="204"/>
      <c r="JRH167" s="204"/>
      <c r="JRI167" s="204"/>
      <c r="JRJ167" s="205"/>
      <c r="JRK167" s="206"/>
      <c r="JRL167" s="207"/>
      <c r="JRM167" s="207"/>
      <c r="JRN167" s="208"/>
      <c r="JRO167" s="209"/>
      <c r="JRP167" s="207"/>
      <c r="JRQ167" s="210"/>
      <c r="JRR167" s="209"/>
      <c r="JRS167" s="204"/>
      <c r="JRT167" s="204"/>
      <c r="JRU167" s="204"/>
      <c r="JRV167" s="199"/>
      <c r="JRW167" s="167"/>
      <c r="JRX167" s="199"/>
      <c r="JRY167" s="200"/>
      <c r="JRZ167" s="201"/>
      <c r="JSA167" s="202"/>
      <c r="JSB167" s="202"/>
      <c r="JSC167" s="202"/>
      <c r="JSD167" s="202"/>
      <c r="JSE167" s="203"/>
      <c r="JSF167" s="204"/>
      <c r="JSG167" s="204"/>
      <c r="JSH167" s="204"/>
      <c r="JSI167" s="205"/>
      <c r="JSJ167" s="206"/>
      <c r="JSK167" s="207"/>
      <c r="JSL167" s="207"/>
      <c r="JSM167" s="208"/>
      <c r="JSN167" s="209"/>
      <c r="JSO167" s="207"/>
      <c r="JSP167" s="210"/>
      <c r="JSQ167" s="209"/>
      <c r="JSR167" s="204"/>
      <c r="JSS167" s="204"/>
      <c r="JST167" s="204"/>
      <c r="JSU167" s="199"/>
      <c r="JSV167" s="167"/>
      <c r="JSW167" s="199"/>
      <c r="JSX167" s="200"/>
      <c r="JSY167" s="201"/>
      <c r="JSZ167" s="202"/>
      <c r="JTA167" s="202"/>
      <c r="JTB167" s="202"/>
      <c r="JTC167" s="202"/>
      <c r="JTD167" s="203"/>
      <c r="JTE167" s="204"/>
      <c r="JTF167" s="204"/>
      <c r="JTG167" s="204"/>
      <c r="JTH167" s="205"/>
      <c r="JTI167" s="206"/>
      <c r="JTJ167" s="207"/>
      <c r="JTK167" s="207"/>
      <c r="JTL167" s="208"/>
      <c r="JTM167" s="209"/>
      <c r="JTN167" s="207"/>
      <c r="JTO167" s="210"/>
      <c r="JTP167" s="209"/>
      <c r="JTQ167" s="204"/>
      <c r="JTR167" s="204"/>
      <c r="JTS167" s="204"/>
      <c r="JTT167" s="199"/>
      <c r="JTU167" s="167"/>
      <c r="JTV167" s="199"/>
      <c r="JTW167" s="200"/>
      <c r="JTX167" s="201"/>
      <c r="JTY167" s="202"/>
      <c r="JTZ167" s="202"/>
      <c r="JUA167" s="202"/>
      <c r="JUB167" s="202"/>
      <c r="JUC167" s="203"/>
      <c r="JUD167" s="204"/>
      <c r="JUE167" s="204"/>
      <c r="JUF167" s="204"/>
      <c r="JUG167" s="205"/>
      <c r="JUH167" s="206"/>
      <c r="JUI167" s="207"/>
      <c r="JUJ167" s="207"/>
      <c r="JUK167" s="208"/>
      <c r="JUL167" s="209"/>
      <c r="JUM167" s="207"/>
      <c r="JUN167" s="210"/>
      <c r="JUO167" s="209"/>
      <c r="JUP167" s="204"/>
      <c r="JUQ167" s="204"/>
      <c r="JUR167" s="204"/>
      <c r="JUS167" s="199"/>
      <c r="JUT167" s="167"/>
      <c r="JUU167" s="199"/>
      <c r="JUV167" s="200"/>
      <c r="JUW167" s="201"/>
      <c r="JUX167" s="202"/>
      <c r="JUY167" s="202"/>
      <c r="JUZ167" s="202"/>
      <c r="JVA167" s="202"/>
      <c r="JVB167" s="203"/>
      <c r="JVC167" s="204"/>
      <c r="JVD167" s="204"/>
      <c r="JVE167" s="204"/>
      <c r="JVF167" s="205"/>
      <c r="JVG167" s="206"/>
      <c r="JVH167" s="207"/>
      <c r="JVI167" s="207"/>
      <c r="JVJ167" s="208"/>
      <c r="JVK167" s="209"/>
      <c r="JVL167" s="207"/>
      <c r="JVM167" s="210"/>
      <c r="JVN167" s="209"/>
      <c r="JVO167" s="204"/>
      <c r="JVP167" s="204"/>
      <c r="JVQ167" s="204"/>
      <c r="JVR167" s="199"/>
      <c r="JVS167" s="167"/>
      <c r="JVT167" s="199"/>
      <c r="JVU167" s="200"/>
      <c r="JVV167" s="201"/>
      <c r="JVW167" s="202"/>
      <c r="JVX167" s="202"/>
      <c r="JVY167" s="202"/>
      <c r="JVZ167" s="202"/>
      <c r="JWA167" s="203"/>
      <c r="JWB167" s="204"/>
      <c r="JWC167" s="204"/>
      <c r="JWD167" s="204"/>
      <c r="JWE167" s="205"/>
      <c r="JWF167" s="206"/>
      <c r="JWG167" s="207"/>
      <c r="JWH167" s="207"/>
      <c r="JWI167" s="208"/>
      <c r="JWJ167" s="209"/>
      <c r="JWK167" s="207"/>
      <c r="JWL167" s="210"/>
      <c r="JWM167" s="209"/>
      <c r="JWN167" s="204"/>
      <c r="JWO167" s="204"/>
      <c r="JWP167" s="204"/>
      <c r="JWQ167" s="199"/>
      <c r="JWR167" s="167"/>
      <c r="JWS167" s="199"/>
      <c r="JWT167" s="200"/>
      <c r="JWU167" s="201"/>
      <c r="JWV167" s="202"/>
      <c r="JWW167" s="202"/>
      <c r="JWX167" s="202"/>
      <c r="JWY167" s="202"/>
      <c r="JWZ167" s="203"/>
      <c r="JXA167" s="204"/>
      <c r="JXB167" s="204"/>
      <c r="JXC167" s="204"/>
      <c r="JXD167" s="205"/>
      <c r="JXE167" s="206"/>
      <c r="JXF167" s="207"/>
      <c r="JXG167" s="207"/>
      <c r="JXH167" s="208"/>
      <c r="JXI167" s="209"/>
      <c r="JXJ167" s="207"/>
      <c r="JXK167" s="210"/>
      <c r="JXL167" s="209"/>
      <c r="JXM167" s="204"/>
      <c r="JXN167" s="204"/>
      <c r="JXO167" s="204"/>
      <c r="JXP167" s="199"/>
      <c r="JXQ167" s="167"/>
      <c r="JXR167" s="199"/>
      <c r="JXS167" s="200"/>
      <c r="JXT167" s="201"/>
      <c r="JXU167" s="202"/>
      <c r="JXV167" s="202"/>
      <c r="JXW167" s="202"/>
      <c r="JXX167" s="202"/>
      <c r="JXY167" s="203"/>
      <c r="JXZ167" s="204"/>
      <c r="JYA167" s="204"/>
      <c r="JYB167" s="204"/>
      <c r="JYC167" s="205"/>
      <c r="JYD167" s="206"/>
      <c r="JYE167" s="207"/>
      <c r="JYF167" s="207"/>
      <c r="JYG167" s="208"/>
      <c r="JYH167" s="209"/>
      <c r="JYI167" s="207"/>
      <c r="JYJ167" s="210"/>
      <c r="JYK167" s="209"/>
      <c r="JYL167" s="204"/>
      <c r="JYM167" s="204"/>
      <c r="JYN167" s="204"/>
      <c r="JYO167" s="199"/>
      <c r="JYP167" s="167"/>
      <c r="JYQ167" s="199"/>
      <c r="JYR167" s="200"/>
      <c r="JYS167" s="201"/>
      <c r="JYT167" s="202"/>
      <c r="JYU167" s="202"/>
      <c r="JYV167" s="202"/>
      <c r="JYW167" s="202"/>
      <c r="JYX167" s="203"/>
      <c r="JYY167" s="204"/>
      <c r="JYZ167" s="204"/>
      <c r="JZA167" s="204"/>
      <c r="JZB167" s="205"/>
      <c r="JZC167" s="206"/>
      <c r="JZD167" s="207"/>
      <c r="JZE167" s="207"/>
      <c r="JZF167" s="208"/>
      <c r="JZG167" s="209"/>
      <c r="JZH167" s="207"/>
      <c r="JZI167" s="210"/>
      <c r="JZJ167" s="209"/>
      <c r="JZK167" s="204"/>
      <c r="JZL167" s="204"/>
      <c r="JZM167" s="204"/>
      <c r="JZN167" s="199"/>
      <c r="JZO167" s="167"/>
      <c r="JZP167" s="199"/>
      <c r="JZQ167" s="200"/>
      <c r="JZR167" s="201"/>
      <c r="JZS167" s="202"/>
      <c r="JZT167" s="202"/>
      <c r="JZU167" s="202"/>
      <c r="JZV167" s="202"/>
      <c r="JZW167" s="203"/>
      <c r="JZX167" s="204"/>
      <c r="JZY167" s="204"/>
      <c r="JZZ167" s="204"/>
      <c r="KAA167" s="205"/>
      <c r="KAB167" s="206"/>
      <c r="KAC167" s="207"/>
      <c r="KAD167" s="207"/>
      <c r="KAE167" s="208"/>
      <c r="KAF167" s="209"/>
      <c r="KAG167" s="207"/>
      <c r="KAH167" s="210"/>
      <c r="KAI167" s="209"/>
      <c r="KAJ167" s="204"/>
      <c r="KAK167" s="204"/>
      <c r="KAL167" s="204"/>
      <c r="KAM167" s="199"/>
      <c r="KAN167" s="167"/>
      <c r="KAO167" s="199"/>
      <c r="KAP167" s="200"/>
      <c r="KAQ167" s="201"/>
      <c r="KAR167" s="202"/>
      <c r="KAS167" s="202"/>
      <c r="KAT167" s="202"/>
      <c r="KAU167" s="202"/>
      <c r="KAV167" s="203"/>
      <c r="KAW167" s="204"/>
      <c r="KAX167" s="204"/>
      <c r="KAY167" s="204"/>
      <c r="KAZ167" s="205"/>
      <c r="KBA167" s="206"/>
      <c r="KBB167" s="207"/>
      <c r="KBC167" s="207"/>
      <c r="KBD167" s="208"/>
      <c r="KBE167" s="209"/>
      <c r="KBF167" s="207"/>
      <c r="KBG167" s="210"/>
      <c r="KBH167" s="209"/>
      <c r="KBI167" s="204"/>
      <c r="KBJ167" s="204"/>
      <c r="KBK167" s="204"/>
      <c r="KBL167" s="199"/>
      <c r="KBM167" s="167"/>
      <c r="KBN167" s="199"/>
      <c r="KBO167" s="200"/>
      <c r="KBP167" s="201"/>
      <c r="KBQ167" s="202"/>
      <c r="KBR167" s="202"/>
      <c r="KBS167" s="202"/>
      <c r="KBT167" s="202"/>
      <c r="KBU167" s="203"/>
      <c r="KBV167" s="204"/>
      <c r="KBW167" s="204"/>
      <c r="KBX167" s="204"/>
      <c r="KBY167" s="205"/>
      <c r="KBZ167" s="206"/>
      <c r="KCA167" s="207"/>
      <c r="KCB167" s="207"/>
      <c r="KCC167" s="208"/>
      <c r="KCD167" s="209"/>
      <c r="KCE167" s="207"/>
      <c r="KCF167" s="210"/>
      <c r="KCG167" s="209"/>
      <c r="KCH167" s="204"/>
      <c r="KCI167" s="204"/>
      <c r="KCJ167" s="204"/>
      <c r="KCK167" s="199"/>
      <c r="KCL167" s="167"/>
      <c r="KCM167" s="199"/>
      <c r="KCN167" s="200"/>
      <c r="KCO167" s="201"/>
      <c r="KCP167" s="202"/>
      <c r="KCQ167" s="202"/>
      <c r="KCR167" s="202"/>
      <c r="KCS167" s="202"/>
      <c r="KCT167" s="203"/>
      <c r="KCU167" s="204"/>
      <c r="KCV167" s="204"/>
      <c r="KCW167" s="204"/>
      <c r="KCX167" s="205"/>
      <c r="KCY167" s="206"/>
      <c r="KCZ167" s="207"/>
      <c r="KDA167" s="207"/>
      <c r="KDB167" s="208"/>
      <c r="KDC167" s="209"/>
      <c r="KDD167" s="207"/>
      <c r="KDE167" s="210"/>
      <c r="KDF167" s="209"/>
      <c r="KDG167" s="204"/>
      <c r="KDH167" s="204"/>
      <c r="KDI167" s="204"/>
      <c r="KDJ167" s="199"/>
      <c r="KDK167" s="167"/>
      <c r="KDL167" s="199"/>
      <c r="KDM167" s="200"/>
      <c r="KDN167" s="201"/>
      <c r="KDO167" s="202"/>
      <c r="KDP167" s="202"/>
      <c r="KDQ167" s="202"/>
      <c r="KDR167" s="202"/>
      <c r="KDS167" s="203"/>
      <c r="KDT167" s="204"/>
      <c r="KDU167" s="204"/>
      <c r="KDV167" s="204"/>
      <c r="KDW167" s="205"/>
      <c r="KDX167" s="206"/>
      <c r="KDY167" s="207"/>
      <c r="KDZ167" s="207"/>
      <c r="KEA167" s="208"/>
      <c r="KEB167" s="209"/>
      <c r="KEC167" s="207"/>
      <c r="KED167" s="210"/>
      <c r="KEE167" s="209"/>
      <c r="KEF167" s="204"/>
      <c r="KEG167" s="204"/>
      <c r="KEH167" s="204"/>
      <c r="KEI167" s="199"/>
      <c r="KEJ167" s="167"/>
      <c r="KEK167" s="199"/>
      <c r="KEL167" s="200"/>
      <c r="KEM167" s="201"/>
      <c r="KEN167" s="202"/>
      <c r="KEO167" s="202"/>
      <c r="KEP167" s="202"/>
      <c r="KEQ167" s="202"/>
      <c r="KER167" s="203"/>
      <c r="KES167" s="204"/>
      <c r="KET167" s="204"/>
      <c r="KEU167" s="204"/>
      <c r="KEV167" s="205"/>
      <c r="KEW167" s="206"/>
      <c r="KEX167" s="207"/>
      <c r="KEY167" s="207"/>
      <c r="KEZ167" s="208"/>
      <c r="KFA167" s="209"/>
      <c r="KFB167" s="207"/>
      <c r="KFC167" s="210"/>
      <c r="KFD167" s="209"/>
      <c r="KFE167" s="204"/>
      <c r="KFF167" s="204"/>
      <c r="KFG167" s="204"/>
      <c r="KFH167" s="199"/>
      <c r="KFI167" s="167"/>
      <c r="KFJ167" s="199"/>
      <c r="KFK167" s="200"/>
      <c r="KFL167" s="201"/>
      <c r="KFM167" s="202"/>
      <c r="KFN167" s="202"/>
      <c r="KFO167" s="202"/>
      <c r="KFP167" s="202"/>
      <c r="KFQ167" s="203"/>
      <c r="KFR167" s="204"/>
      <c r="KFS167" s="204"/>
      <c r="KFT167" s="204"/>
      <c r="KFU167" s="205"/>
      <c r="KFV167" s="206"/>
      <c r="KFW167" s="207"/>
      <c r="KFX167" s="207"/>
      <c r="KFY167" s="208"/>
      <c r="KFZ167" s="209"/>
      <c r="KGA167" s="207"/>
      <c r="KGB167" s="210"/>
      <c r="KGC167" s="209"/>
      <c r="KGD167" s="204"/>
      <c r="KGE167" s="204"/>
      <c r="KGF167" s="204"/>
      <c r="KGG167" s="199"/>
      <c r="KGH167" s="167"/>
      <c r="KGI167" s="199"/>
      <c r="KGJ167" s="200"/>
      <c r="KGK167" s="201"/>
      <c r="KGL167" s="202"/>
      <c r="KGM167" s="202"/>
      <c r="KGN167" s="202"/>
      <c r="KGO167" s="202"/>
      <c r="KGP167" s="203"/>
      <c r="KGQ167" s="204"/>
      <c r="KGR167" s="204"/>
      <c r="KGS167" s="204"/>
      <c r="KGT167" s="205"/>
      <c r="KGU167" s="206"/>
      <c r="KGV167" s="207"/>
      <c r="KGW167" s="207"/>
      <c r="KGX167" s="208"/>
      <c r="KGY167" s="209"/>
      <c r="KGZ167" s="207"/>
      <c r="KHA167" s="210"/>
      <c r="KHB167" s="209"/>
      <c r="KHC167" s="204"/>
      <c r="KHD167" s="204"/>
      <c r="KHE167" s="204"/>
      <c r="KHF167" s="199"/>
      <c r="KHG167" s="167"/>
      <c r="KHH167" s="199"/>
      <c r="KHI167" s="200"/>
      <c r="KHJ167" s="201"/>
      <c r="KHK167" s="202"/>
      <c r="KHL167" s="202"/>
      <c r="KHM167" s="202"/>
      <c r="KHN167" s="202"/>
      <c r="KHO167" s="203"/>
      <c r="KHP167" s="204"/>
      <c r="KHQ167" s="204"/>
      <c r="KHR167" s="204"/>
      <c r="KHS167" s="205"/>
      <c r="KHT167" s="206"/>
      <c r="KHU167" s="207"/>
      <c r="KHV167" s="207"/>
      <c r="KHW167" s="208"/>
      <c r="KHX167" s="209"/>
      <c r="KHY167" s="207"/>
      <c r="KHZ167" s="210"/>
      <c r="KIA167" s="209"/>
      <c r="KIB167" s="204"/>
      <c r="KIC167" s="204"/>
      <c r="KID167" s="204"/>
      <c r="KIE167" s="199"/>
      <c r="KIF167" s="167"/>
      <c r="KIG167" s="199"/>
      <c r="KIH167" s="200"/>
      <c r="KII167" s="201"/>
      <c r="KIJ167" s="202"/>
      <c r="KIK167" s="202"/>
      <c r="KIL167" s="202"/>
      <c r="KIM167" s="202"/>
      <c r="KIN167" s="203"/>
      <c r="KIO167" s="204"/>
      <c r="KIP167" s="204"/>
      <c r="KIQ167" s="204"/>
      <c r="KIR167" s="205"/>
      <c r="KIS167" s="206"/>
      <c r="KIT167" s="207"/>
      <c r="KIU167" s="207"/>
      <c r="KIV167" s="208"/>
      <c r="KIW167" s="209"/>
      <c r="KIX167" s="207"/>
      <c r="KIY167" s="210"/>
      <c r="KIZ167" s="209"/>
      <c r="KJA167" s="204"/>
      <c r="KJB167" s="204"/>
      <c r="KJC167" s="204"/>
      <c r="KJD167" s="199"/>
      <c r="KJE167" s="167"/>
      <c r="KJF167" s="199"/>
      <c r="KJG167" s="200"/>
      <c r="KJH167" s="201"/>
      <c r="KJI167" s="202"/>
      <c r="KJJ167" s="202"/>
      <c r="KJK167" s="202"/>
      <c r="KJL167" s="202"/>
      <c r="KJM167" s="203"/>
      <c r="KJN167" s="204"/>
      <c r="KJO167" s="204"/>
      <c r="KJP167" s="204"/>
      <c r="KJQ167" s="205"/>
      <c r="KJR167" s="206"/>
      <c r="KJS167" s="207"/>
      <c r="KJT167" s="207"/>
      <c r="KJU167" s="208"/>
      <c r="KJV167" s="209"/>
      <c r="KJW167" s="207"/>
      <c r="KJX167" s="210"/>
      <c r="KJY167" s="209"/>
      <c r="KJZ167" s="204"/>
      <c r="KKA167" s="204"/>
      <c r="KKB167" s="204"/>
      <c r="KKC167" s="199"/>
      <c r="KKD167" s="167"/>
      <c r="KKE167" s="199"/>
      <c r="KKF167" s="200"/>
      <c r="KKG167" s="201"/>
      <c r="KKH167" s="202"/>
      <c r="KKI167" s="202"/>
      <c r="KKJ167" s="202"/>
      <c r="KKK167" s="202"/>
      <c r="KKL167" s="203"/>
      <c r="KKM167" s="204"/>
      <c r="KKN167" s="204"/>
      <c r="KKO167" s="204"/>
      <c r="KKP167" s="205"/>
      <c r="KKQ167" s="206"/>
      <c r="KKR167" s="207"/>
      <c r="KKS167" s="207"/>
      <c r="KKT167" s="208"/>
      <c r="KKU167" s="209"/>
      <c r="KKV167" s="207"/>
      <c r="KKW167" s="210"/>
      <c r="KKX167" s="209"/>
      <c r="KKY167" s="204"/>
      <c r="KKZ167" s="204"/>
      <c r="KLA167" s="204"/>
      <c r="KLB167" s="199"/>
      <c r="KLC167" s="167"/>
      <c r="KLD167" s="199"/>
      <c r="KLE167" s="200"/>
      <c r="KLF167" s="201"/>
      <c r="KLG167" s="202"/>
      <c r="KLH167" s="202"/>
      <c r="KLI167" s="202"/>
      <c r="KLJ167" s="202"/>
      <c r="KLK167" s="203"/>
      <c r="KLL167" s="204"/>
      <c r="KLM167" s="204"/>
      <c r="KLN167" s="204"/>
      <c r="KLO167" s="205"/>
      <c r="KLP167" s="206"/>
      <c r="KLQ167" s="207"/>
      <c r="KLR167" s="207"/>
      <c r="KLS167" s="208"/>
      <c r="KLT167" s="209"/>
      <c r="KLU167" s="207"/>
      <c r="KLV167" s="210"/>
      <c r="KLW167" s="209"/>
      <c r="KLX167" s="204"/>
      <c r="KLY167" s="204"/>
      <c r="KLZ167" s="204"/>
      <c r="KMA167" s="199"/>
      <c r="KMB167" s="167"/>
      <c r="KMC167" s="199"/>
      <c r="KMD167" s="200"/>
      <c r="KME167" s="201"/>
      <c r="KMF167" s="202"/>
      <c r="KMG167" s="202"/>
      <c r="KMH167" s="202"/>
      <c r="KMI167" s="202"/>
      <c r="KMJ167" s="203"/>
      <c r="KMK167" s="204"/>
      <c r="KML167" s="204"/>
      <c r="KMM167" s="204"/>
      <c r="KMN167" s="205"/>
      <c r="KMO167" s="206"/>
      <c r="KMP167" s="207"/>
      <c r="KMQ167" s="207"/>
      <c r="KMR167" s="208"/>
      <c r="KMS167" s="209"/>
      <c r="KMT167" s="207"/>
      <c r="KMU167" s="210"/>
      <c r="KMV167" s="209"/>
      <c r="KMW167" s="204"/>
      <c r="KMX167" s="204"/>
      <c r="KMY167" s="204"/>
      <c r="KMZ167" s="199"/>
      <c r="KNA167" s="167"/>
      <c r="KNB167" s="199"/>
      <c r="KNC167" s="200"/>
      <c r="KND167" s="201"/>
      <c r="KNE167" s="202"/>
      <c r="KNF167" s="202"/>
      <c r="KNG167" s="202"/>
      <c r="KNH167" s="202"/>
      <c r="KNI167" s="203"/>
      <c r="KNJ167" s="204"/>
      <c r="KNK167" s="204"/>
      <c r="KNL167" s="204"/>
      <c r="KNM167" s="205"/>
      <c r="KNN167" s="206"/>
      <c r="KNO167" s="207"/>
      <c r="KNP167" s="207"/>
      <c r="KNQ167" s="208"/>
      <c r="KNR167" s="209"/>
      <c r="KNS167" s="207"/>
      <c r="KNT167" s="210"/>
      <c r="KNU167" s="209"/>
      <c r="KNV167" s="204"/>
      <c r="KNW167" s="204"/>
      <c r="KNX167" s="204"/>
      <c r="KNY167" s="199"/>
      <c r="KNZ167" s="167"/>
      <c r="KOA167" s="199"/>
      <c r="KOB167" s="200"/>
      <c r="KOC167" s="201"/>
      <c r="KOD167" s="202"/>
      <c r="KOE167" s="202"/>
      <c r="KOF167" s="202"/>
      <c r="KOG167" s="202"/>
      <c r="KOH167" s="203"/>
      <c r="KOI167" s="204"/>
      <c r="KOJ167" s="204"/>
      <c r="KOK167" s="204"/>
      <c r="KOL167" s="205"/>
      <c r="KOM167" s="206"/>
      <c r="KON167" s="207"/>
      <c r="KOO167" s="207"/>
      <c r="KOP167" s="208"/>
      <c r="KOQ167" s="209"/>
      <c r="KOR167" s="207"/>
      <c r="KOS167" s="210"/>
      <c r="KOT167" s="209"/>
      <c r="KOU167" s="204"/>
      <c r="KOV167" s="204"/>
      <c r="KOW167" s="204"/>
      <c r="KOX167" s="199"/>
      <c r="KOY167" s="167"/>
      <c r="KOZ167" s="199"/>
      <c r="KPA167" s="200"/>
      <c r="KPB167" s="201"/>
      <c r="KPC167" s="202"/>
      <c r="KPD167" s="202"/>
      <c r="KPE167" s="202"/>
      <c r="KPF167" s="202"/>
      <c r="KPG167" s="203"/>
      <c r="KPH167" s="204"/>
      <c r="KPI167" s="204"/>
      <c r="KPJ167" s="204"/>
      <c r="KPK167" s="205"/>
      <c r="KPL167" s="206"/>
      <c r="KPM167" s="207"/>
      <c r="KPN167" s="207"/>
      <c r="KPO167" s="208"/>
      <c r="KPP167" s="209"/>
      <c r="KPQ167" s="207"/>
      <c r="KPR167" s="210"/>
      <c r="KPS167" s="209"/>
      <c r="KPT167" s="204"/>
      <c r="KPU167" s="204"/>
      <c r="KPV167" s="204"/>
      <c r="KPW167" s="199"/>
      <c r="KPX167" s="167"/>
      <c r="KPY167" s="199"/>
      <c r="KPZ167" s="200"/>
      <c r="KQA167" s="201"/>
      <c r="KQB167" s="202"/>
      <c r="KQC167" s="202"/>
      <c r="KQD167" s="202"/>
      <c r="KQE167" s="202"/>
      <c r="KQF167" s="203"/>
      <c r="KQG167" s="204"/>
      <c r="KQH167" s="204"/>
      <c r="KQI167" s="204"/>
      <c r="KQJ167" s="205"/>
      <c r="KQK167" s="206"/>
      <c r="KQL167" s="207"/>
      <c r="KQM167" s="207"/>
      <c r="KQN167" s="208"/>
      <c r="KQO167" s="209"/>
      <c r="KQP167" s="207"/>
      <c r="KQQ167" s="210"/>
      <c r="KQR167" s="209"/>
      <c r="KQS167" s="204"/>
      <c r="KQT167" s="204"/>
      <c r="KQU167" s="204"/>
      <c r="KQV167" s="199"/>
      <c r="KQW167" s="167"/>
      <c r="KQX167" s="199"/>
      <c r="KQY167" s="200"/>
      <c r="KQZ167" s="201"/>
      <c r="KRA167" s="202"/>
      <c r="KRB167" s="202"/>
      <c r="KRC167" s="202"/>
      <c r="KRD167" s="202"/>
      <c r="KRE167" s="203"/>
      <c r="KRF167" s="204"/>
      <c r="KRG167" s="204"/>
      <c r="KRH167" s="204"/>
      <c r="KRI167" s="205"/>
      <c r="KRJ167" s="206"/>
      <c r="KRK167" s="207"/>
      <c r="KRL167" s="207"/>
      <c r="KRM167" s="208"/>
      <c r="KRN167" s="209"/>
      <c r="KRO167" s="207"/>
      <c r="KRP167" s="210"/>
      <c r="KRQ167" s="209"/>
      <c r="KRR167" s="204"/>
      <c r="KRS167" s="204"/>
      <c r="KRT167" s="204"/>
      <c r="KRU167" s="199"/>
      <c r="KRV167" s="167"/>
      <c r="KRW167" s="199"/>
      <c r="KRX167" s="200"/>
      <c r="KRY167" s="201"/>
      <c r="KRZ167" s="202"/>
      <c r="KSA167" s="202"/>
      <c r="KSB167" s="202"/>
      <c r="KSC167" s="202"/>
      <c r="KSD167" s="203"/>
      <c r="KSE167" s="204"/>
      <c r="KSF167" s="204"/>
      <c r="KSG167" s="204"/>
      <c r="KSH167" s="205"/>
      <c r="KSI167" s="206"/>
      <c r="KSJ167" s="207"/>
      <c r="KSK167" s="207"/>
      <c r="KSL167" s="208"/>
      <c r="KSM167" s="209"/>
      <c r="KSN167" s="207"/>
      <c r="KSO167" s="210"/>
      <c r="KSP167" s="209"/>
      <c r="KSQ167" s="204"/>
      <c r="KSR167" s="204"/>
      <c r="KSS167" s="204"/>
      <c r="KST167" s="199"/>
      <c r="KSU167" s="167"/>
      <c r="KSV167" s="199"/>
      <c r="KSW167" s="200"/>
      <c r="KSX167" s="201"/>
      <c r="KSY167" s="202"/>
      <c r="KSZ167" s="202"/>
      <c r="KTA167" s="202"/>
      <c r="KTB167" s="202"/>
      <c r="KTC167" s="203"/>
      <c r="KTD167" s="204"/>
      <c r="KTE167" s="204"/>
      <c r="KTF167" s="204"/>
      <c r="KTG167" s="205"/>
      <c r="KTH167" s="206"/>
      <c r="KTI167" s="207"/>
      <c r="KTJ167" s="207"/>
      <c r="KTK167" s="208"/>
      <c r="KTL167" s="209"/>
      <c r="KTM167" s="207"/>
      <c r="KTN167" s="210"/>
      <c r="KTO167" s="209"/>
      <c r="KTP167" s="204"/>
      <c r="KTQ167" s="204"/>
      <c r="KTR167" s="204"/>
      <c r="KTS167" s="199"/>
      <c r="KTT167" s="167"/>
      <c r="KTU167" s="199"/>
      <c r="KTV167" s="200"/>
      <c r="KTW167" s="201"/>
      <c r="KTX167" s="202"/>
      <c r="KTY167" s="202"/>
      <c r="KTZ167" s="202"/>
      <c r="KUA167" s="202"/>
      <c r="KUB167" s="203"/>
      <c r="KUC167" s="204"/>
      <c r="KUD167" s="204"/>
      <c r="KUE167" s="204"/>
      <c r="KUF167" s="205"/>
      <c r="KUG167" s="206"/>
      <c r="KUH167" s="207"/>
      <c r="KUI167" s="207"/>
      <c r="KUJ167" s="208"/>
      <c r="KUK167" s="209"/>
      <c r="KUL167" s="207"/>
      <c r="KUM167" s="210"/>
      <c r="KUN167" s="209"/>
      <c r="KUO167" s="204"/>
      <c r="KUP167" s="204"/>
      <c r="KUQ167" s="204"/>
      <c r="KUR167" s="199"/>
      <c r="KUS167" s="167"/>
      <c r="KUT167" s="199"/>
      <c r="KUU167" s="200"/>
      <c r="KUV167" s="201"/>
      <c r="KUW167" s="202"/>
      <c r="KUX167" s="202"/>
      <c r="KUY167" s="202"/>
      <c r="KUZ167" s="202"/>
      <c r="KVA167" s="203"/>
      <c r="KVB167" s="204"/>
      <c r="KVC167" s="204"/>
      <c r="KVD167" s="204"/>
      <c r="KVE167" s="205"/>
      <c r="KVF167" s="206"/>
      <c r="KVG167" s="207"/>
      <c r="KVH167" s="207"/>
      <c r="KVI167" s="208"/>
      <c r="KVJ167" s="209"/>
      <c r="KVK167" s="207"/>
      <c r="KVL167" s="210"/>
      <c r="KVM167" s="209"/>
      <c r="KVN167" s="204"/>
      <c r="KVO167" s="204"/>
      <c r="KVP167" s="204"/>
      <c r="KVQ167" s="199"/>
      <c r="KVR167" s="167"/>
      <c r="KVS167" s="199"/>
      <c r="KVT167" s="200"/>
      <c r="KVU167" s="201"/>
      <c r="KVV167" s="202"/>
      <c r="KVW167" s="202"/>
      <c r="KVX167" s="202"/>
      <c r="KVY167" s="202"/>
      <c r="KVZ167" s="203"/>
      <c r="KWA167" s="204"/>
      <c r="KWB167" s="204"/>
      <c r="KWC167" s="204"/>
      <c r="KWD167" s="205"/>
      <c r="KWE167" s="206"/>
      <c r="KWF167" s="207"/>
      <c r="KWG167" s="207"/>
      <c r="KWH167" s="208"/>
      <c r="KWI167" s="209"/>
      <c r="KWJ167" s="207"/>
      <c r="KWK167" s="210"/>
      <c r="KWL167" s="209"/>
      <c r="KWM167" s="204"/>
      <c r="KWN167" s="204"/>
      <c r="KWO167" s="204"/>
      <c r="KWP167" s="199"/>
      <c r="KWQ167" s="167"/>
      <c r="KWR167" s="199"/>
      <c r="KWS167" s="200"/>
      <c r="KWT167" s="201"/>
      <c r="KWU167" s="202"/>
      <c r="KWV167" s="202"/>
      <c r="KWW167" s="202"/>
      <c r="KWX167" s="202"/>
      <c r="KWY167" s="203"/>
      <c r="KWZ167" s="204"/>
      <c r="KXA167" s="204"/>
      <c r="KXB167" s="204"/>
      <c r="KXC167" s="205"/>
      <c r="KXD167" s="206"/>
      <c r="KXE167" s="207"/>
      <c r="KXF167" s="207"/>
      <c r="KXG167" s="208"/>
      <c r="KXH167" s="209"/>
      <c r="KXI167" s="207"/>
      <c r="KXJ167" s="210"/>
      <c r="KXK167" s="209"/>
      <c r="KXL167" s="204"/>
      <c r="KXM167" s="204"/>
      <c r="KXN167" s="204"/>
      <c r="KXO167" s="199"/>
      <c r="KXP167" s="167"/>
      <c r="KXQ167" s="199"/>
      <c r="KXR167" s="200"/>
      <c r="KXS167" s="201"/>
      <c r="KXT167" s="202"/>
      <c r="KXU167" s="202"/>
      <c r="KXV167" s="202"/>
      <c r="KXW167" s="202"/>
      <c r="KXX167" s="203"/>
      <c r="KXY167" s="204"/>
      <c r="KXZ167" s="204"/>
      <c r="KYA167" s="204"/>
      <c r="KYB167" s="205"/>
      <c r="KYC167" s="206"/>
      <c r="KYD167" s="207"/>
      <c r="KYE167" s="207"/>
      <c r="KYF167" s="208"/>
      <c r="KYG167" s="209"/>
      <c r="KYH167" s="207"/>
      <c r="KYI167" s="210"/>
      <c r="KYJ167" s="209"/>
      <c r="KYK167" s="204"/>
      <c r="KYL167" s="204"/>
      <c r="KYM167" s="204"/>
      <c r="KYN167" s="199"/>
      <c r="KYO167" s="167"/>
      <c r="KYP167" s="199"/>
      <c r="KYQ167" s="200"/>
      <c r="KYR167" s="201"/>
      <c r="KYS167" s="202"/>
      <c r="KYT167" s="202"/>
      <c r="KYU167" s="202"/>
      <c r="KYV167" s="202"/>
      <c r="KYW167" s="203"/>
      <c r="KYX167" s="204"/>
      <c r="KYY167" s="204"/>
      <c r="KYZ167" s="204"/>
      <c r="KZA167" s="205"/>
      <c r="KZB167" s="206"/>
      <c r="KZC167" s="207"/>
      <c r="KZD167" s="207"/>
      <c r="KZE167" s="208"/>
      <c r="KZF167" s="209"/>
      <c r="KZG167" s="207"/>
      <c r="KZH167" s="210"/>
      <c r="KZI167" s="209"/>
      <c r="KZJ167" s="204"/>
      <c r="KZK167" s="204"/>
      <c r="KZL167" s="204"/>
      <c r="KZM167" s="199"/>
      <c r="KZN167" s="167"/>
      <c r="KZO167" s="199"/>
      <c r="KZP167" s="200"/>
      <c r="KZQ167" s="201"/>
      <c r="KZR167" s="202"/>
      <c r="KZS167" s="202"/>
      <c r="KZT167" s="202"/>
      <c r="KZU167" s="202"/>
      <c r="KZV167" s="203"/>
      <c r="KZW167" s="204"/>
      <c r="KZX167" s="204"/>
      <c r="KZY167" s="204"/>
      <c r="KZZ167" s="205"/>
      <c r="LAA167" s="206"/>
      <c r="LAB167" s="207"/>
      <c r="LAC167" s="207"/>
      <c r="LAD167" s="208"/>
      <c r="LAE167" s="209"/>
      <c r="LAF167" s="207"/>
      <c r="LAG167" s="210"/>
      <c r="LAH167" s="209"/>
      <c r="LAI167" s="204"/>
      <c r="LAJ167" s="204"/>
      <c r="LAK167" s="204"/>
      <c r="LAL167" s="199"/>
      <c r="LAM167" s="167"/>
      <c r="LAN167" s="199"/>
      <c r="LAO167" s="200"/>
      <c r="LAP167" s="201"/>
      <c r="LAQ167" s="202"/>
      <c r="LAR167" s="202"/>
      <c r="LAS167" s="202"/>
      <c r="LAT167" s="202"/>
      <c r="LAU167" s="203"/>
      <c r="LAV167" s="204"/>
      <c r="LAW167" s="204"/>
      <c r="LAX167" s="204"/>
      <c r="LAY167" s="205"/>
      <c r="LAZ167" s="206"/>
      <c r="LBA167" s="207"/>
      <c r="LBB167" s="207"/>
      <c r="LBC167" s="208"/>
      <c r="LBD167" s="209"/>
      <c r="LBE167" s="207"/>
      <c r="LBF167" s="210"/>
      <c r="LBG167" s="209"/>
      <c r="LBH167" s="204"/>
      <c r="LBI167" s="204"/>
      <c r="LBJ167" s="204"/>
      <c r="LBK167" s="199"/>
      <c r="LBL167" s="167"/>
      <c r="LBM167" s="199"/>
      <c r="LBN167" s="200"/>
      <c r="LBO167" s="201"/>
      <c r="LBP167" s="202"/>
      <c r="LBQ167" s="202"/>
      <c r="LBR167" s="202"/>
      <c r="LBS167" s="202"/>
      <c r="LBT167" s="203"/>
      <c r="LBU167" s="204"/>
      <c r="LBV167" s="204"/>
      <c r="LBW167" s="204"/>
      <c r="LBX167" s="205"/>
      <c r="LBY167" s="206"/>
      <c r="LBZ167" s="207"/>
      <c r="LCA167" s="207"/>
      <c r="LCB167" s="208"/>
      <c r="LCC167" s="209"/>
      <c r="LCD167" s="207"/>
      <c r="LCE167" s="210"/>
      <c r="LCF167" s="209"/>
      <c r="LCG167" s="204"/>
      <c r="LCH167" s="204"/>
      <c r="LCI167" s="204"/>
      <c r="LCJ167" s="199"/>
      <c r="LCK167" s="167"/>
      <c r="LCL167" s="199"/>
      <c r="LCM167" s="200"/>
      <c r="LCN167" s="201"/>
      <c r="LCO167" s="202"/>
      <c r="LCP167" s="202"/>
      <c r="LCQ167" s="202"/>
      <c r="LCR167" s="202"/>
      <c r="LCS167" s="203"/>
      <c r="LCT167" s="204"/>
      <c r="LCU167" s="204"/>
      <c r="LCV167" s="204"/>
      <c r="LCW167" s="205"/>
      <c r="LCX167" s="206"/>
      <c r="LCY167" s="207"/>
      <c r="LCZ167" s="207"/>
      <c r="LDA167" s="208"/>
      <c r="LDB167" s="209"/>
      <c r="LDC167" s="207"/>
      <c r="LDD167" s="210"/>
      <c r="LDE167" s="209"/>
      <c r="LDF167" s="204"/>
      <c r="LDG167" s="204"/>
      <c r="LDH167" s="204"/>
      <c r="LDI167" s="199"/>
      <c r="LDJ167" s="167"/>
      <c r="LDK167" s="199"/>
      <c r="LDL167" s="200"/>
      <c r="LDM167" s="201"/>
      <c r="LDN167" s="202"/>
      <c r="LDO167" s="202"/>
      <c r="LDP167" s="202"/>
      <c r="LDQ167" s="202"/>
      <c r="LDR167" s="203"/>
      <c r="LDS167" s="204"/>
      <c r="LDT167" s="204"/>
      <c r="LDU167" s="204"/>
      <c r="LDV167" s="205"/>
      <c r="LDW167" s="206"/>
      <c r="LDX167" s="207"/>
      <c r="LDY167" s="207"/>
      <c r="LDZ167" s="208"/>
      <c r="LEA167" s="209"/>
      <c r="LEB167" s="207"/>
      <c r="LEC167" s="210"/>
      <c r="LED167" s="209"/>
      <c r="LEE167" s="204"/>
      <c r="LEF167" s="204"/>
      <c r="LEG167" s="204"/>
      <c r="LEH167" s="199"/>
      <c r="LEI167" s="167"/>
      <c r="LEJ167" s="199"/>
      <c r="LEK167" s="200"/>
      <c r="LEL167" s="201"/>
      <c r="LEM167" s="202"/>
      <c r="LEN167" s="202"/>
      <c r="LEO167" s="202"/>
      <c r="LEP167" s="202"/>
      <c r="LEQ167" s="203"/>
      <c r="LER167" s="204"/>
      <c r="LES167" s="204"/>
      <c r="LET167" s="204"/>
      <c r="LEU167" s="205"/>
      <c r="LEV167" s="206"/>
      <c r="LEW167" s="207"/>
      <c r="LEX167" s="207"/>
      <c r="LEY167" s="208"/>
      <c r="LEZ167" s="209"/>
      <c r="LFA167" s="207"/>
      <c r="LFB167" s="210"/>
      <c r="LFC167" s="209"/>
      <c r="LFD167" s="204"/>
      <c r="LFE167" s="204"/>
      <c r="LFF167" s="204"/>
      <c r="LFG167" s="199"/>
      <c r="LFH167" s="167"/>
      <c r="LFI167" s="199"/>
      <c r="LFJ167" s="200"/>
      <c r="LFK167" s="201"/>
      <c r="LFL167" s="202"/>
      <c r="LFM167" s="202"/>
      <c r="LFN167" s="202"/>
      <c r="LFO167" s="202"/>
      <c r="LFP167" s="203"/>
      <c r="LFQ167" s="204"/>
      <c r="LFR167" s="204"/>
      <c r="LFS167" s="204"/>
      <c r="LFT167" s="205"/>
      <c r="LFU167" s="206"/>
      <c r="LFV167" s="207"/>
      <c r="LFW167" s="207"/>
      <c r="LFX167" s="208"/>
      <c r="LFY167" s="209"/>
      <c r="LFZ167" s="207"/>
      <c r="LGA167" s="210"/>
      <c r="LGB167" s="209"/>
      <c r="LGC167" s="204"/>
      <c r="LGD167" s="204"/>
      <c r="LGE167" s="204"/>
      <c r="LGF167" s="199"/>
      <c r="LGG167" s="167"/>
      <c r="LGH167" s="199"/>
      <c r="LGI167" s="200"/>
      <c r="LGJ167" s="201"/>
      <c r="LGK167" s="202"/>
      <c r="LGL167" s="202"/>
      <c r="LGM167" s="202"/>
      <c r="LGN167" s="202"/>
      <c r="LGO167" s="203"/>
      <c r="LGP167" s="204"/>
      <c r="LGQ167" s="204"/>
      <c r="LGR167" s="204"/>
      <c r="LGS167" s="205"/>
      <c r="LGT167" s="206"/>
      <c r="LGU167" s="207"/>
      <c r="LGV167" s="207"/>
      <c r="LGW167" s="208"/>
      <c r="LGX167" s="209"/>
      <c r="LGY167" s="207"/>
      <c r="LGZ167" s="210"/>
      <c r="LHA167" s="209"/>
      <c r="LHB167" s="204"/>
      <c r="LHC167" s="204"/>
      <c r="LHD167" s="204"/>
      <c r="LHE167" s="199"/>
      <c r="LHF167" s="167"/>
      <c r="LHG167" s="199"/>
      <c r="LHH167" s="200"/>
      <c r="LHI167" s="201"/>
      <c r="LHJ167" s="202"/>
      <c r="LHK167" s="202"/>
      <c r="LHL167" s="202"/>
      <c r="LHM167" s="202"/>
      <c r="LHN167" s="203"/>
      <c r="LHO167" s="204"/>
      <c r="LHP167" s="204"/>
      <c r="LHQ167" s="204"/>
      <c r="LHR167" s="205"/>
      <c r="LHS167" s="206"/>
      <c r="LHT167" s="207"/>
      <c r="LHU167" s="207"/>
      <c r="LHV167" s="208"/>
      <c r="LHW167" s="209"/>
      <c r="LHX167" s="207"/>
      <c r="LHY167" s="210"/>
      <c r="LHZ167" s="209"/>
      <c r="LIA167" s="204"/>
      <c r="LIB167" s="204"/>
      <c r="LIC167" s="204"/>
      <c r="LID167" s="199"/>
      <c r="LIE167" s="167"/>
      <c r="LIF167" s="199"/>
      <c r="LIG167" s="200"/>
      <c r="LIH167" s="201"/>
      <c r="LII167" s="202"/>
      <c r="LIJ167" s="202"/>
      <c r="LIK167" s="202"/>
      <c r="LIL167" s="202"/>
      <c r="LIM167" s="203"/>
      <c r="LIN167" s="204"/>
      <c r="LIO167" s="204"/>
      <c r="LIP167" s="204"/>
      <c r="LIQ167" s="205"/>
      <c r="LIR167" s="206"/>
      <c r="LIS167" s="207"/>
      <c r="LIT167" s="207"/>
      <c r="LIU167" s="208"/>
      <c r="LIV167" s="209"/>
      <c r="LIW167" s="207"/>
      <c r="LIX167" s="210"/>
      <c r="LIY167" s="209"/>
      <c r="LIZ167" s="204"/>
      <c r="LJA167" s="204"/>
      <c r="LJB167" s="204"/>
      <c r="LJC167" s="199"/>
      <c r="LJD167" s="167"/>
      <c r="LJE167" s="199"/>
      <c r="LJF167" s="200"/>
      <c r="LJG167" s="201"/>
      <c r="LJH167" s="202"/>
      <c r="LJI167" s="202"/>
      <c r="LJJ167" s="202"/>
      <c r="LJK167" s="202"/>
      <c r="LJL167" s="203"/>
      <c r="LJM167" s="204"/>
      <c r="LJN167" s="204"/>
      <c r="LJO167" s="204"/>
      <c r="LJP167" s="205"/>
      <c r="LJQ167" s="206"/>
      <c r="LJR167" s="207"/>
      <c r="LJS167" s="207"/>
      <c r="LJT167" s="208"/>
      <c r="LJU167" s="209"/>
      <c r="LJV167" s="207"/>
      <c r="LJW167" s="210"/>
      <c r="LJX167" s="209"/>
      <c r="LJY167" s="204"/>
      <c r="LJZ167" s="204"/>
      <c r="LKA167" s="204"/>
      <c r="LKB167" s="199"/>
      <c r="LKC167" s="167"/>
      <c r="LKD167" s="199"/>
      <c r="LKE167" s="200"/>
      <c r="LKF167" s="201"/>
      <c r="LKG167" s="202"/>
      <c r="LKH167" s="202"/>
      <c r="LKI167" s="202"/>
      <c r="LKJ167" s="202"/>
      <c r="LKK167" s="203"/>
      <c r="LKL167" s="204"/>
      <c r="LKM167" s="204"/>
      <c r="LKN167" s="204"/>
      <c r="LKO167" s="205"/>
      <c r="LKP167" s="206"/>
      <c r="LKQ167" s="207"/>
      <c r="LKR167" s="207"/>
      <c r="LKS167" s="208"/>
      <c r="LKT167" s="209"/>
      <c r="LKU167" s="207"/>
      <c r="LKV167" s="210"/>
      <c r="LKW167" s="209"/>
      <c r="LKX167" s="204"/>
      <c r="LKY167" s="204"/>
      <c r="LKZ167" s="204"/>
      <c r="LLA167" s="199"/>
      <c r="LLB167" s="167"/>
      <c r="LLC167" s="199"/>
      <c r="LLD167" s="200"/>
      <c r="LLE167" s="201"/>
      <c r="LLF167" s="202"/>
      <c r="LLG167" s="202"/>
      <c r="LLH167" s="202"/>
      <c r="LLI167" s="202"/>
      <c r="LLJ167" s="203"/>
      <c r="LLK167" s="204"/>
      <c r="LLL167" s="204"/>
      <c r="LLM167" s="204"/>
      <c r="LLN167" s="205"/>
      <c r="LLO167" s="206"/>
      <c r="LLP167" s="207"/>
      <c r="LLQ167" s="207"/>
      <c r="LLR167" s="208"/>
      <c r="LLS167" s="209"/>
      <c r="LLT167" s="207"/>
      <c r="LLU167" s="210"/>
      <c r="LLV167" s="209"/>
      <c r="LLW167" s="204"/>
      <c r="LLX167" s="204"/>
      <c r="LLY167" s="204"/>
      <c r="LLZ167" s="199"/>
      <c r="LMA167" s="167"/>
      <c r="LMB167" s="199"/>
      <c r="LMC167" s="200"/>
      <c r="LMD167" s="201"/>
      <c r="LME167" s="202"/>
      <c r="LMF167" s="202"/>
      <c r="LMG167" s="202"/>
      <c r="LMH167" s="202"/>
      <c r="LMI167" s="203"/>
      <c r="LMJ167" s="204"/>
      <c r="LMK167" s="204"/>
      <c r="LML167" s="204"/>
      <c r="LMM167" s="205"/>
      <c r="LMN167" s="206"/>
      <c r="LMO167" s="207"/>
      <c r="LMP167" s="207"/>
      <c r="LMQ167" s="208"/>
      <c r="LMR167" s="209"/>
      <c r="LMS167" s="207"/>
      <c r="LMT167" s="210"/>
      <c r="LMU167" s="209"/>
      <c r="LMV167" s="204"/>
      <c r="LMW167" s="204"/>
      <c r="LMX167" s="204"/>
      <c r="LMY167" s="199"/>
      <c r="LMZ167" s="167"/>
      <c r="LNA167" s="199"/>
      <c r="LNB167" s="200"/>
      <c r="LNC167" s="201"/>
      <c r="LND167" s="202"/>
      <c r="LNE167" s="202"/>
      <c r="LNF167" s="202"/>
      <c r="LNG167" s="202"/>
      <c r="LNH167" s="203"/>
      <c r="LNI167" s="204"/>
      <c r="LNJ167" s="204"/>
      <c r="LNK167" s="204"/>
      <c r="LNL167" s="205"/>
      <c r="LNM167" s="206"/>
      <c r="LNN167" s="207"/>
      <c r="LNO167" s="207"/>
      <c r="LNP167" s="208"/>
      <c r="LNQ167" s="209"/>
      <c r="LNR167" s="207"/>
      <c r="LNS167" s="210"/>
      <c r="LNT167" s="209"/>
      <c r="LNU167" s="204"/>
      <c r="LNV167" s="204"/>
      <c r="LNW167" s="204"/>
      <c r="LNX167" s="199"/>
      <c r="LNY167" s="167"/>
      <c r="LNZ167" s="199"/>
      <c r="LOA167" s="200"/>
      <c r="LOB167" s="201"/>
      <c r="LOC167" s="202"/>
      <c r="LOD167" s="202"/>
      <c r="LOE167" s="202"/>
      <c r="LOF167" s="202"/>
      <c r="LOG167" s="203"/>
      <c r="LOH167" s="204"/>
      <c r="LOI167" s="204"/>
      <c r="LOJ167" s="204"/>
      <c r="LOK167" s="205"/>
      <c r="LOL167" s="206"/>
      <c r="LOM167" s="207"/>
      <c r="LON167" s="207"/>
      <c r="LOO167" s="208"/>
      <c r="LOP167" s="209"/>
      <c r="LOQ167" s="207"/>
      <c r="LOR167" s="210"/>
      <c r="LOS167" s="209"/>
      <c r="LOT167" s="204"/>
      <c r="LOU167" s="204"/>
      <c r="LOV167" s="204"/>
      <c r="LOW167" s="199"/>
      <c r="LOX167" s="167"/>
      <c r="LOY167" s="199"/>
      <c r="LOZ167" s="200"/>
      <c r="LPA167" s="201"/>
      <c r="LPB167" s="202"/>
      <c r="LPC167" s="202"/>
      <c r="LPD167" s="202"/>
      <c r="LPE167" s="202"/>
      <c r="LPF167" s="203"/>
      <c r="LPG167" s="204"/>
      <c r="LPH167" s="204"/>
      <c r="LPI167" s="204"/>
      <c r="LPJ167" s="205"/>
      <c r="LPK167" s="206"/>
      <c r="LPL167" s="207"/>
      <c r="LPM167" s="207"/>
      <c r="LPN167" s="208"/>
      <c r="LPO167" s="209"/>
      <c r="LPP167" s="207"/>
      <c r="LPQ167" s="210"/>
      <c r="LPR167" s="209"/>
      <c r="LPS167" s="204"/>
      <c r="LPT167" s="204"/>
      <c r="LPU167" s="204"/>
      <c r="LPV167" s="199"/>
      <c r="LPW167" s="167"/>
      <c r="LPX167" s="199"/>
      <c r="LPY167" s="200"/>
      <c r="LPZ167" s="201"/>
      <c r="LQA167" s="202"/>
      <c r="LQB167" s="202"/>
      <c r="LQC167" s="202"/>
      <c r="LQD167" s="202"/>
      <c r="LQE167" s="203"/>
      <c r="LQF167" s="204"/>
      <c r="LQG167" s="204"/>
      <c r="LQH167" s="204"/>
      <c r="LQI167" s="205"/>
      <c r="LQJ167" s="206"/>
      <c r="LQK167" s="207"/>
      <c r="LQL167" s="207"/>
      <c r="LQM167" s="208"/>
      <c r="LQN167" s="209"/>
      <c r="LQO167" s="207"/>
      <c r="LQP167" s="210"/>
      <c r="LQQ167" s="209"/>
      <c r="LQR167" s="204"/>
      <c r="LQS167" s="204"/>
      <c r="LQT167" s="204"/>
      <c r="LQU167" s="199"/>
      <c r="LQV167" s="167"/>
      <c r="LQW167" s="199"/>
      <c r="LQX167" s="200"/>
      <c r="LQY167" s="201"/>
      <c r="LQZ167" s="202"/>
      <c r="LRA167" s="202"/>
      <c r="LRB167" s="202"/>
      <c r="LRC167" s="202"/>
      <c r="LRD167" s="203"/>
      <c r="LRE167" s="204"/>
      <c r="LRF167" s="204"/>
      <c r="LRG167" s="204"/>
      <c r="LRH167" s="205"/>
      <c r="LRI167" s="206"/>
      <c r="LRJ167" s="207"/>
      <c r="LRK167" s="207"/>
      <c r="LRL167" s="208"/>
      <c r="LRM167" s="209"/>
      <c r="LRN167" s="207"/>
      <c r="LRO167" s="210"/>
      <c r="LRP167" s="209"/>
      <c r="LRQ167" s="204"/>
      <c r="LRR167" s="204"/>
      <c r="LRS167" s="204"/>
      <c r="LRT167" s="199"/>
      <c r="LRU167" s="167"/>
      <c r="LRV167" s="199"/>
      <c r="LRW167" s="200"/>
      <c r="LRX167" s="201"/>
      <c r="LRY167" s="202"/>
      <c r="LRZ167" s="202"/>
      <c r="LSA167" s="202"/>
      <c r="LSB167" s="202"/>
      <c r="LSC167" s="203"/>
      <c r="LSD167" s="204"/>
      <c r="LSE167" s="204"/>
      <c r="LSF167" s="204"/>
      <c r="LSG167" s="205"/>
      <c r="LSH167" s="206"/>
      <c r="LSI167" s="207"/>
      <c r="LSJ167" s="207"/>
      <c r="LSK167" s="208"/>
      <c r="LSL167" s="209"/>
      <c r="LSM167" s="207"/>
      <c r="LSN167" s="210"/>
      <c r="LSO167" s="209"/>
      <c r="LSP167" s="204"/>
      <c r="LSQ167" s="204"/>
      <c r="LSR167" s="204"/>
      <c r="LSS167" s="199"/>
      <c r="LST167" s="167"/>
      <c r="LSU167" s="199"/>
      <c r="LSV167" s="200"/>
      <c r="LSW167" s="201"/>
      <c r="LSX167" s="202"/>
      <c r="LSY167" s="202"/>
      <c r="LSZ167" s="202"/>
      <c r="LTA167" s="202"/>
      <c r="LTB167" s="203"/>
      <c r="LTC167" s="204"/>
      <c r="LTD167" s="204"/>
      <c r="LTE167" s="204"/>
      <c r="LTF167" s="205"/>
      <c r="LTG167" s="206"/>
      <c r="LTH167" s="207"/>
      <c r="LTI167" s="207"/>
      <c r="LTJ167" s="208"/>
      <c r="LTK167" s="209"/>
      <c r="LTL167" s="207"/>
      <c r="LTM167" s="210"/>
      <c r="LTN167" s="209"/>
      <c r="LTO167" s="204"/>
      <c r="LTP167" s="204"/>
      <c r="LTQ167" s="204"/>
      <c r="LTR167" s="199"/>
      <c r="LTS167" s="167"/>
      <c r="LTT167" s="199"/>
      <c r="LTU167" s="200"/>
      <c r="LTV167" s="201"/>
      <c r="LTW167" s="202"/>
      <c r="LTX167" s="202"/>
      <c r="LTY167" s="202"/>
      <c r="LTZ167" s="202"/>
      <c r="LUA167" s="203"/>
      <c r="LUB167" s="204"/>
      <c r="LUC167" s="204"/>
      <c r="LUD167" s="204"/>
      <c r="LUE167" s="205"/>
      <c r="LUF167" s="206"/>
      <c r="LUG167" s="207"/>
      <c r="LUH167" s="207"/>
      <c r="LUI167" s="208"/>
      <c r="LUJ167" s="209"/>
      <c r="LUK167" s="207"/>
      <c r="LUL167" s="210"/>
      <c r="LUM167" s="209"/>
      <c r="LUN167" s="204"/>
      <c r="LUO167" s="204"/>
      <c r="LUP167" s="204"/>
      <c r="LUQ167" s="199"/>
      <c r="LUR167" s="167"/>
      <c r="LUS167" s="199"/>
      <c r="LUT167" s="200"/>
      <c r="LUU167" s="201"/>
      <c r="LUV167" s="202"/>
      <c r="LUW167" s="202"/>
      <c r="LUX167" s="202"/>
      <c r="LUY167" s="202"/>
      <c r="LUZ167" s="203"/>
      <c r="LVA167" s="204"/>
      <c r="LVB167" s="204"/>
      <c r="LVC167" s="204"/>
      <c r="LVD167" s="205"/>
      <c r="LVE167" s="206"/>
      <c r="LVF167" s="207"/>
      <c r="LVG167" s="207"/>
      <c r="LVH167" s="208"/>
      <c r="LVI167" s="209"/>
      <c r="LVJ167" s="207"/>
      <c r="LVK167" s="210"/>
      <c r="LVL167" s="209"/>
      <c r="LVM167" s="204"/>
      <c r="LVN167" s="204"/>
      <c r="LVO167" s="204"/>
      <c r="LVP167" s="199"/>
      <c r="LVQ167" s="167"/>
      <c r="LVR167" s="199"/>
      <c r="LVS167" s="200"/>
      <c r="LVT167" s="201"/>
      <c r="LVU167" s="202"/>
      <c r="LVV167" s="202"/>
      <c r="LVW167" s="202"/>
      <c r="LVX167" s="202"/>
      <c r="LVY167" s="203"/>
      <c r="LVZ167" s="204"/>
      <c r="LWA167" s="204"/>
      <c r="LWB167" s="204"/>
      <c r="LWC167" s="205"/>
      <c r="LWD167" s="206"/>
      <c r="LWE167" s="207"/>
      <c r="LWF167" s="207"/>
      <c r="LWG167" s="208"/>
      <c r="LWH167" s="209"/>
      <c r="LWI167" s="207"/>
      <c r="LWJ167" s="210"/>
      <c r="LWK167" s="209"/>
      <c r="LWL167" s="204"/>
      <c r="LWM167" s="204"/>
      <c r="LWN167" s="204"/>
      <c r="LWO167" s="199"/>
      <c r="LWP167" s="167"/>
      <c r="LWQ167" s="199"/>
      <c r="LWR167" s="200"/>
      <c r="LWS167" s="201"/>
      <c r="LWT167" s="202"/>
      <c r="LWU167" s="202"/>
      <c r="LWV167" s="202"/>
      <c r="LWW167" s="202"/>
      <c r="LWX167" s="203"/>
      <c r="LWY167" s="204"/>
      <c r="LWZ167" s="204"/>
      <c r="LXA167" s="204"/>
      <c r="LXB167" s="205"/>
      <c r="LXC167" s="206"/>
      <c r="LXD167" s="207"/>
      <c r="LXE167" s="207"/>
      <c r="LXF167" s="208"/>
      <c r="LXG167" s="209"/>
      <c r="LXH167" s="207"/>
      <c r="LXI167" s="210"/>
      <c r="LXJ167" s="209"/>
      <c r="LXK167" s="204"/>
      <c r="LXL167" s="204"/>
      <c r="LXM167" s="204"/>
      <c r="LXN167" s="199"/>
      <c r="LXO167" s="167"/>
      <c r="LXP167" s="199"/>
      <c r="LXQ167" s="200"/>
      <c r="LXR167" s="201"/>
      <c r="LXS167" s="202"/>
      <c r="LXT167" s="202"/>
      <c r="LXU167" s="202"/>
      <c r="LXV167" s="202"/>
      <c r="LXW167" s="203"/>
      <c r="LXX167" s="204"/>
      <c r="LXY167" s="204"/>
      <c r="LXZ167" s="204"/>
      <c r="LYA167" s="205"/>
      <c r="LYB167" s="206"/>
      <c r="LYC167" s="207"/>
      <c r="LYD167" s="207"/>
      <c r="LYE167" s="208"/>
      <c r="LYF167" s="209"/>
      <c r="LYG167" s="207"/>
      <c r="LYH167" s="210"/>
      <c r="LYI167" s="209"/>
      <c r="LYJ167" s="204"/>
      <c r="LYK167" s="204"/>
      <c r="LYL167" s="204"/>
      <c r="LYM167" s="199"/>
      <c r="LYN167" s="167"/>
      <c r="LYO167" s="199"/>
      <c r="LYP167" s="200"/>
      <c r="LYQ167" s="201"/>
      <c r="LYR167" s="202"/>
      <c r="LYS167" s="202"/>
      <c r="LYT167" s="202"/>
      <c r="LYU167" s="202"/>
      <c r="LYV167" s="203"/>
      <c r="LYW167" s="204"/>
      <c r="LYX167" s="204"/>
      <c r="LYY167" s="204"/>
      <c r="LYZ167" s="205"/>
      <c r="LZA167" s="206"/>
      <c r="LZB167" s="207"/>
      <c r="LZC167" s="207"/>
      <c r="LZD167" s="208"/>
      <c r="LZE167" s="209"/>
      <c r="LZF167" s="207"/>
      <c r="LZG167" s="210"/>
      <c r="LZH167" s="209"/>
      <c r="LZI167" s="204"/>
      <c r="LZJ167" s="204"/>
      <c r="LZK167" s="204"/>
      <c r="LZL167" s="199"/>
      <c r="LZM167" s="167"/>
      <c r="LZN167" s="199"/>
      <c r="LZO167" s="200"/>
      <c r="LZP167" s="201"/>
      <c r="LZQ167" s="202"/>
      <c r="LZR167" s="202"/>
      <c r="LZS167" s="202"/>
      <c r="LZT167" s="202"/>
      <c r="LZU167" s="203"/>
      <c r="LZV167" s="204"/>
      <c r="LZW167" s="204"/>
      <c r="LZX167" s="204"/>
      <c r="LZY167" s="205"/>
      <c r="LZZ167" s="206"/>
      <c r="MAA167" s="207"/>
      <c r="MAB167" s="207"/>
      <c r="MAC167" s="208"/>
      <c r="MAD167" s="209"/>
      <c r="MAE167" s="207"/>
      <c r="MAF167" s="210"/>
      <c r="MAG167" s="209"/>
      <c r="MAH167" s="204"/>
      <c r="MAI167" s="204"/>
      <c r="MAJ167" s="204"/>
      <c r="MAK167" s="199"/>
      <c r="MAL167" s="167"/>
      <c r="MAM167" s="199"/>
      <c r="MAN167" s="200"/>
      <c r="MAO167" s="201"/>
      <c r="MAP167" s="202"/>
      <c r="MAQ167" s="202"/>
      <c r="MAR167" s="202"/>
      <c r="MAS167" s="202"/>
      <c r="MAT167" s="203"/>
      <c r="MAU167" s="204"/>
      <c r="MAV167" s="204"/>
      <c r="MAW167" s="204"/>
      <c r="MAX167" s="205"/>
      <c r="MAY167" s="206"/>
      <c r="MAZ167" s="207"/>
      <c r="MBA167" s="207"/>
      <c r="MBB167" s="208"/>
      <c r="MBC167" s="209"/>
      <c r="MBD167" s="207"/>
      <c r="MBE167" s="210"/>
      <c r="MBF167" s="209"/>
      <c r="MBG167" s="204"/>
      <c r="MBH167" s="204"/>
      <c r="MBI167" s="204"/>
      <c r="MBJ167" s="199"/>
      <c r="MBK167" s="167"/>
      <c r="MBL167" s="199"/>
      <c r="MBM167" s="200"/>
      <c r="MBN167" s="201"/>
      <c r="MBO167" s="202"/>
      <c r="MBP167" s="202"/>
      <c r="MBQ167" s="202"/>
      <c r="MBR167" s="202"/>
      <c r="MBS167" s="203"/>
      <c r="MBT167" s="204"/>
      <c r="MBU167" s="204"/>
      <c r="MBV167" s="204"/>
      <c r="MBW167" s="205"/>
      <c r="MBX167" s="206"/>
      <c r="MBY167" s="207"/>
      <c r="MBZ167" s="207"/>
      <c r="MCA167" s="208"/>
      <c r="MCB167" s="209"/>
      <c r="MCC167" s="207"/>
      <c r="MCD167" s="210"/>
      <c r="MCE167" s="209"/>
      <c r="MCF167" s="204"/>
      <c r="MCG167" s="204"/>
      <c r="MCH167" s="204"/>
      <c r="MCI167" s="199"/>
      <c r="MCJ167" s="167"/>
      <c r="MCK167" s="199"/>
      <c r="MCL167" s="200"/>
      <c r="MCM167" s="201"/>
      <c r="MCN167" s="202"/>
      <c r="MCO167" s="202"/>
      <c r="MCP167" s="202"/>
      <c r="MCQ167" s="202"/>
      <c r="MCR167" s="203"/>
      <c r="MCS167" s="204"/>
      <c r="MCT167" s="204"/>
      <c r="MCU167" s="204"/>
      <c r="MCV167" s="205"/>
      <c r="MCW167" s="206"/>
      <c r="MCX167" s="207"/>
      <c r="MCY167" s="207"/>
      <c r="MCZ167" s="208"/>
      <c r="MDA167" s="209"/>
      <c r="MDB167" s="207"/>
      <c r="MDC167" s="210"/>
      <c r="MDD167" s="209"/>
      <c r="MDE167" s="204"/>
      <c r="MDF167" s="204"/>
      <c r="MDG167" s="204"/>
      <c r="MDH167" s="199"/>
      <c r="MDI167" s="167"/>
      <c r="MDJ167" s="199"/>
      <c r="MDK167" s="200"/>
      <c r="MDL167" s="201"/>
      <c r="MDM167" s="202"/>
      <c r="MDN167" s="202"/>
      <c r="MDO167" s="202"/>
      <c r="MDP167" s="202"/>
      <c r="MDQ167" s="203"/>
      <c r="MDR167" s="204"/>
      <c r="MDS167" s="204"/>
      <c r="MDT167" s="204"/>
      <c r="MDU167" s="205"/>
      <c r="MDV167" s="206"/>
      <c r="MDW167" s="207"/>
      <c r="MDX167" s="207"/>
      <c r="MDY167" s="208"/>
      <c r="MDZ167" s="209"/>
      <c r="MEA167" s="207"/>
      <c r="MEB167" s="210"/>
      <c r="MEC167" s="209"/>
      <c r="MED167" s="204"/>
      <c r="MEE167" s="204"/>
      <c r="MEF167" s="204"/>
      <c r="MEG167" s="199"/>
      <c r="MEH167" s="167"/>
      <c r="MEI167" s="199"/>
      <c r="MEJ167" s="200"/>
      <c r="MEK167" s="201"/>
      <c r="MEL167" s="202"/>
      <c r="MEM167" s="202"/>
      <c r="MEN167" s="202"/>
      <c r="MEO167" s="202"/>
      <c r="MEP167" s="203"/>
      <c r="MEQ167" s="204"/>
      <c r="MER167" s="204"/>
      <c r="MES167" s="204"/>
      <c r="MET167" s="205"/>
      <c r="MEU167" s="206"/>
      <c r="MEV167" s="207"/>
      <c r="MEW167" s="207"/>
      <c r="MEX167" s="208"/>
      <c r="MEY167" s="209"/>
      <c r="MEZ167" s="207"/>
      <c r="MFA167" s="210"/>
      <c r="MFB167" s="209"/>
      <c r="MFC167" s="204"/>
      <c r="MFD167" s="204"/>
      <c r="MFE167" s="204"/>
      <c r="MFF167" s="199"/>
      <c r="MFG167" s="167"/>
      <c r="MFH167" s="199"/>
      <c r="MFI167" s="200"/>
      <c r="MFJ167" s="201"/>
      <c r="MFK167" s="202"/>
      <c r="MFL167" s="202"/>
      <c r="MFM167" s="202"/>
      <c r="MFN167" s="202"/>
      <c r="MFO167" s="203"/>
      <c r="MFP167" s="204"/>
      <c r="MFQ167" s="204"/>
      <c r="MFR167" s="204"/>
      <c r="MFS167" s="205"/>
      <c r="MFT167" s="206"/>
      <c r="MFU167" s="207"/>
      <c r="MFV167" s="207"/>
      <c r="MFW167" s="208"/>
      <c r="MFX167" s="209"/>
      <c r="MFY167" s="207"/>
      <c r="MFZ167" s="210"/>
      <c r="MGA167" s="209"/>
      <c r="MGB167" s="204"/>
      <c r="MGC167" s="204"/>
      <c r="MGD167" s="204"/>
      <c r="MGE167" s="199"/>
      <c r="MGF167" s="167"/>
      <c r="MGG167" s="199"/>
      <c r="MGH167" s="200"/>
      <c r="MGI167" s="201"/>
      <c r="MGJ167" s="202"/>
      <c r="MGK167" s="202"/>
      <c r="MGL167" s="202"/>
      <c r="MGM167" s="202"/>
      <c r="MGN167" s="203"/>
      <c r="MGO167" s="204"/>
      <c r="MGP167" s="204"/>
      <c r="MGQ167" s="204"/>
      <c r="MGR167" s="205"/>
      <c r="MGS167" s="206"/>
      <c r="MGT167" s="207"/>
      <c r="MGU167" s="207"/>
      <c r="MGV167" s="208"/>
      <c r="MGW167" s="209"/>
      <c r="MGX167" s="207"/>
      <c r="MGY167" s="210"/>
      <c r="MGZ167" s="209"/>
      <c r="MHA167" s="204"/>
      <c r="MHB167" s="204"/>
      <c r="MHC167" s="204"/>
      <c r="MHD167" s="199"/>
      <c r="MHE167" s="167"/>
      <c r="MHF167" s="199"/>
      <c r="MHG167" s="200"/>
      <c r="MHH167" s="201"/>
      <c r="MHI167" s="202"/>
      <c r="MHJ167" s="202"/>
      <c r="MHK167" s="202"/>
      <c r="MHL167" s="202"/>
      <c r="MHM167" s="203"/>
      <c r="MHN167" s="204"/>
      <c r="MHO167" s="204"/>
      <c r="MHP167" s="204"/>
      <c r="MHQ167" s="205"/>
      <c r="MHR167" s="206"/>
      <c r="MHS167" s="207"/>
      <c r="MHT167" s="207"/>
      <c r="MHU167" s="208"/>
      <c r="MHV167" s="209"/>
      <c r="MHW167" s="207"/>
      <c r="MHX167" s="210"/>
      <c r="MHY167" s="209"/>
      <c r="MHZ167" s="204"/>
      <c r="MIA167" s="204"/>
      <c r="MIB167" s="204"/>
      <c r="MIC167" s="199"/>
      <c r="MID167" s="167"/>
      <c r="MIE167" s="199"/>
      <c r="MIF167" s="200"/>
      <c r="MIG167" s="201"/>
      <c r="MIH167" s="202"/>
      <c r="MII167" s="202"/>
      <c r="MIJ167" s="202"/>
      <c r="MIK167" s="202"/>
      <c r="MIL167" s="203"/>
      <c r="MIM167" s="204"/>
      <c r="MIN167" s="204"/>
      <c r="MIO167" s="204"/>
      <c r="MIP167" s="205"/>
      <c r="MIQ167" s="206"/>
      <c r="MIR167" s="207"/>
      <c r="MIS167" s="207"/>
      <c r="MIT167" s="208"/>
      <c r="MIU167" s="209"/>
      <c r="MIV167" s="207"/>
      <c r="MIW167" s="210"/>
      <c r="MIX167" s="209"/>
      <c r="MIY167" s="204"/>
      <c r="MIZ167" s="204"/>
      <c r="MJA167" s="204"/>
      <c r="MJB167" s="199"/>
      <c r="MJC167" s="167"/>
      <c r="MJD167" s="199"/>
      <c r="MJE167" s="200"/>
      <c r="MJF167" s="201"/>
      <c r="MJG167" s="202"/>
      <c r="MJH167" s="202"/>
      <c r="MJI167" s="202"/>
      <c r="MJJ167" s="202"/>
      <c r="MJK167" s="203"/>
      <c r="MJL167" s="204"/>
      <c r="MJM167" s="204"/>
      <c r="MJN167" s="204"/>
      <c r="MJO167" s="205"/>
      <c r="MJP167" s="206"/>
      <c r="MJQ167" s="207"/>
      <c r="MJR167" s="207"/>
      <c r="MJS167" s="208"/>
      <c r="MJT167" s="209"/>
      <c r="MJU167" s="207"/>
      <c r="MJV167" s="210"/>
      <c r="MJW167" s="209"/>
      <c r="MJX167" s="204"/>
      <c r="MJY167" s="204"/>
      <c r="MJZ167" s="204"/>
      <c r="MKA167" s="199"/>
      <c r="MKB167" s="167"/>
      <c r="MKC167" s="199"/>
      <c r="MKD167" s="200"/>
      <c r="MKE167" s="201"/>
      <c r="MKF167" s="202"/>
      <c r="MKG167" s="202"/>
      <c r="MKH167" s="202"/>
      <c r="MKI167" s="202"/>
      <c r="MKJ167" s="203"/>
      <c r="MKK167" s="204"/>
      <c r="MKL167" s="204"/>
      <c r="MKM167" s="204"/>
      <c r="MKN167" s="205"/>
      <c r="MKO167" s="206"/>
      <c r="MKP167" s="207"/>
      <c r="MKQ167" s="207"/>
      <c r="MKR167" s="208"/>
      <c r="MKS167" s="209"/>
      <c r="MKT167" s="207"/>
      <c r="MKU167" s="210"/>
      <c r="MKV167" s="209"/>
      <c r="MKW167" s="204"/>
      <c r="MKX167" s="204"/>
      <c r="MKY167" s="204"/>
      <c r="MKZ167" s="199"/>
      <c r="MLA167" s="167"/>
      <c r="MLB167" s="199"/>
      <c r="MLC167" s="200"/>
      <c r="MLD167" s="201"/>
      <c r="MLE167" s="202"/>
      <c r="MLF167" s="202"/>
      <c r="MLG167" s="202"/>
      <c r="MLH167" s="202"/>
      <c r="MLI167" s="203"/>
      <c r="MLJ167" s="204"/>
      <c r="MLK167" s="204"/>
      <c r="MLL167" s="204"/>
      <c r="MLM167" s="205"/>
      <c r="MLN167" s="206"/>
      <c r="MLO167" s="207"/>
      <c r="MLP167" s="207"/>
      <c r="MLQ167" s="208"/>
      <c r="MLR167" s="209"/>
      <c r="MLS167" s="207"/>
      <c r="MLT167" s="210"/>
      <c r="MLU167" s="209"/>
      <c r="MLV167" s="204"/>
      <c r="MLW167" s="204"/>
      <c r="MLX167" s="204"/>
      <c r="MLY167" s="199"/>
      <c r="MLZ167" s="167"/>
      <c r="MMA167" s="199"/>
      <c r="MMB167" s="200"/>
      <c r="MMC167" s="201"/>
      <c r="MMD167" s="202"/>
      <c r="MME167" s="202"/>
      <c r="MMF167" s="202"/>
      <c r="MMG167" s="202"/>
      <c r="MMH167" s="203"/>
      <c r="MMI167" s="204"/>
      <c r="MMJ167" s="204"/>
      <c r="MMK167" s="204"/>
      <c r="MML167" s="205"/>
      <c r="MMM167" s="206"/>
      <c r="MMN167" s="207"/>
      <c r="MMO167" s="207"/>
      <c r="MMP167" s="208"/>
      <c r="MMQ167" s="209"/>
      <c r="MMR167" s="207"/>
      <c r="MMS167" s="210"/>
      <c r="MMT167" s="209"/>
      <c r="MMU167" s="204"/>
      <c r="MMV167" s="204"/>
      <c r="MMW167" s="204"/>
      <c r="MMX167" s="199"/>
      <c r="MMY167" s="167"/>
      <c r="MMZ167" s="199"/>
      <c r="MNA167" s="200"/>
      <c r="MNB167" s="201"/>
      <c r="MNC167" s="202"/>
      <c r="MND167" s="202"/>
      <c r="MNE167" s="202"/>
      <c r="MNF167" s="202"/>
      <c r="MNG167" s="203"/>
      <c r="MNH167" s="204"/>
      <c r="MNI167" s="204"/>
      <c r="MNJ167" s="204"/>
      <c r="MNK167" s="205"/>
      <c r="MNL167" s="206"/>
      <c r="MNM167" s="207"/>
      <c r="MNN167" s="207"/>
      <c r="MNO167" s="208"/>
      <c r="MNP167" s="209"/>
      <c r="MNQ167" s="207"/>
      <c r="MNR167" s="210"/>
      <c r="MNS167" s="209"/>
      <c r="MNT167" s="204"/>
      <c r="MNU167" s="204"/>
      <c r="MNV167" s="204"/>
      <c r="MNW167" s="199"/>
      <c r="MNX167" s="167"/>
      <c r="MNY167" s="199"/>
      <c r="MNZ167" s="200"/>
      <c r="MOA167" s="201"/>
      <c r="MOB167" s="202"/>
      <c r="MOC167" s="202"/>
      <c r="MOD167" s="202"/>
      <c r="MOE167" s="202"/>
      <c r="MOF167" s="203"/>
      <c r="MOG167" s="204"/>
      <c r="MOH167" s="204"/>
      <c r="MOI167" s="204"/>
      <c r="MOJ167" s="205"/>
      <c r="MOK167" s="206"/>
      <c r="MOL167" s="207"/>
      <c r="MOM167" s="207"/>
      <c r="MON167" s="208"/>
      <c r="MOO167" s="209"/>
      <c r="MOP167" s="207"/>
      <c r="MOQ167" s="210"/>
      <c r="MOR167" s="209"/>
      <c r="MOS167" s="204"/>
      <c r="MOT167" s="204"/>
      <c r="MOU167" s="204"/>
      <c r="MOV167" s="199"/>
      <c r="MOW167" s="167"/>
      <c r="MOX167" s="199"/>
      <c r="MOY167" s="200"/>
      <c r="MOZ167" s="201"/>
      <c r="MPA167" s="202"/>
      <c r="MPB167" s="202"/>
      <c r="MPC167" s="202"/>
      <c r="MPD167" s="202"/>
      <c r="MPE167" s="203"/>
      <c r="MPF167" s="204"/>
      <c r="MPG167" s="204"/>
      <c r="MPH167" s="204"/>
      <c r="MPI167" s="205"/>
      <c r="MPJ167" s="206"/>
      <c r="MPK167" s="207"/>
      <c r="MPL167" s="207"/>
      <c r="MPM167" s="208"/>
      <c r="MPN167" s="209"/>
      <c r="MPO167" s="207"/>
      <c r="MPP167" s="210"/>
      <c r="MPQ167" s="209"/>
      <c r="MPR167" s="204"/>
      <c r="MPS167" s="204"/>
      <c r="MPT167" s="204"/>
      <c r="MPU167" s="199"/>
      <c r="MPV167" s="167"/>
      <c r="MPW167" s="199"/>
      <c r="MPX167" s="200"/>
      <c r="MPY167" s="201"/>
      <c r="MPZ167" s="202"/>
      <c r="MQA167" s="202"/>
      <c r="MQB167" s="202"/>
      <c r="MQC167" s="202"/>
      <c r="MQD167" s="203"/>
      <c r="MQE167" s="204"/>
      <c r="MQF167" s="204"/>
      <c r="MQG167" s="204"/>
      <c r="MQH167" s="205"/>
      <c r="MQI167" s="206"/>
      <c r="MQJ167" s="207"/>
      <c r="MQK167" s="207"/>
      <c r="MQL167" s="208"/>
      <c r="MQM167" s="209"/>
      <c r="MQN167" s="207"/>
      <c r="MQO167" s="210"/>
      <c r="MQP167" s="209"/>
      <c r="MQQ167" s="204"/>
      <c r="MQR167" s="204"/>
      <c r="MQS167" s="204"/>
      <c r="MQT167" s="199"/>
      <c r="MQU167" s="167"/>
      <c r="MQV167" s="199"/>
      <c r="MQW167" s="200"/>
      <c r="MQX167" s="201"/>
      <c r="MQY167" s="202"/>
      <c r="MQZ167" s="202"/>
      <c r="MRA167" s="202"/>
      <c r="MRB167" s="202"/>
      <c r="MRC167" s="203"/>
      <c r="MRD167" s="204"/>
      <c r="MRE167" s="204"/>
      <c r="MRF167" s="204"/>
      <c r="MRG167" s="205"/>
      <c r="MRH167" s="206"/>
      <c r="MRI167" s="207"/>
      <c r="MRJ167" s="207"/>
      <c r="MRK167" s="208"/>
      <c r="MRL167" s="209"/>
      <c r="MRM167" s="207"/>
      <c r="MRN167" s="210"/>
      <c r="MRO167" s="209"/>
      <c r="MRP167" s="204"/>
      <c r="MRQ167" s="204"/>
      <c r="MRR167" s="204"/>
      <c r="MRS167" s="199"/>
      <c r="MRT167" s="167"/>
      <c r="MRU167" s="199"/>
      <c r="MRV167" s="200"/>
      <c r="MRW167" s="201"/>
      <c r="MRX167" s="202"/>
      <c r="MRY167" s="202"/>
      <c r="MRZ167" s="202"/>
      <c r="MSA167" s="202"/>
      <c r="MSB167" s="203"/>
      <c r="MSC167" s="204"/>
      <c r="MSD167" s="204"/>
      <c r="MSE167" s="204"/>
      <c r="MSF167" s="205"/>
      <c r="MSG167" s="206"/>
      <c r="MSH167" s="207"/>
      <c r="MSI167" s="207"/>
      <c r="MSJ167" s="208"/>
      <c r="MSK167" s="209"/>
      <c r="MSL167" s="207"/>
      <c r="MSM167" s="210"/>
      <c r="MSN167" s="209"/>
      <c r="MSO167" s="204"/>
      <c r="MSP167" s="204"/>
      <c r="MSQ167" s="204"/>
      <c r="MSR167" s="199"/>
      <c r="MSS167" s="167"/>
      <c r="MST167" s="199"/>
      <c r="MSU167" s="200"/>
      <c r="MSV167" s="201"/>
      <c r="MSW167" s="202"/>
      <c r="MSX167" s="202"/>
      <c r="MSY167" s="202"/>
      <c r="MSZ167" s="202"/>
      <c r="MTA167" s="203"/>
      <c r="MTB167" s="204"/>
      <c r="MTC167" s="204"/>
      <c r="MTD167" s="204"/>
      <c r="MTE167" s="205"/>
      <c r="MTF167" s="206"/>
      <c r="MTG167" s="207"/>
      <c r="MTH167" s="207"/>
      <c r="MTI167" s="208"/>
      <c r="MTJ167" s="209"/>
      <c r="MTK167" s="207"/>
      <c r="MTL167" s="210"/>
      <c r="MTM167" s="209"/>
      <c r="MTN167" s="204"/>
      <c r="MTO167" s="204"/>
      <c r="MTP167" s="204"/>
      <c r="MTQ167" s="199"/>
      <c r="MTR167" s="167"/>
      <c r="MTS167" s="199"/>
      <c r="MTT167" s="200"/>
      <c r="MTU167" s="201"/>
      <c r="MTV167" s="202"/>
      <c r="MTW167" s="202"/>
      <c r="MTX167" s="202"/>
      <c r="MTY167" s="202"/>
      <c r="MTZ167" s="203"/>
      <c r="MUA167" s="204"/>
      <c r="MUB167" s="204"/>
      <c r="MUC167" s="204"/>
      <c r="MUD167" s="205"/>
      <c r="MUE167" s="206"/>
      <c r="MUF167" s="207"/>
      <c r="MUG167" s="207"/>
      <c r="MUH167" s="208"/>
      <c r="MUI167" s="209"/>
      <c r="MUJ167" s="207"/>
      <c r="MUK167" s="210"/>
      <c r="MUL167" s="209"/>
      <c r="MUM167" s="204"/>
      <c r="MUN167" s="204"/>
      <c r="MUO167" s="204"/>
      <c r="MUP167" s="199"/>
      <c r="MUQ167" s="167"/>
      <c r="MUR167" s="199"/>
      <c r="MUS167" s="200"/>
      <c r="MUT167" s="201"/>
      <c r="MUU167" s="202"/>
      <c r="MUV167" s="202"/>
      <c r="MUW167" s="202"/>
      <c r="MUX167" s="202"/>
      <c r="MUY167" s="203"/>
      <c r="MUZ167" s="204"/>
      <c r="MVA167" s="204"/>
      <c r="MVB167" s="204"/>
      <c r="MVC167" s="205"/>
      <c r="MVD167" s="206"/>
      <c r="MVE167" s="207"/>
      <c r="MVF167" s="207"/>
      <c r="MVG167" s="208"/>
      <c r="MVH167" s="209"/>
      <c r="MVI167" s="207"/>
      <c r="MVJ167" s="210"/>
      <c r="MVK167" s="209"/>
      <c r="MVL167" s="204"/>
      <c r="MVM167" s="204"/>
      <c r="MVN167" s="204"/>
      <c r="MVO167" s="199"/>
      <c r="MVP167" s="167"/>
      <c r="MVQ167" s="199"/>
      <c r="MVR167" s="200"/>
      <c r="MVS167" s="201"/>
      <c r="MVT167" s="202"/>
      <c r="MVU167" s="202"/>
      <c r="MVV167" s="202"/>
      <c r="MVW167" s="202"/>
      <c r="MVX167" s="203"/>
      <c r="MVY167" s="204"/>
      <c r="MVZ167" s="204"/>
      <c r="MWA167" s="204"/>
      <c r="MWB167" s="205"/>
      <c r="MWC167" s="206"/>
      <c r="MWD167" s="207"/>
      <c r="MWE167" s="207"/>
      <c r="MWF167" s="208"/>
      <c r="MWG167" s="209"/>
      <c r="MWH167" s="207"/>
      <c r="MWI167" s="210"/>
      <c r="MWJ167" s="209"/>
      <c r="MWK167" s="204"/>
      <c r="MWL167" s="204"/>
      <c r="MWM167" s="204"/>
      <c r="MWN167" s="199"/>
      <c r="MWO167" s="167"/>
      <c r="MWP167" s="199"/>
      <c r="MWQ167" s="200"/>
      <c r="MWR167" s="201"/>
      <c r="MWS167" s="202"/>
      <c r="MWT167" s="202"/>
      <c r="MWU167" s="202"/>
      <c r="MWV167" s="202"/>
      <c r="MWW167" s="203"/>
      <c r="MWX167" s="204"/>
      <c r="MWY167" s="204"/>
      <c r="MWZ167" s="204"/>
      <c r="MXA167" s="205"/>
      <c r="MXB167" s="206"/>
      <c r="MXC167" s="207"/>
      <c r="MXD167" s="207"/>
      <c r="MXE167" s="208"/>
      <c r="MXF167" s="209"/>
      <c r="MXG167" s="207"/>
      <c r="MXH167" s="210"/>
      <c r="MXI167" s="209"/>
      <c r="MXJ167" s="204"/>
      <c r="MXK167" s="204"/>
      <c r="MXL167" s="204"/>
      <c r="MXM167" s="199"/>
      <c r="MXN167" s="167"/>
      <c r="MXO167" s="199"/>
      <c r="MXP167" s="200"/>
      <c r="MXQ167" s="201"/>
      <c r="MXR167" s="202"/>
      <c r="MXS167" s="202"/>
      <c r="MXT167" s="202"/>
      <c r="MXU167" s="202"/>
      <c r="MXV167" s="203"/>
      <c r="MXW167" s="204"/>
      <c r="MXX167" s="204"/>
      <c r="MXY167" s="204"/>
      <c r="MXZ167" s="205"/>
      <c r="MYA167" s="206"/>
      <c r="MYB167" s="207"/>
      <c r="MYC167" s="207"/>
      <c r="MYD167" s="208"/>
      <c r="MYE167" s="209"/>
      <c r="MYF167" s="207"/>
      <c r="MYG167" s="210"/>
      <c r="MYH167" s="209"/>
      <c r="MYI167" s="204"/>
      <c r="MYJ167" s="204"/>
      <c r="MYK167" s="204"/>
      <c r="MYL167" s="199"/>
      <c r="MYM167" s="167"/>
      <c r="MYN167" s="199"/>
      <c r="MYO167" s="200"/>
      <c r="MYP167" s="201"/>
      <c r="MYQ167" s="202"/>
      <c r="MYR167" s="202"/>
      <c r="MYS167" s="202"/>
      <c r="MYT167" s="202"/>
      <c r="MYU167" s="203"/>
      <c r="MYV167" s="204"/>
      <c r="MYW167" s="204"/>
      <c r="MYX167" s="204"/>
      <c r="MYY167" s="205"/>
      <c r="MYZ167" s="206"/>
      <c r="MZA167" s="207"/>
      <c r="MZB167" s="207"/>
      <c r="MZC167" s="208"/>
      <c r="MZD167" s="209"/>
      <c r="MZE167" s="207"/>
      <c r="MZF167" s="210"/>
      <c r="MZG167" s="209"/>
      <c r="MZH167" s="204"/>
      <c r="MZI167" s="204"/>
      <c r="MZJ167" s="204"/>
      <c r="MZK167" s="199"/>
      <c r="MZL167" s="167"/>
      <c r="MZM167" s="199"/>
      <c r="MZN167" s="200"/>
      <c r="MZO167" s="201"/>
      <c r="MZP167" s="202"/>
      <c r="MZQ167" s="202"/>
      <c r="MZR167" s="202"/>
      <c r="MZS167" s="202"/>
      <c r="MZT167" s="203"/>
      <c r="MZU167" s="204"/>
      <c r="MZV167" s="204"/>
      <c r="MZW167" s="204"/>
      <c r="MZX167" s="205"/>
      <c r="MZY167" s="206"/>
      <c r="MZZ167" s="207"/>
      <c r="NAA167" s="207"/>
      <c r="NAB167" s="208"/>
      <c r="NAC167" s="209"/>
      <c r="NAD167" s="207"/>
      <c r="NAE167" s="210"/>
      <c r="NAF167" s="209"/>
      <c r="NAG167" s="204"/>
      <c r="NAH167" s="204"/>
      <c r="NAI167" s="204"/>
      <c r="NAJ167" s="199"/>
      <c r="NAK167" s="167"/>
      <c r="NAL167" s="199"/>
      <c r="NAM167" s="200"/>
      <c r="NAN167" s="201"/>
      <c r="NAO167" s="202"/>
      <c r="NAP167" s="202"/>
      <c r="NAQ167" s="202"/>
      <c r="NAR167" s="202"/>
      <c r="NAS167" s="203"/>
      <c r="NAT167" s="204"/>
      <c r="NAU167" s="204"/>
      <c r="NAV167" s="204"/>
      <c r="NAW167" s="205"/>
      <c r="NAX167" s="206"/>
      <c r="NAY167" s="207"/>
      <c r="NAZ167" s="207"/>
      <c r="NBA167" s="208"/>
      <c r="NBB167" s="209"/>
      <c r="NBC167" s="207"/>
      <c r="NBD167" s="210"/>
      <c r="NBE167" s="209"/>
      <c r="NBF167" s="204"/>
      <c r="NBG167" s="204"/>
      <c r="NBH167" s="204"/>
      <c r="NBI167" s="199"/>
      <c r="NBJ167" s="167"/>
      <c r="NBK167" s="199"/>
      <c r="NBL167" s="200"/>
      <c r="NBM167" s="201"/>
      <c r="NBN167" s="202"/>
      <c r="NBO167" s="202"/>
      <c r="NBP167" s="202"/>
      <c r="NBQ167" s="202"/>
      <c r="NBR167" s="203"/>
      <c r="NBS167" s="204"/>
      <c r="NBT167" s="204"/>
      <c r="NBU167" s="204"/>
      <c r="NBV167" s="205"/>
      <c r="NBW167" s="206"/>
      <c r="NBX167" s="207"/>
      <c r="NBY167" s="207"/>
      <c r="NBZ167" s="208"/>
      <c r="NCA167" s="209"/>
      <c r="NCB167" s="207"/>
      <c r="NCC167" s="210"/>
      <c r="NCD167" s="209"/>
      <c r="NCE167" s="204"/>
      <c r="NCF167" s="204"/>
      <c r="NCG167" s="204"/>
      <c r="NCH167" s="199"/>
      <c r="NCI167" s="167"/>
      <c r="NCJ167" s="199"/>
      <c r="NCK167" s="200"/>
      <c r="NCL167" s="201"/>
      <c r="NCM167" s="202"/>
      <c r="NCN167" s="202"/>
      <c r="NCO167" s="202"/>
      <c r="NCP167" s="202"/>
      <c r="NCQ167" s="203"/>
      <c r="NCR167" s="204"/>
      <c r="NCS167" s="204"/>
      <c r="NCT167" s="204"/>
      <c r="NCU167" s="205"/>
      <c r="NCV167" s="206"/>
      <c r="NCW167" s="207"/>
      <c r="NCX167" s="207"/>
      <c r="NCY167" s="208"/>
      <c r="NCZ167" s="209"/>
      <c r="NDA167" s="207"/>
      <c r="NDB167" s="210"/>
      <c r="NDC167" s="209"/>
      <c r="NDD167" s="204"/>
      <c r="NDE167" s="204"/>
      <c r="NDF167" s="204"/>
      <c r="NDG167" s="199"/>
      <c r="NDH167" s="167"/>
      <c r="NDI167" s="199"/>
      <c r="NDJ167" s="200"/>
      <c r="NDK167" s="201"/>
      <c r="NDL167" s="202"/>
      <c r="NDM167" s="202"/>
      <c r="NDN167" s="202"/>
      <c r="NDO167" s="202"/>
      <c r="NDP167" s="203"/>
      <c r="NDQ167" s="204"/>
      <c r="NDR167" s="204"/>
      <c r="NDS167" s="204"/>
      <c r="NDT167" s="205"/>
      <c r="NDU167" s="206"/>
      <c r="NDV167" s="207"/>
      <c r="NDW167" s="207"/>
      <c r="NDX167" s="208"/>
      <c r="NDY167" s="209"/>
      <c r="NDZ167" s="207"/>
      <c r="NEA167" s="210"/>
      <c r="NEB167" s="209"/>
      <c r="NEC167" s="204"/>
      <c r="NED167" s="204"/>
      <c r="NEE167" s="204"/>
      <c r="NEF167" s="199"/>
      <c r="NEG167" s="167"/>
      <c r="NEH167" s="199"/>
      <c r="NEI167" s="200"/>
      <c r="NEJ167" s="201"/>
      <c r="NEK167" s="202"/>
      <c r="NEL167" s="202"/>
      <c r="NEM167" s="202"/>
      <c r="NEN167" s="202"/>
      <c r="NEO167" s="203"/>
      <c r="NEP167" s="204"/>
      <c r="NEQ167" s="204"/>
      <c r="NER167" s="204"/>
      <c r="NES167" s="205"/>
      <c r="NET167" s="206"/>
      <c r="NEU167" s="207"/>
      <c r="NEV167" s="207"/>
      <c r="NEW167" s="208"/>
      <c r="NEX167" s="209"/>
      <c r="NEY167" s="207"/>
      <c r="NEZ167" s="210"/>
      <c r="NFA167" s="209"/>
      <c r="NFB167" s="204"/>
      <c r="NFC167" s="204"/>
      <c r="NFD167" s="204"/>
      <c r="NFE167" s="199"/>
      <c r="NFF167" s="167"/>
      <c r="NFG167" s="199"/>
      <c r="NFH167" s="200"/>
      <c r="NFI167" s="201"/>
      <c r="NFJ167" s="202"/>
      <c r="NFK167" s="202"/>
      <c r="NFL167" s="202"/>
      <c r="NFM167" s="202"/>
      <c r="NFN167" s="203"/>
      <c r="NFO167" s="204"/>
      <c r="NFP167" s="204"/>
      <c r="NFQ167" s="204"/>
      <c r="NFR167" s="205"/>
      <c r="NFS167" s="206"/>
      <c r="NFT167" s="207"/>
      <c r="NFU167" s="207"/>
      <c r="NFV167" s="208"/>
      <c r="NFW167" s="209"/>
      <c r="NFX167" s="207"/>
      <c r="NFY167" s="210"/>
      <c r="NFZ167" s="209"/>
      <c r="NGA167" s="204"/>
      <c r="NGB167" s="204"/>
      <c r="NGC167" s="204"/>
      <c r="NGD167" s="199"/>
      <c r="NGE167" s="167"/>
      <c r="NGF167" s="199"/>
      <c r="NGG167" s="200"/>
      <c r="NGH167" s="201"/>
      <c r="NGI167" s="202"/>
      <c r="NGJ167" s="202"/>
      <c r="NGK167" s="202"/>
      <c r="NGL167" s="202"/>
      <c r="NGM167" s="203"/>
      <c r="NGN167" s="204"/>
      <c r="NGO167" s="204"/>
      <c r="NGP167" s="204"/>
      <c r="NGQ167" s="205"/>
      <c r="NGR167" s="206"/>
      <c r="NGS167" s="207"/>
      <c r="NGT167" s="207"/>
      <c r="NGU167" s="208"/>
      <c r="NGV167" s="209"/>
      <c r="NGW167" s="207"/>
      <c r="NGX167" s="210"/>
      <c r="NGY167" s="209"/>
      <c r="NGZ167" s="204"/>
      <c r="NHA167" s="204"/>
      <c r="NHB167" s="204"/>
      <c r="NHC167" s="199"/>
      <c r="NHD167" s="167"/>
      <c r="NHE167" s="199"/>
      <c r="NHF167" s="200"/>
      <c r="NHG167" s="201"/>
      <c r="NHH167" s="202"/>
      <c r="NHI167" s="202"/>
      <c r="NHJ167" s="202"/>
      <c r="NHK167" s="202"/>
      <c r="NHL167" s="203"/>
      <c r="NHM167" s="204"/>
      <c r="NHN167" s="204"/>
      <c r="NHO167" s="204"/>
      <c r="NHP167" s="205"/>
      <c r="NHQ167" s="206"/>
      <c r="NHR167" s="207"/>
      <c r="NHS167" s="207"/>
      <c r="NHT167" s="208"/>
      <c r="NHU167" s="209"/>
      <c r="NHV167" s="207"/>
      <c r="NHW167" s="210"/>
      <c r="NHX167" s="209"/>
      <c r="NHY167" s="204"/>
      <c r="NHZ167" s="204"/>
      <c r="NIA167" s="204"/>
      <c r="NIB167" s="199"/>
      <c r="NIC167" s="167"/>
      <c r="NID167" s="199"/>
      <c r="NIE167" s="200"/>
      <c r="NIF167" s="201"/>
      <c r="NIG167" s="202"/>
      <c r="NIH167" s="202"/>
      <c r="NII167" s="202"/>
      <c r="NIJ167" s="202"/>
      <c r="NIK167" s="203"/>
      <c r="NIL167" s="204"/>
      <c r="NIM167" s="204"/>
      <c r="NIN167" s="204"/>
      <c r="NIO167" s="205"/>
      <c r="NIP167" s="206"/>
      <c r="NIQ167" s="207"/>
      <c r="NIR167" s="207"/>
      <c r="NIS167" s="208"/>
      <c r="NIT167" s="209"/>
      <c r="NIU167" s="207"/>
      <c r="NIV167" s="210"/>
      <c r="NIW167" s="209"/>
      <c r="NIX167" s="204"/>
      <c r="NIY167" s="204"/>
      <c r="NIZ167" s="204"/>
      <c r="NJA167" s="199"/>
      <c r="NJB167" s="167"/>
      <c r="NJC167" s="199"/>
      <c r="NJD167" s="200"/>
      <c r="NJE167" s="201"/>
      <c r="NJF167" s="202"/>
      <c r="NJG167" s="202"/>
      <c r="NJH167" s="202"/>
      <c r="NJI167" s="202"/>
      <c r="NJJ167" s="203"/>
      <c r="NJK167" s="204"/>
      <c r="NJL167" s="204"/>
      <c r="NJM167" s="204"/>
      <c r="NJN167" s="205"/>
      <c r="NJO167" s="206"/>
      <c r="NJP167" s="207"/>
      <c r="NJQ167" s="207"/>
      <c r="NJR167" s="208"/>
      <c r="NJS167" s="209"/>
      <c r="NJT167" s="207"/>
      <c r="NJU167" s="210"/>
      <c r="NJV167" s="209"/>
      <c r="NJW167" s="204"/>
      <c r="NJX167" s="204"/>
      <c r="NJY167" s="204"/>
      <c r="NJZ167" s="199"/>
      <c r="NKA167" s="167"/>
      <c r="NKB167" s="199"/>
      <c r="NKC167" s="200"/>
      <c r="NKD167" s="201"/>
      <c r="NKE167" s="202"/>
      <c r="NKF167" s="202"/>
      <c r="NKG167" s="202"/>
      <c r="NKH167" s="202"/>
      <c r="NKI167" s="203"/>
      <c r="NKJ167" s="204"/>
      <c r="NKK167" s="204"/>
      <c r="NKL167" s="204"/>
      <c r="NKM167" s="205"/>
      <c r="NKN167" s="206"/>
      <c r="NKO167" s="207"/>
      <c r="NKP167" s="207"/>
      <c r="NKQ167" s="208"/>
      <c r="NKR167" s="209"/>
      <c r="NKS167" s="207"/>
      <c r="NKT167" s="210"/>
      <c r="NKU167" s="209"/>
      <c r="NKV167" s="204"/>
      <c r="NKW167" s="204"/>
      <c r="NKX167" s="204"/>
      <c r="NKY167" s="199"/>
      <c r="NKZ167" s="167"/>
      <c r="NLA167" s="199"/>
      <c r="NLB167" s="200"/>
      <c r="NLC167" s="201"/>
      <c r="NLD167" s="202"/>
      <c r="NLE167" s="202"/>
      <c r="NLF167" s="202"/>
      <c r="NLG167" s="202"/>
      <c r="NLH167" s="203"/>
      <c r="NLI167" s="204"/>
      <c r="NLJ167" s="204"/>
      <c r="NLK167" s="204"/>
      <c r="NLL167" s="205"/>
      <c r="NLM167" s="206"/>
      <c r="NLN167" s="207"/>
      <c r="NLO167" s="207"/>
      <c r="NLP167" s="208"/>
      <c r="NLQ167" s="209"/>
      <c r="NLR167" s="207"/>
      <c r="NLS167" s="210"/>
      <c r="NLT167" s="209"/>
      <c r="NLU167" s="204"/>
      <c r="NLV167" s="204"/>
      <c r="NLW167" s="204"/>
      <c r="NLX167" s="199"/>
      <c r="NLY167" s="167"/>
      <c r="NLZ167" s="199"/>
      <c r="NMA167" s="200"/>
      <c r="NMB167" s="201"/>
      <c r="NMC167" s="202"/>
      <c r="NMD167" s="202"/>
      <c r="NME167" s="202"/>
      <c r="NMF167" s="202"/>
      <c r="NMG167" s="203"/>
      <c r="NMH167" s="204"/>
      <c r="NMI167" s="204"/>
      <c r="NMJ167" s="204"/>
      <c r="NMK167" s="205"/>
      <c r="NML167" s="206"/>
      <c r="NMM167" s="207"/>
      <c r="NMN167" s="207"/>
      <c r="NMO167" s="208"/>
      <c r="NMP167" s="209"/>
      <c r="NMQ167" s="207"/>
      <c r="NMR167" s="210"/>
      <c r="NMS167" s="209"/>
      <c r="NMT167" s="204"/>
      <c r="NMU167" s="204"/>
      <c r="NMV167" s="204"/>
      <c r="NMW167" s="199"/>
      <c r="NMX167" s="167"/>
      <c r="NMY167" s="199"/>
      <c r="NMZ167" s="200"/>
      <c r="NNA167" s="201"/>
      <c r="NNB167" s="202"/>
      <c r="NNC167" s="202"/>
      <c r="NND167" s="202"/>
      <c r="NNE167" s="202"/>
      <c r="NNF167" s="203"/>
      <c r="NNG167" s="204"/>
      <c r="NNH167" s="204"/>
      <c r="NNI167" s="204"/>
      <c r="NNJ167" s="205"/>
      <c r="NNK167" s="206"/>
      <c r="NNL167" s="207"/>
      <c r="NNM167" s="207"/>
      <c r="NNN167" s="208"/>
      <c r="NNO167" s="209"/>
      <c r="NNP167" s="207"/>
      <c r="NNQ167" s="210"/>
      <c r="NNR167" s="209"/>
      <c r="NNS167" s="204"/>
      <c r="NNT167" s="204"/>
      <c r="NNU167" s="204"/>
      <c r="NNV167" s="199"/>
      <c r="NNW167" s="167"/>
      <c r="NNX167" s="199"/>
      <c r="NNY167" s="200"/>
      <c r="NNZ167" s="201"/>
      <c r="NOA167" s="202"/>
      <c r="NOB167" s="202"/>
      <c r="NOC167" s="202"/>
      <c r="NOD167" s="202"/>
      <c r="NOE167" s="203"/>
      <c r="NOF167" s="204"/>
      <c r="NOG167" s="204"/>
      <c r="NOH167" s="204"/>
      <c r="NOI167" s="205"/>
      <c r="NOJ167" s="206"/>
      <c r="NOK167" s="207"/>
      <c r="NOL167" s="207"/>
      <c r="NOM167" s="208"/>
      <c r="NON167" s="209"/>
      <c r="NOO167" s="207"/>
      <c r="NOP167" s="210"/>
      <c r="NOQ167" s="209"/>
      <c r="NOR167" s="204"/>
      <c r="NOS167" s="204"/>
      <c r="NOT167" s="204"/>
      <c r="NOU167" s="199"/>
      <c r="NOV167" s="167"/>
      <c r="NOW167" s="199"/>
      <c r="NOX167" s="200"/>
      <c r="NOY167" s="201"/>
      <c r="NOZ167" s="202"/>
      <c r="NPA167" s="202"/>
      <c r="NPB167" s="202"/>
      <c r="NPC167" s="202"/>
      <c r="NPD167" s="203"/>
      <c r="NPE167" s="204"/>
      <c r="NPF167" s="204"/>
      <c r="NPG167" s="204"/>
      <c r="NPH167" s="205"/>
      <c r="NPI167" s="206"/>
      <c r="NPJ167" s="207"/>
      <c r="NPK167" s="207"/>
      <c r="NPL167" s="208"/>
      <c r="NPM167" s="209"/>
      <c r="NPN167" s="207"/>
      <c r="NPO167" s="210"/>
      <c r="NPP167" s="209"/>
      <c r="NPQ167" s="204"/>
      <c r="NPR167" s="204"/>
      <c r="NPS167" s="204"/>
      <c r="NPT167" s="199"/>
      <c r="NPU167" s="167"/>
      <c r="NPV167" s="199"/>
      <c r="NPW167" s="200"/>
      <c r="NPX167" s="201"/>
      <c r="NPY167" s="202"/>
      <c r="NPZ167" s="202"/>
      <c r="NQA167" s="202"/>
      <c r="NQB167" s="202"/>
      <c r="NQC167" s="203"/>
      <c r="NQD167" s="204"/>
      <c r="NQE167" s="204"/>
      <c r="NQF167" s="204"/>
      <c r="NQG167" s="205"/>
      <c r="NQH167" s="206"/>
      <c r="NQI167" s="207"/>
      <c r="NQJ167" s="207"/>
      <c r="NQK167" s="208"/>
      <c r="NQL167" s="209"/>
      <c r="NQM167" s="207"/>
      <c r="NQN167" s="210"/>
      <c r="NQO167" s="209"/>
      <c r="NQP167" s="204"/>
      <c r="NQQ167" s="204"/>
      <c r="NQR167" s="204"/>
      <c r="NQS167" s="199"/>
      <c r="NQT167" s="167"/>
      <c r="NQU167" s="199"/>
      <c r="NQV167" s="200"/>
      <c r="NQW167" s="201"/>
      <c r="NQX167" s="202"/>
      <c r="NQY167" s="202"/>
      <c r="NQZ167" s="202"/>
      <c r="NRA167" s="202"/>
      <c r="NRB167" s="203"/>
      <c r="NRC167" s="204"/>
      <c r="NRD167" s="204"/>
      <c r="NRE167" s="204"/>
      <c r="NRF167" s="205"/>
      <c r="NRG167" s="206"/>
      <c r="NRH167" s="207"/>
      <c r="NRI167" s="207"/>
      <c r="NRJ167" s="208"/>
      <c r="NRK167" s="209"/>
      <c r="NRL167" s="207"/>
      <c r="NRM167" s="210"/>
      <c r="NRN167" s="209"/>
      <c r="NRO167" s="204"/>
      <c r="NRP167" s="204"/>
      <c r="NRQ167" s="204"/>
      <c r="NRR167" s="199"/>
      <c r="NRS167" s="167"/>
      <c r="NRT167" s="199"/>
      <c r="NRU167" s="200"/>
      <c r="NRV167" s="201"/>
      <c r="NRW167" s="202"/>
      <c r="NRX167" s="202"/>
      <c r="NRY167" s="202"/>
      <c r="NRZ167" s="202"/>
      <c r="NSA167" s="203"/>
      <c r="NSB167" s="204"/>
      <c r="NSC167" s="204"/>
      <c r="NSD167" s="204"/>
      <c r="NSE167" s="205"/>
      <c r="NSF167" s="206"/>
      <c r="NSG167" s="207"/>
      <c r="NSH167" s="207"/>
      <c r="NSI167" s="208"/>
      <c r="NSJ167" s="209"/>
      <c r="NSK167" s="207"/>
      <c r="NSL167" s="210"/>
      <c r="NSM167" s="209"/>
      <c r="NSN167" s="204"/>
      <c r="NSO167" s="204"/>
      <c r="NSP167" s="204"/>
      <c r="NSQ167" s="199"/>
      <c r="NSR167" s="167"/>
      <c r="NSS167" s="199"/>
      <c r="NST167" s="200"/>
      <c r="NSU167" s="201"/>
      <c r="NSV167" s="202"/>
      <c r="NSW167" s="202"/>
      <c r="NSX167" s="202"/>
      <c r="NSY167" s="202"/>
      <c r="NSZ167" s="203"/>
      <c r="NTA167" s="204"/>
      <c r="NTB167" s="204"/>
      <c r="NTC167" s="204"/>
      <c r="NTD167" s="205"/>
      <c r="NTE167" s="206"/>
      <c r="NTF167" s="207"/>
      <c r="NTG167" s="207"/>
      <c r="NTH167" s="208"/>
      <c r="NTI167" s="209"/>
      <c r="NTJ167" s="207"/>
      <c r="NTK167" s="210"/>
      <c r="NTL167" s="209"/>
      <c r="NTM167" s="204"/>
      <c r="NTN167" s="204"/>
      <c r="NTO167" s="204"/>
      <c r="NTP167" s="199"/>
      <c r="NTQ167" s="167"/>
      <c r="NTR167" s="199"/>
      <c r="NTS167" s="200"/>
      <c r="NTT167" s="201"/>
      <c r="NTU167" s="202"/>
      <c r="NTV167" s="202"/>
      <c r="NTW167" s="202"/>
      <c r="NTX167" s="202"/>
      <c r="NTY167" s="203"/>
      <c r="NTZ167" s="204"/>
      <c r="NUA167" s="204"/>
      <c r="NUB167" s="204"/>
      <c r="NUC167" s="205"/>
      <c r="NUD167" s="206"/>
      <c r="NUE167" s="207"/>
      <c r="NUF167" s="207"/>
      <c r="NUG167" s="208"/>
      <c r="NUH167" s="209"/>
      <c r="NUI167" s="207"/>
      <c r="NUJ167" s="210"/>
      <c r="NUK167" s="209"/>
      <c r="NUL167" s="204"/>
      <c r="NUM167" s="204"/>
      <c r="NUN167" s="204"/>
      <c r="NUO167" s="199"/>
      <c r="NUP167" s="167"/>
      <c r="NUQ167" s="199"/>
      <c r="NUR167" s="200"/>
      <c r="NUS167" s="201"/>
      <c r="NUT167" s="202"/>
      <c r="NUU167" s="202"/>
      <c r="NUV167" s="202"/>
      <c r="NUW167" s="202"/>
      <c r="NUX167" s="203"/>
      <c r="NUY167" s="204"/>
      <c r="NUZ167" s="204"/>
      <c r="NVA167" s="204"/>
      <c r="NVB167" s="205"/>
      <c r="NVC167" s="206"/>
      <c r="NVD167" s="207"/>
      <c r="NVE167" s="207"/>
      <c r="NVF167" s="208"/>
      <c r="NVG167" s="209"/>
      <c r="NVH167" s="207"/>
      <c r="NVI167" s="210"/>
      <c r="NVJ167" s="209"/>
      <c r="NVK167" s="204"/>
      <c r="NVL167" s="204"/>
      <c r="NVM167" s="204"/>
      <c r="NVN167" s="199"/>
      <c r="NVO167" s="167"/>
      <c r="NVP167" s="199"/>
      <c r="NVQ167" s="200"/>
      <c r="NVR167" s="201"/>
      <c r="NVS167" s="202"/>
      <c r="NVT167" s="202"/>
      <c r="NVU167" s="202"/>
      <c r="NVV167" s="202"/>
      <c r="NVW167" s="203"/>
      <c r="NVX167" s="204"/>
      <c r="NVY167" s="204"/>
      <c r="NVZ167" s="204"/>
      <c r="NWA167" s="205"/>
      <c r="NWB167" s="206"/>
      <c r="NWC167" s="207"/>
      <c r="NWD167" s="207"/>
      <c r="NWE167" s="208"/>
      <c r="NWF167" s="209"/>
      <c r="NWG167" s="207"/>
      <c r="NWH167" s="210"/>
      <c r="NWI167" s="209"/>
      <c r="NWJ167" s="204"/>
      <c r="NWK167" s="204"/>
      <c r="NWL167" s="204"/>
      <c r="NWM167" s="199"/>
      <c r="NWN167" s="167"/>
      <c r="NWO167" s="199"/>
      <c r="NWP167" s="200"/>
      <c r="NWQ167" s="201"/>
      <c r="NWR167" s="202"/>
      <c r="NWS167" s="202"/>
      <c r="NWT167" s="202"/>
      <c r="NWU167" s="202"/>
      <c r="NWV167" s="203"/>
      <c r="NWW167" s="204"/>
      <c r="NWX167" s="204"/>
      <c r="NWY167" s="204"/>
      <c r="NWZ167" s="205"/>
      <c r="NXA167" s="206"/>
      <c r="NXB167" s="207"/>
      <c r="NXC167" s="207"/>
      <c r="NXD167" s="208"/>
      <c r="NXE167" s="209"/>
      <c r="NXF167" s="207"/>
      <c r="NXG167" s="210"/>
      <c r="NXH167" s="209"/>
      <c r="NXI167" s="204"/>
      <c r="NXJ167" s="204"/>
      <c r="NXK167" s="204"/>
      <c r="NXL167" s="199"/>
      <c r="NXM167" s="167"/>
      <c r="NXN167" s="199"/>
      <c r="NXO167" s="200"/>
      <c r="NXP167" s="201"/>
      <c r="NXQ167" s="202"/>
      <c r="NXR167" s="202"/>
      <c r="NXS167" s="202"/>
      <c r="NXT167" s="202"/>
      <c r="NXU167" s="203"/>
      <c r="NXV167" s="204"/>
      <c r="NXW167" s="204"/>
      <c r="NXX167" s="204"/>
      <c r="NXY167" s="205"/>
      <c r="NXZ167" s="206"/>
      <c r="NYA167" s="207"/>
      <c r="NYB167" s="207"/>
      <c r="NYC167" s="208"/>
      <c r="NYD167" s="209"/>
      <c r="NYE167" s="207"/>
      <c r="NYF167" s="210"/>
      <c r="NYG167" s="209"/>
      <c r="NYH167" s="204"/>
      <c r="NYI167" s="204"/>
      <c r="NYJ167" s="204"/>
      <c r="NYK167" s="199"/>
      <c r="NYL167" s="167"/>
      <c r="NYM167" s="199"/>
      <c r="NYN167" s="200"/>
      <c r="NYO167" s="201"/>
      <c r="NYP167" s="202"/>
      <c r="NYQ167" s="202"/>
      <c r="NYR167" s="202"/>
      <c r="NYS167" s="202"/>
      <c r="NYT167" s="203"/>
      <c r="NYU167" s="204"/>
      <c r="NYV167" s="204"/>
      <c r="NYW167" s="204"/>
      <c r="NYX167" s="205"/>
      <c r="NYY167" s="206"/>
      <c r="NYZ167" s="207"/>
      <c r="NZA167" s="207"/>
      <c r="NZB167" s="208"/>
      <c r="NZC167" s="209"/>
      <c r="NZD167" s="207"/>
      <c r="NZE167" s="210"/>
      <c r="NZF167" s="209"/>
      <c r="NZG167" s="204"/>
      <c r="NZH167" s="204"/>
      <c r="NZI167" s="204"/>
      <c r="NZJ167" s="199"/>
      <c r="NZK167" s="167"/>
      <c r="NZL167" s="199"/>
      <c r="NZM167" s="200"/>
      <c r="NZN167" s="201"/>
      <c r="NZO167" s="202"/>
      <c r="NZP167" s="202"/>
      <c r="NZQ167" s="202"/>
      <c r="NZR167" s="202"/>
      <c r="NZS167" s="203"/>
      <c r="NZT167" s="204"/>
      <c r="NZU167" s="204"/>
      <c r="NZV167" s="204"/>
      <c r="NZW167" s="205"/>
      <c r="NZX167" s="206"/>
      <c r="NZY167" s="207"/>
      <c r="NZZ167" s="207"/>
      <c r="OAA167" s="208"/>
      <c r="OAB167" s="209"/>
      <c r="OAC167" s="207"/>
      <c r="OAD167" s="210"/>
      <c r="OAE167" s="209"/>
      <c r="OAF167" s="204"/>
      <c r="OAG167" s="204"/>
      <c r="OAH167" s="204"/>
      <c r="OAI167" s="199"/>
      <c r="OAJ167" s="167"/>
      <c r="OAK167" s="199"/>
      <c r="OAL167" s="200"/>
      <c r="OAM167" s="201"/>
      <c r="OAN167" s="202"/>
      <c r="OAO167" s="202"/>
      <c r="OAP167" s="202"/>
      <c r="OAQ167" s="202"/>
      <c r="OAR167" s="203"/>
      <c r="OAS167" s="204"/>
      <c r="OAT167" s="204"/>
      <c r="OAU167" s="204"/>
      <c r="OAV167" s="205"/>
      <c r="OAW167" s="206"/>
      <c r="OAX167" s="207"/>
      <c r="OAY167" s="207"/>
      <c r="OAZ167" s="208"/>
      <c r="OBA167" s="209"/>
      <c r="OBB167" s="207"/>
      <c r="OBC167" s="210"/>
      <c r="OBD167" s="209"/>
      <c r="OBE167" s="204"/>
      <c r="OBF167" s="204"/>
      <c r="OBG167" s="204"/>
      <c r="OBH167" s="199"/>
      <c r="OBI167" s="167"/>
      <c r="OBJ167" s="199"/>
      <c r="OBK167" s="200"/>
      <c r="OBL167" s="201"/>
      <c r="OBM167" s="202"/>
      <c r="OBN167" s="202"/>
      <c r="OBO167" s="202"/>
      <c r="OBP167" s="202"/>
      <c r="OBQ167" s="203"/>
      <c r="OBR167" s="204"/>
      <c r="OBS167" s="204"/>
      <c r="OBT167" s="204"/>
      <c r="OBU167" s="205"/>
      <c r="OBV167" s="206"/>
      <c r="OBW167" s="207"/>
      <c r="OBX167" s="207"/>
      <c r="OBY167" s="208"/>
      <c r="OBZ167" s="209"/>
      <c r="OCA167" s="207"/>
      <c r="OCB167" s="210"/>
      <c r="OCC167" s="209"/>
      <c r="OCD167" s="204"/>
      <c r="OCE167" s="204"/>
      <c r="OCF167" s="204"/>
      <c r="OCG167" s="199"/>
      <c r="OCH167" s="167"/>
      <c r="OCI167" s="199"/>
      <c r="OCJ167" s="200"/>
      <c r="OCK167" s="201"/>
      <c r="OCL167" s="202"/>
      <c r="OCM167" s="202"/>
      <c r="OCN167" s="202"/>
      <c r="OCO167" s="202"/>
      <c r="OCP167" s="203"/>
      <c r="OCQ167" s="204"/>
      <c r="OCR167" s="204"/>
      <c r="OCS167" s="204"/>
      <c r="OCT167" s="205"/>
      <c r="OCU167" s="206"/>
      <c r="OCV167" s="207"/>
      <c r="OCW167" s="207"/>
      <c r="OCX167" s="208"/>
      <c r="OCY167" s="209"/>
      <c r="OCZ167" s="207"/>
      <c r="ODA167" s="210"/>
      <c r="ODB167" s="209"/>
      <c r="ODC167" s="204"/>
      <c r="ODD167" s="204"/>
      <c r="ODE167" s="204"/>
      <c r="ODF167" s="199"/>
      <c r="ODG167" s="167"/>
      <c r="ODH167" s="199"/>
      <c r="ODI167" s="200"/>
      <c r="ODJ167" s="201"/>
      <c r="ODK167" s="202"/>
      <c r="ODL167" s="202"/>
      <c r="ODM167" s="202"/>
      <c r="ODN167" s="202"/>
      <c r="ODO167" s="203"/>
      <c r="ODP167" s="204"/>
      <c r="ODQ167" s="204"/>
      <c r="ODR167" s="204"/>
      <c r="ODS167" s="205"/>
      <c r="ODT167" s="206"/>
      <c r="ODU167" s="207"/>
      <c r="ODV167" s="207"/>
      <c r="ODW167" s="208"/>
      <c r="ODX167" s="209"/>
      <c r="ODY167" s="207"/>
      <c r="ODZ167" s="210"/>
      <c r="OEA167" s="209"/>
      <c r="OEB167" s="204"/>
      <c r="OEC167" s="204"/>
      <c r="OED167" s="204"/>
      <c r="OEE167" s="199"/>
      <c r="OEF167" s="167"/>
      <c r="OEG167" s="199"/>
      <c r="OEH167" s="200"/>
      <c r="OEI167" s="201"/>
      <c r="OEJ167" s="202"/>
      <c r="OEK167" s="202"/>
      <c r="OEL167" s="202"/>
      <c r="OEM167" s="202"/>
      <c r="OEN167" s="203"/>
      <c r="OEO167" s="204"/>
      <c r="OEP167" s="204"/>
      <c r="OEQ167" s="204"/>
      <c r="OER167" s="205"/>
      <c r="OES167" s="206"/>
      <c r="OET167" s="207"/>
      <c r="OEU167" s="207"/>
      <c r="OEV167" s="208"/>
      <c r="OEW167" s="209"/>
      <c r="OEX167" s="207"/>
      <c r="OEY167" s="210"/>
      <c r="OEZ167" s="209"/>
      <c r="OFA167" s="204"/>
      <c r="OFB167" s="204"/>
      <c r="OFC167" s="204"/>
      <c r="OFD167" s="199"/>
      <c r="OFE167" s="167"/>
      <c r="OFF167" s="199"/>
      <c r="OFG167" s="200"/>
      <c r="OFH167" s="201"/>
      <c r="OFI167" s="202"/>
      <c r="OFJ167" s="202"/>
      <c r="OFK167" s="202"/>
      <c r="OFL167" s="202"/>
      <c r="OFM167" s="203"/>
      <c r="OFN167" s="204"/>
      <c r="OFO167" s="204"/>
      <c r="OFP167" s="204"/>
      <c r="OFQ167" s="205"/>
      <c r="OFR167" s="206"/>
      <c r="OFS167" s="207"/>
      <c r="OFT167" s="207"/>
      <c r="OFU167" s="208"/>
      <c r="OFV167" s="209"/>
      <c r="OFW167" s="207"/>
      <c r="OFX167" s="210"/>
      <c r="OFY167" s="209"/>
      <c r="OFZ167" s="204"/>
      <c r="OGA167" s="204"/>
      <c r="OGB167" s="204"/>
      <c r="OGC167" s="199"/>
      <c r="OGD167" s="167"/>
      <c r="OGE167" s="199"/>
      <c r="OGF167" s="200"/>
      <c r="OGG167" s="201"/>
      <c r="OGH167" s="202"/>
      <c r="OGI167" s="202"/>
      <c r="OGJ167" s="202"/>
      <c r="OGK167" s="202"/>
      <c r="OGL167" s="203"/>
      <c r="OGM167" s="204"/>
      <c r="OGN167" s="204"/>
      <c r="OGO167" s="204"/>
      <c r="OGP167" s="205"/>
      <c r="OGQ167" s="206"/>
      <c r="OGR167" s="207"/>
      <c r="OGS167" s="207"/>
      <c r="OGT167" s="208"/>
      <c r="OGU167" s="209"/>
      <c r="OGV167" s="207"/>
      <c r="OGW167" s="210"/>
      <c r="OGX167" s="209"/>
      <c r="OGY167" s="204"/>
      <c r="OGZ167" s="204"/>
      <c r="OHA167" s="204"/>
      <c r="OHB167" s="199"/>
      <c r="OHC167" s="167"/>
      <c r="OHD167" s="199"/>
      <c r="OHE167" s="200"/>
      <c r="OHF167" s="201"/>
      <c r="OHG167" s="202"/>
      <c r="OHH167" s="202"/>
      <c r="OHI167" s="202"/>
      <c r="OHJ167" s="202"/>
      <c r="OHK167" s="203"/>
      <c r="OHL167" s="204"/>
      <c r="OHM167" s="204"/>
      <c r="OHN167" s="204"/>
      <c r="OHO167" s="205"/>
      <c r="OHP167" s="206"/>
      <c r="OHQ167" s="207"/>
      <c r="OHR167" s="207"/>
      <c r="OHS167" s="208"/>
      <c r="OHT167" s="209"/>
      <c r="OHU167" s="207"/>
      <c r="OHV167" s="210"/>
      <c r="OHW167" s="209"/>
      <c r="OHX167" s="204"/>
      <c r="OHY167" s="204"/>
      <c r="OHZ167" s="204"/>
      <c r="OIA167" s="199"/>
      <c r="OIB167" s="167"/>
      <c r="OIC167" s="199"/>
      <c r="OID167" s="200"/>
      <c r="OIE167" s="201"/>
      <c r="OIF167" s="202"/>
      <c r="OIG167" s="202"/>
      <c r="OIH167" s="202"/>
      <c r="OII167" s="202"/>
      <c r="OIJ167" s="203"/>
      <c r="OIK167" s="204"/>
      <c r="OIL167" s="204"/>
      <c r="OIM167" s="204"/>
      <c r="OIN167" s="205"/>
      <c r="OIO167" s="206"/>
      <c r="OIP167" s="207"/>
      <c r="OIQ167" s="207"/>
      <c r="OIR167" s="208"/>
      <c r="OIS167" s="209"/>
      <c r="OIT167" s="207"/>
      <c r="OIU167" s="210"/>
      <c r="OIV167" s="209"/>
      <c r="OIW167" s="204"/>
      <c r="OIX167" s="204"/>
      <c r="OIY167" s="204"/>
      <c r="OIZ167" s="199"/>
      <c r="OJA167" s="167"/>
      <c r="OJB167" s="199"/>
      <c r="OJC167" s="200"/>
      <c r="OJD167" s="201"/>
      <c r="OJE167" s="202"/>
      <c r="OJF167" s="202"/>
      <c r="OJG167" s="202"/>
      <c r="OJH167" s="202"/>
      <c r="OJI167" s="203"/>
      <c r="OJJ167" s="204"/>
      <c r="OJK167" s="204"/>
      <c r="OJL167" s="204"/>
      <c r="OJM167" s="205"/>
      <c r="OJN167" s="206"/>
      <c r="OJO167" s="207"/>
      <c r="OJP167" s="207"/>
      <c r="OJQ167" s="208"/>
      <c r="OJR167" s="209"/>
      <c r="OJS167" s="207"/>
      <c r="OJT167" s="210"/>
      <c r="OJU167" s="209"/>
      <c r="OJV167" s="204"/>
      <c r="OJW167" s="204"/>
      <c r="OJX167" s="204"/>
      <c r="OJY167" s="199"/>
      <c r="OJZ167" s="167"/>
      <c r="OKA167" s="199"/>
      <c r="OKB167" s="200"/>
      <c r="OKC167" s="201"/>
      <c r="OKD167" s="202"/>
      <c r="OKE167" s="202"/>
      <c r="OKF167" s="202"/>
      <c r="OKG167" s="202"/>
      <c r="OKH167" s="203"/>
      <c r="OKI167" s="204"/>
      <c r="OKJ167" s="204"/>
      <c r="OKK167" s="204"/>
      <c r="OKL167" s="205"/>
      <c r="OKM167" s="206"/>
      <c r="OKN167" s="207"/>
      <c r="OKO167" s="207"/>
      <c r="OKP167" s="208"/>
      <c r="OKQ167" s="209"/>
      <c r="OKR167" s="207"/>
      <c r="OKS167" s="210"/>
      <c r="OKT167" s="209"/>
      <c r="OKU167" s="204"/>
      <c r="OKV167" s="204"/>
      <c r="OKW167" s="204"/>
      <c r="OKX167" s="199"/>
      <c r="OKY167" s="167"/>
      <c r="OKZ167" s="199"/>
      <c r="OLA167" s="200"/>
      <c r="OLB167" s="201"/>
      <c r="OLC167" s="202"/>
      <c r="OLD167" s="202"/>
      <c r="OLE167" s="202"/>
      <c r="OLF167" s="202"/>
      <c r="OLG167" s="203"/>
      <c r="OLH167" s="204"/>
      <c r="OLI167" s="204"/>
      <c r="OLJ167" s="204"/>
      <c r="OLK167" s="205"/>
      <c r="OLL167" s="206"/>
      <c r="OLM167" s="207"/>
      <c r="OLN167" s="207"/>
      <c r="OLO167" s="208"/>
      <c r="OLP167" s="209"/>
      <c r="OLQ167" s="207"/>
      <c r="OLR167" s="210"/>
      <c r="OLS167" s="209"/>
      <c r="OLT167" s="204"/>
      <c r="OLU167" s="204"/>
      <c r="OLV167" s="204"/>
      <c r="OLW167" s="199"/>
      <c r="OLX167" s="167"/>
      <c r="OLY167" s="199"/>
      <c r="OLZ167" s="200"/>
      <c r="OMA167" s="201"/>
      <c r="OMB167" s="202"/>
      <c r="OMC167" s="202"/>
      <c r="OMD167" s="202"/>
      <c r="OME167" s="202"/>
      <c r="OMF167" s="203"/>
      <c r="OMG167" s="204"/>
      <c r="OMH167" s="204"/>
      <c r="OMI167" s="204"/>
      <c r="OMJ167" s="205"/>
      <c r="OMK167" s="206"/>
      <c r="OML167" s="207"/>
      <c r="OMM167" s="207"/>
      <c r="OMN167" s="208"/>
      <c r="OMO167" s="209"/>
      <c r="OMP167" s="207"/>
      <c r="OMQ167" s="210"/>
      <c r="OMR167" s="209"/>
      <c r="OMS167" s="204"/>
      <c r="OMT167" s="204"/>
      <c r="OMU167" s="204"/>
      <c r="OMV167" s="199"/>
      <c r="OMW167" s="167"/>
      <c r="OMX167" s="199"/>
      <c r="OMY167" s="200"/>
      <c r="OMZ167" s="201"/>
      <c r="ONA167" s="202"/>
      <c r="ONB167" s="202"/>
      <c r="ONC167" s="202"/>
      <c r="OND167" s="202"/>
      <c r="ONE167" s="203"/>
      <c r="ONF167" s="204"/>
      <c r="ONG167" s="204"/>
      <c r="ONH167" s="204"/>
      <c r="ONI167" s="205"/>
      <c r="ONJ167" s="206"/>
      <c r="ONK167" s="207"/>
      <c r="ONL167" s="207"/>
      <c r="ONM167" s="208"/>
      <c r="ONN167" s="209"/>
      <c r="ONO167" s="207"/>
      <c r="ONP167" s="210"/>
      <c r="ONQ167" s="209"/>
      <c r="ONR167" s="204"/>
      <c r="ONS167" s="204"/>
      <c r="ONT167" s="204"/>
      <c r="ONU167" s="199"/>
      <c r="ONV167" s="167"/>
      <c r="ONW167" s="199"/>
      <c r="ONX167" s="200"/>
      <c r="ONY167" s="201"/>
      <c r="ONZ167" s="202"/>
      <c r="OOA167" s="202"/>
      <c r="OOB167" s="202"/>
      <c r="OOC167" s="202"/>
      <c r="OOD167" s="203"/>
      <c r="OOE167" s="204"/>
      <c r="OOF167" s="204"/>
      <c r="OOG167" s="204"/>
      <c r="OOH167" s="205"/>
      <c r="OOI167" s="206"/>
      <c r="OOJ167" s="207"/>
      <c r="OOK167" s="207"/>
      <c r="OOL167" s="208"/>
      <c r="OOM167" s="209"/>
      <c r="OON167" s="207"/>
      <c r="OOO167" s="210"/>
      <c r="OOP167" s="209"/>
      <c r="OOQ167" s="204"/>
      <c r="OOR167" s="204"/>
      <c r="OOS167" s="204"/>
      <c r="OOT167" s="199"/>
      <c r="OOU167" s="167"/>
      <c r="OOV167" s="199"/>
      <c r="OOW167" s="200"/>
      <c r="OOX167" s="201"/>
      <c r="OOY167" s="202"/>
      <c r="OOZ167" s="202"/>
      <c r="OPA167" s="202"/>
      <c r="OPB167" s="202"/>
      <c r="OPC167" s="203"/>
      <c r="OPD167" s="204"/>
      <c r="OPE167" s="204"/>
      <c r="OPF167" s="204"/>
      <c r="OPG167" s="205"/>
      <c r="OPH167" s="206"/>
      <c r="OPI167" s="207"/>
      <c r="OPJ167" s="207"/>
      <c r="OPK167" s="208"/>
      <c r="OPL167" s="209"/>
      <c r="OPM167" s="207"/>
      <c r="OPN167" s="210"/>
      <c r="OPO167" s="209"/>
      <c r="OPP167" s="204"/>
      <c r="OPQ167" s="204"/>
      <c r="OPR167" s="204"/>
      <c r="OPS167" s="199"/>
      <c r="OPT167" s="167"/>
      <c r="OPU167" s="199"/>
      <c r="OPV167" s="200"/>
      <c r="OPW167" s="201"/>
      <c r="OPX167" s="202"/>
      <c r="OPY167" s="202"/>
      <c r="OPZ167" s="202"/>
      <c r="OQA167" s="202"/>
      <c r="OQB167" s="203"/>
      <c r="OQC167" s="204"/>
      <c r="OQD167" s="204"/>
      <c r="OQE167" s="204"/>
      <c r="OQF167" s="205"/>
      <c r="OQG167" s="206"/>
      <c r="OQH167" s="207"/>
      <c r="OQI167" s="207"/>
      <c r="OQJ167" s="208"/>
      <c r="OQK167" s="209"/>
      <c r="OQL167" s="207"/>
      <c r="OQM167" s="210"/>
      <c r="OQN167" s="209"/>
      <c r="OQO167" s="204"/>
      <c r="OQP167" s="204"/>
      <c r="OQQ167" s="204"/>
      <c r="OQR167" s="199"/>
      <c r="OQS167" s="167"/>
      <c r="OQT167" s="199"/>
      <c r="OQU167" s="200"/>
      <c r="OQV167" s="201"/>
      <c r="OQW167" s="202"/>
      <c r="OQX167" s="202"/>
      <c r="OQY167" s="202"/>
      <c r="OQZ167" s="202"/>
      <c r="ORA167" s="203"/>
      <c r="ORB167" s="204"/>
      <c r="ORC167" s="204"/>
      <c r="ORD167" s="204"/>
      <c r="ORE167" s="205"/>
      <c r="ORF167" s="206"/>
      <c r="ORG167" s="207"/>
      <c r="ORH167" s="207"/>
      <c r="ORI167" s="208"/>
      <c r="ORJ167" s="209"/>
      <c r="ORK167" s="207"/>
      <c r="ORL167" s="210"/>
      <c r="ORM167" s="209"/>
      <c r="ORN167" s="204"/>
      <c r="ORO167" s="204"/>
      <c r="ORP167" s="204"/>
      <c r="ORQ167" s="199"/>
      <c r="ORR167" s="167"/>
      <c r="ORS167" s="199"/>
      <c r="ORT167" s="200"/>
      <c r="ORU167" s="201"/>
      <c r="ORV167" s="202"/>
      <c r="ORW167" s="202"/>
      <c r="ORX167" s="202"/>
      <c r="ORY167" s="202"/>
      <c r="ORZ167" s="203"/>
      <c r="OSA167" s="204"/>
      <c r="OSB167" s="204"/>
      <c r="OSC167" s="204"/>
      <c r="OSD167" s="205"/>
      <c r="OSE167" s="206"/>
      <c r="OSF167" s="207"/>
      <c r="OSG167" s="207"/>
      <c r="OSH167" s="208"/>
      <c r="OSI167" s="209"/>
      <c r="OSJ167" s="207"/>
      <c r="OSK167" s="210"/>
      <c r="OSL167" s="209"/>
      <c r="OSM167" s="204"/>
      <c r="OSN167" s="204"/>
      <c r="OSO167" s="204"/>
      <c r="OSP167" s="199"/>
      <c r="OSQ167" s="167"/>
      <c r="OSR167" s="199"/>
      <c r="OSS167" s="200"/>
      <c r="OST167" s="201"/>
      <c r="OSU167" s="202"/>
      <c r="OSV167" s="202"/>
      <c r="OSW167" s="202"/>
      <c r="OSX167" s="202"/>
      <c r="OSY167" s="203"/>
      <c r="OSZ167" s="204"/>
      <c r="OTA167" s="204"/>
      <c r="OTB167" s="204"/>
      <c r="OTC167" s="205"/>
      <c r="OTD167" s="206"/>
      <c r="OTE167" s="207"/>
      <c r="OTF167" s="207"/>
      <c r="OTG167" s="208"/>
      <c r="OTH167" s="209"/>
      <c r="OTI167" s="207"/>
      <c r="OTJ167" s="210"/>
      <c r="OTK167" s="209"/>
      <c r="OTL167" s="204"/>
      <c r="OTM167" s="204"/>
      <c r="OTN167" s="204"/>
      <c r="OTO167" s="199"/>
      <c r="OTP167" s="167"/>
      <c r="OTQ167" s="199"/>
      <c r="OTR167" s="200"/>
      <c r="OTS167" s="201"/>
      <c r="OTT167" s="202"/>
      <c r="OTU167" s="202"/>
      <c r="OTV167" s="202"/>
      <c r="OTW167" s="202"/>
      <c r="OTX167" s="203"/>
      <c r="OTY167" s="204"/>
      <c r="OTZ167" s="204"/>
      <c r="OUA167" s="204"/>
      <c r="OUB167" s="205"/>
      <c r="OUC167" s="206"/>
      <c r="OUD167" s="207"/>
      <c r="OUE167" s="207"/>
      <c r="OUF167" s="208"/>
      <c r="OUG167" s="209"/>
      <c r="OUH167" s="207"/>
      <c r="OUI167" s="210"/>
      <c r="OUJ167" s="209"/>
      <c r="OUK167" s="204"/>
      <c r="OUL167" s="204"/>
      <c r="OUM167" s="204"/>
      <c r="OUN167" s="199"/>
      <c r="OUO167" s="167"/>
      <c r="OUP167" s="199"/>
      <c r="OUQ167" s="200"/>
      <c r="OUR167" s="201"/>
      <c r="OUS167" s="202"/>
      <c r="OUT167" s="202"/>
      <c r="OUU167" s="202"/>
      <c r="OUV167" s="202"/>
      <c r="OUW167" s="203"/>
      <c r="OUX167" s="204"/>
      <c r="OUY167" s="204"/>
      <c r="OUZ167" s="204"/>
      <c r="OVA167" s="205"/>
      <c r="OVB167" s="206"/>
      <c r="OVC167" s="207"/>
      <c r="OVD167" s="207"/>
      <c r="OVE167" s="208"/>
      <c r="OVF167" s="209"/>
      <c r="OVG167" s="207"/>
      <c r="OVH167" s="210"/>
      <c r="OVI167" s="209"/>
      <c r="OVJ167" s="204"/>
      <c r="OVK167" s="204"/>
      <c r="OVL167" s="204"/>
      <c r="OVM167" s="199"/>
      <c r="OVN167" s="167"/>
      <c r="OVO167" s="199"/>
      <c r="OVP167" s="200"/>
      <c r="OVQ167" s="201"/>
      <c r="OVR167" s="202"/>
      <c r="OVS167" s="202"/>
      <c r="OVT167" s="202"/>
      <c r="OVU167" s="202"/>
      <c r="OVV167" s="203"/>
      <c r="OVW167" s="204"/>
      <c r="OVX167" s="204"/>
      <c r="OVY167" s="204"/>
      <c r="OVZ167" s="205"/>
      <c r="OWA167" s="206"/>
      <c r="OWB167" s="207"/>
      <c r="OWC167" s="207"/>
      <c r="OWD167" s="208"/>
      <c r="OWE167" s="209"/>
      <c r="OWF167" s="207"/>
      <c r="OWG167" s="210"/>
      <c r="OWH167" s="209"/>
      <c r="OWI167" s="204"/>
      <c r="OWJ167" s="204"/>
      <c r="OWK167" s="204"/>
      <c r="OWL167" s="199"/>
      <c r="OWM167" s="167"/>
      <c r="OWN167" s="199"/>
      <c r="OWO167" s="200"/>
      <c r="OWP167" s="201"/>
      <c r="OWQ167" s="202"/>
      <c r="OWR167" s="202"/>
      <c r="OWS167" s="202"/>
      <c r="OWT167" s="202"/>
      <c r="OWU167" s="203"/>
      <c r="OWV167" s="204"/>
      <c r="OWW167" s="204"/>
      <c r="OWX167" s="204"/>
      <c r="OWY167" s="205"/>
      <c r="OWZ167" s="206"/>
      <c r="OXA167" s="207"/>
      <c r="OXB167" s="207"/>
      <c r="OXC167" s="208"/>
      <c r="OXD167" s="209"/>
      <c r="OXE167" s="207"/>
      <c r="OXF167" s="210"/>
      <c r="OXG167" s="209"/>
      <c r="OXH167" s="204"/>
      <c r="OXI167" s="204"/>
      <c r="OXJ167" s="204"/>
      <c r="OXK167" s="199"/>
      <c r="OXL167" s="167"/>
      <c r="OXM167" s="199"/>
      <c r="OXN167" s="200"/>
      <c r="OXO167" s="201"/>
      <c r="OXP167" s="202"/>
      <c r="OXQ167" s="202"/>
      <c r="OXR167" s="202"/>
      <c r="OXS167" s="202"/>
      <c r="OXT167" s="203"/>
      <c r="OXU167" s="204"/>
      <c r="OXV167" s="204"/>
      <c r="OXW167" s="204"/>
      <c r="OXX167" s="205"/>
      <c r="OXY167" s="206"/>
      <c r="OXZ167" s="207"/>
      <c r="OYA167" s="207"/>
      <c r="OYB167" s="208"/>
      <c r="OYC167" s="209"/>
      <c r="OYD167" s="207"/>
      <c r="OYE167" s="210"/>
      <c r="OYF167" s="209"/>
      <c r="OYG167" s="204"/>
      <c r="OYH167" s="204"/>
      <c r="OYI167" s="204"/>
      <c r="OYJ167" s="199"/>
      <c r="OYK167" s="167"/>
      <c r="OYL167" s="199"/>
      <c r="OYM167" s="200"/>
      <c r="OYN167" s="201"/>
      <c r="OYO167" s="202"/>
      <c r="OYP167" s="202"/>
      <c r="OYQ167" s="202"/>
      <c r="OYR167" s="202"/>
      <c r="OYS167" s="203"/>
      <c r="OYT167" s="204"/>
      <c r="OYU167" s="204"/>
      <c r="OYV167" s="204"/>
      <c r="OYW167" s="205"/>
      <c r="OYX167" s="206"/>
      <c r="OYY167" s="207"/>
      <c r="OYZ167" s="207"/>
      <c r="OZA167" s="208"/>
      <c r="OZB167" s="209"/>
      <c r="OZC167" s="207"/>
      <c r="OZD167" s="210"/>
      <c r="OZE167" s="209"/>
      <c r="OZF167" s="204"/>
      <c r="OZG167" s="204"/>
      <c r="OZH167" s="204"/>
      <c r="OZI167" s="199"/>
      <c r="OZJ167" s="167"/>
      <c r="OZK167" s="199"/>
      <c r="OZL167" s="200"/>
      <c r="OZM167" s="201"/>
      <c r="OZN167" s="202"/>
      <c r="OZO167" s="202"/>
      <c r="OZP167" s="202"/>
      <c r="OZQ167" s="202"/>
      <c r="OZR167" s="203"/>
      <c r="OZS167" s="204"/>
      <c r="OZT167" s="204"/>
      <c r="OZU167" s="204"/>
      <c r="OZV167" s="205"/>
      <c r="OZW167" s="206"/>
      <c r="OZX167" s="207"/>
      <c r="OZY167" s="207"/>
      <c r="OZZ167" s="208"/>
      <c r="PAA167" s="209"/>
      <c r="PAB167" s="207"/>
      <c r="PAC167" s="210"/>
      <c r="PAD167" s="209"/>
      <c r="PAE167" s="204"/>
      <c r="PAF167" s="204"/>
      <c r="PAG167" s="204"/>
      <c r="PAH167" s="199"/>
      <c r="PAI167" s="167"/>
      <c r="PAJ167" s="199"/>
      <c r="PAK167" s="200"/>
      <c r="PAL167" s="201"/>
      <c r="PAM167" s="202"/>
      <c r="PAN167" s="202"/>
      <c r="PAO167" s="202"/>
      <c r="PAP167" s="202"/>
      <c r="PAQ167" s="203"/>
      <c r="PAR167" s="204"/>
      <c r="PAS167" s="204"/>
      <c r="PAT167" s="204"/>
      <c r="PAU167" s="205"/>
      <c r="PAV167" s="206"/>
      <c r="PAW167" s="207"/>
      <c r="PAX167" s="207"/>
      <c r="PAY167" s="208"/>
      <c r="PAZ167" s="209"/>
      <c r="PBA167" s="207"/>
      <c r="PBB167" s="210"/>
      <c r="PBC167" s="209"/>
      <c r="PBD167" s="204"/>
      <c r="PBE167" s="204"/>
      <c r="PBF167" s="204"/>
      <c r="PBG167" s="199"/>
      <c r="PBH167" s="167"/>
      <c r="PBI167" s="199"/>
      <c r="PBJ167" s="200"/>
      <c r="PBK167" s="201"/>
      <c r="PBL167" s="202"/>
      <c r="PBM167" s="202"/>
      <c r="PBN167" s="202"/>
      <c r="PBO167" s="202"/>
      <c r="PBP167" s="203"/>
      <c r="PBQ167" s="204"/>
      <c r="PBR167" s="204"/>
      <c r="PBS167" s="204"/>
      <c r="PBT167" s="205"/>
      <c r="PBU167" s="206"/>
      <c r="PBV167" s="207"/>
      <c r="PBW167" s="207"/>
      <c r="PBX167" s="208"/>
      <c r="PBY167" s="209"/>
      <c r="PBZ167" s="207"/>
      <c r="PCA167" s="210"/>
      <c r="PCB167" s="209"/>
      <c r="PCC167" s="204"/>
      <c r="PCD167" s="204"/>
      <c r="PCE167" s="204"/>
      <c r="PCF167" s="199"/>
      <c r="PCG167" s="167"/>
      <c r="PCH167" s="199"/>
      <c r="PCI167" s="200"/>
      <c r="PCJ167" s="201"/>
      <c r="PCK167" s="202"/>
      <c r="PCL167" s="202"/>
      <c r="PCM167" s="202"/>
      <c r="PCN167" s="202"/>
      <c r="PCO167" s="203"/>
      <c r="PCP167" s="204"/>
      <c r="PCQ167" s="204"/>
      <c r="PCR167" s="204"/>
      <c r="PCS167" s="205"/>
      <c r="PCT167" s="206"/>
      <c r="PCU167" s="207"/>
      <c r="PCV167" s="207"/>
      <c r="PCW167" s="208"/>
      <c r="PCX167" s="209"/>
      <c r="PCY167" s="207"/>
      <c r="PCZ167" s="210"/>
      <c r="PDA167" s="209"/>
      <c r="PDB167" s="204"/>
      <c r="PDC167" s="204"/>
      <c r="PDD167" s="204"/>
      <c r="PDE167" s="199"/>
      <c r="PDF167" s="167"/>
      <c r="PDG167" s="199"/>
      <c r="PDH167" s="200"/>
      <c r="PDI167" s="201"/>
      <c r="PDJ167" s="202"/>
      <c r="PDK167" s="202"/>
      <c r="PDL167" s="202"/>
      <c r="PDM167" s="202"/>
      <c r="PDN167" s="203"/>
      <c r="PDO167" s="204"/>
      <c r="PDP167" s="204"/>
      <c r="PDQ167" s="204"/>
      <c r="PDR167" s="205"/>
      <c r="PDS167" s="206"/>
      <c r="PDT167" s="207"/>
      <c r="PDU167" s="207"/>
      <c r="PDV167" s="208"/>
      <c r="PDW167" s="209"/>
      <c r="PDX167" s="207"/>
      <c r="PDY167" s="210"/>
      <c r="PDZ167" s="209"/>
      <c r="PEA167" s="204"/>
      <c r="PEB167" s="204"/>
      <c r="PEC167" s="204"/>
      <c r="PED167" s="199"/>
      <c r="PEE167" s="167"/>
      <c r="PEF167" s="199"/>
      <c r="PEG167" s="200"/>
      <c r="PEH167" s="201"/>
      <c r="PEI167" s="202"/>
      <c r="PEJ167" s="202"/>
      <c r="PEK167" s="202"/>
      <c r="PEL167" s="202"/>
      <c r="PEM167" s="203"/>
      <c r="PEN167" s="204"/>
      <c r="PEO167" s="204"/>
      <c r="PEP167" s="204"/>
      <c r="PEQ167" s="205"/>
      <c r="PER167" s="206"/>
      <c r="PES167" s="207"/>
      <c r="PET167" s="207"/>
      <c r="PEU167" s="208"/>
      <c r="PEV167" s="209"/>
      <c r="PEW167" s="207"/>
      <c r="PEX167" s="210"/>
      <c r="PEY167" s="209"/>
      <c r="PEZ167" s="204"/>
      <c r="PFA167" s="204"/>
      <c r="PFB167" s="204"/>
      <c r="PFC167" s="199"/>
      <c r="PFD167" s="167"/>
      <c r="PFE167" s="199"/>
      <c r="PFF167" s="200"/>
      <c r="PFG167" s="201"/>
      <c r="PFH167" s="202"/>
      <c r="PFI167" s="202"/>
      <c r="PFJ167" s="202"/>
      <c r="PFK167" s="202"/>
      <c r="PFL167" s="203"/>
      <c r="PFM167" s="204"/>
      <c r="PFN167" s="204"/>
      <c r="PFO167" s="204"/>
      <c r="PFP167" s="205"/>
      <c r="PFQ167" s="206"/>
      <c r="PFR167" s="207"/>
      <c r="PFS167" s="207"/>
      <c r="PFT167" s="208"/>
      <c r="PFU167" s="209"/>
      <c r="PFV167" s="207"/>
      <c r="PFW167" s="210"/>
      <c r="PFX167" s="209"/>
      <c r="PFY167" s="204"/>
      <c r="PFZ167" s="204"/>
      <c r="PGA167" s="204"/>
      <c r="PGB167" s="199"/>
      <c r="PGC167" s="167"/>
      <c r="PGD167" s="199"/>
      <c r="PGE167" s="200"/>
      <c r="PGF167" s="201"/>
      <c r="PGG167" s="202"/>
      <c r="PGH167" s="202"/>
      <c r="PGI167" s="202"/>
      <c r="PGJ167" s="202"/>
      <c r="PGK167" s="203"/>
      <c r="PGL167" s="204"/>
      <c r="PGM167" s="204"/>
      <c r="PGN167" s="204"/>
      <c r="PGO167" s="205"/>
      <c r="PGP167" s="206"/>
      <c r="PGQ167" s="207"/>
      <c r="PGR167" s="207"/>
      <c r="PGS167" s="208"/>
      <c r="PGT167" s="209"/>
      <c r="PGU167" s="207"/>
      <c r="PGV167" s="210"/>
      <c r="PGW167" s="209"/>
      <c r="PGX167" s="204"/>
      <c r="PGY167" s="204"/>
      <c r="PGZ167" s="204"/>
      <c r="PHA167" s="199"/>
      <c r="PHB167" s="167"/>
      <c r="PHC167" s="199"/>
      <c r="PHD167" s="200"/>
      <c r="PHE167" s="201"/>
      <c r="PHF167" s="202"/>
      <c r="PHG167" s="202"/>
      <c r="PHH167" s="202"/>
      <c r="PHI167" s="202"/>
      <c r="PHJ167" s="203"/>
      <c r="PHK167" s="204"/>
      <c r="PHL167" s="204"/>
      <c r="PHM167" s="204"/>
      <c r="PHN167" s="205"/>
      <c r="PHO167" s="206"/>
      <c r="PHP167" s="207"/>
      <c r="PHQ167" s="207"/>
      <c r="PHR167" s="208"/>
      <c r="PHS167" s="209"/>
      <c r="PHT167" s="207"/>
      <c r="PHU167" s="210"/>
      <c r="PHV167" s="209"/>
      <c r="PHW167" s="204"/>
      <c r="PHX167" s="204"/>
      <c r="PHY167" s="204"/>
      <c r="PHZ167" s="199"/>
      <c r="PIA167" s="167"/>
      <c r="PIB167" s="199"/>
      <c r="PIC167" s="200"/>
      <c r="PID167" s="201"/>
      <c r="PIE167" s="202"/>
      <c r="PIF167" s="202"/>
      <c r="PIG167" s="202"/>
      <c r="PIH167" s="202"/>
      <c r="PII167" s="203"/>
      <c r="PIJ167" s="204"/>
      <c r="PIK167" s="204"/>
      <c r="PIL167" s="204"/>
      <c r="PIM167" s="205"/>
      <c r="PIN167" s="206"/>
      <c r="PIO167" s="207"/>
      <c r="PIP167" s="207"/>
      <c r="PIQ167" s="208"/>
      <c r="PIR167" s="209"/>
      <c r="PIS167" s="207"/>
      <c r="PIT167" s="210"/>
      <c r="PIU167" s="209"/>
      <c r="PIV167" s="204"/>
      <c r="PIW167" s="204"/>
      <c r="PIX167" s="204"/>
      <c r="PIY167" s="199"/>
      <c r="PIZ167" s="167"/>
      <c r="PJA167" s="199"/>
      <c r="PJB167" s="200"/>
      <c r="PJC167" s="201"/>
      <c r="PJD167" s="202"/>
      <c r="PJE167" s="202"/>
      <c r="PJF167" s="202"/>
      <c r="PJG167" s="202"/>
      <c r="PJH167" s="203"/>
      <c r="PJI167" s="204"/>
      <c r="PJJ167" s="204"/>
      <c r="PJK167" s="204"/>
      <c r="PJL167" s="205"/>
      <c r="PJM167" s="206"/>
      <c r="PJN167" s="207"/>
      <c r="PJO167" s="207"/>
      <c r="PJP167" s="208"/>
      <c r="PJQ167" s="209"/>
      <c r="PJR167" s="207"/>
      <c r="PJS167" s="210"/>
      <c r="PJT167" s="209"/>
      <c r="PJU167" s="204"/>
      <c r="PJV167" s="204"/>
      <c r="PJW167" s="204"/>
      <c r="PJX167" s="199"/>
      <c r="PJY167" s="167"/>
      <c r="PJZ167" s="199"/>
      <c r="PKA167" s="200"/>
      <c r="PKB167" s="201"/>
      <c r="PKC167" s="202"/>
      <c r="PKD167" s="202"/>
      <c r="PKE167" s="202"/>
      <c r="PKF167" s="202"/>
      <c r="PKG167" s="203"/>
      <c r="PKH167" s="204"/>
      <c r="PKI167" s="204"/>
      <c r="PKJ167" s="204"/>
      <c r="PKK167" s="205"/>
      <c r="PKL167" s="206"/>
      <c r="PKM167" s="207"/>
      <c r="PKN167" s="207"/>
      <c r="PKO167" s="208"/>
      <c r="PKP167" s="209"/>
      <c r="PKQ167" s="207"/>
      <c r="PKR167" s="210"/>
      <c r="PKS167" s="209"/>
      <c r="PKT167" s="204"/>
      <c r="PKU167" s="204"/>
      <c r="PKV167" s="204"/>
      <c r="PKW167" s="199"/>
      <c r="PKX167" s="167"/>
      <c r="PKY167" s="199"/>
      <c r="PKZ167" s="200"/>
      <c r="PLA167" s="201"/>
      <c r="PLB167" s="202"/>
      <c r="PLC167" s="202"/>
      <c r="PLD167" s="202"/>
      <c r="PLE167" s="202"/>
      <c r="PLF167" s="203"/>
      <c r="PLG167" s="204"/>
      <c r="PLH167" s="204"/>
      <c r="PLI167" s="204"/>
      <c r="PLJ167" s="205"/>
      <c r="PLK167" s="206"/>
      <c r="PLL167" s="207"/>
      <c r="PLM167" s="207"/>
      <c r="PLN167" s="208"/>
      <c r="PLO167" s="209"/>
      <c r="PLP167" s="207"/>
      <c r="PLQ167" s="210"/>
      <c r="PLR167" s="209"/>
      <c r="PLS167" s="204"/>
      <c r="PLT167" s="204"/>
      <c r="PLU167" s="204"/>
      <c r="PLV167" s="199"/>
      <c r="PLW167" s="167"/>
      <c r="PLX167" s="199"/>
      <c r="PLY167" s="200"/>
      <c r="PLZ167" s="201"/>
      <c r="PMA167" s="202"/>
      <c r="PMB167" s="202"/>
      <c r="PMC167" s="202"/>
      <c r="PMD167" s="202"/>
      <c r="PME167" s="203"/>
      <c r="PMF167" s="204"/>
      <c r="PMG167" s="204"/>
      <c r="PMH167" s="204"/>
      <c r="PMI167" s="205"/>
      <c r="PMJ167" s="206"/>
      <c r="PMK167" s="207"/>
      <c r="PML167" s="207"/>
      <c r="PMM167" s="208"/>
      <c r="PMN167" s="209"/>
      <c r="PMO167" s="207"/>
      <c r="PMP167" s="210"/>
      <c r="PMQ167" s="209"/>
      <c r="PMR167" s="204"/>
      <c r="PMS167" s="204"/>
      <c r="PMT167" s="204"/>
      <c r="PMU167" s="199"/>
      <c r="PMV167" s="167"/>
      <c r="PMW167" s="199"/>
      <c r="PMX167" s="200"/>
      <c r="PMY167" s="201"/>
      <c r="PMZ167" s="202"/>
      <c r="PNA167" s="202"/>
      <c r="PNB167" s="202"/>
      <c r="PNC167" s="202"/>
      <c r="PND167" s="203"/>
      <c r="PNE167" s="204"/>
      <c r="PNF167" s="204"/>
      <c r="PNG167" s="204"/>
      <c r="PNH167" s="205"/>
      <c r="PNI167" s="206"/>
      <c r="PNJ167" s="207"/>
      <c r="PNK167" s="207"/>
      <c r="PNL167" s="208"/>
      <c r="PNM167" s="209"/>
      <c r="PNN167" s="207"/>
      <c r="PNO167" s="210"/>
      <c r="PNP167" s="209"/>
      <c r="PNQ167" s="204"/>
      <c r="PNR167" s="204"/>
      <c r="PNS167" s="204"/>
      <c r="PNT167" s="199"/>
      <c r="PNU167" s="167"/>
      <c r="PNV167" s="199"/>
      <c r="PNW167" s="200"/>
      <c r="PNX167" s="201"/>
      <c r="PNY167" s="202"/>
      <c r="PNZ167" s="202"/>
      <c r="POA167" s="202"/>
      <c r="POB167" s="202"/>
      <c r="POC167" s="203"/>
      <c r="POD167" s="204"/>
      <c r="POE167" s="204"/>
      <c r="POF167" s="204"/>
      <c r="POG167" s="205"/>
      <c r="POH167" s="206"/>
      <c r="POI167" s="207"/>
      <c r="POJ167" s="207"/>
      <c r="POK167" s="208"/>
      <c r="POL167" s="209"/>
      <c r="POM167" s="207"/>
      <c r="PON167" s="210"/>
      <c r="POO167" s="209"/>
      <c r="POP167" s="204"/>
      <c r="POQ167" s="204"/>
      <c r="POR167" s="204"/>
      <c r="POS167" s="199"/>
      <c r="POT167" s="167"/>
      <c r="POU167" s="199"/>
      <c r="POV167" s="200"/>
      <c r="POW167" s="201"/>
      <c r="POX167" s="202"/>
      <c r="POY167" s="202"/>
      <c r="POZ167" s="202"/>
      <c r="PPA167" s="202"/>
      <c r="PPB167" s="203"/>
      <c r="PPC167" s="204"/>
      <c r="PPD167" s="204"/>
      <c r="PPE167" s="204"/>
      <c r="PPF167" s="205"/>
      <c r="PPG167" s="206"/>
      <c r="PPH167" s="207"/>
      <c r="PPI167" s="207"/>
      <c r="PPJ167" s="208"/>
      <c r="PPK167" s="209"/>
      <c r="PPL167" s="207"/>
      <c r="PPM167" s="210"/>
      <c r="PPN167" s="209"/>
      <c r="PPO167" s="204"/>
      <c r="PPP167" s="204"/>
      <c r="PPQ167" s="204"/>
      <c r="PPR167" s="199"/>
      <c r="PPS167" s="167"/>
      <c r="PPT167" s="199"/>
      <c r="PPU167" s="200"/>
      <c r="PPV167" s="201"/>
      <c r="PPW167" s="202"/>
      <c r="PPX167" s="202"/>
      <c r="PPY167" s="202"/>
      <c r="PPZ167" s="202"/>
      <c r="PQA167" s="203"/>
      <c r="PQB167" s="204"/>
      <c r="PQC167" s="204"/>
      <c r="PQD167" s="204"/>
      <c r="PQE167" s="205"/>
      <c r="PQF167" s="206"/>
      <c r="PQG167" s="207"/>
      <c r="PQH167" s="207"/>
      <c r="PQI167" s="208"/>
      <c r="PQJ167" s="209"/>
      <c r="PQK167" s="207"/>
      <c r="PQL167" s="210"/>
      <c r="PQM167" s="209"/>
      <c r="PQN167" s="204"/>
      <c r="PQO167" s="204"/>
      <c r="PQP167" s="204"/>
      <c r="PQQ167" s="199"/>
      <c r="PQR167" s="167"/>
      <c r="PQS167" s="199"/>
      <c r="PQT167" s="200"/>
      <c r="PQU167" s="201"/>
      <c r="PQV167" s="202"/>
      <c r="PQW167" s="202"/>
      <c r="PQX167" s="202"/>
      <c r="PQY167" s="202"/>
      <c r="PQZ167" s="203"/>
      <c r="PRA167" s="204"/>
      <c r="PRB167" s="204"/>
      <c r="PRC167" s="204"/>
      <c r="PRD167" s="205"/>
      <c r="PRE167" s="206"/>
      <c r="PRF167" s="207"/>
      <c r="PRG167" s="207"/>
      <c r="PRH167" s="208"/>
      <c r="PRI167" s="209"/>
      <c r="PRJ167" s="207"/>
      <c r="PRK167" s="210"/>
      <c r="PRL167" s="209"/>
      <c r="PRM167" s="204"/>
      <c r="PRN167" s="204"/>
      <c r="PRO167" s="204"/>
      <c r="PRP167" s="199"/>
      <c r="PRQ167" s="167"/>
      <c r="PRR167" s="199"/>
      <c r="PRS167" s="200"/>
      <c r="PRT167" s="201"/>
      <c r="PRU167" s="202"/>
      <c r="PRV167" s="202"/>
      <c r="PRW167" s="202"/>
      <c r="PRX167" s="202"/>
      <c r="PRY167" s="203"/>
      <c r="PRZ167" s="204"/>
      <c r="PSA167" s="204"/>
      <c r="PSB167" s="204"/>
      <c r="PSC167" s="205"/>
      <c r="PSD167" s="206"/>
      <c r="PSE167" s="207"/>
      <c r="PSF167" s="207"/>
      <c r="PSG167" s="208"/>
      <c r="PSH167" s="209"/>
      <c r="PSI167" s="207"/>
      <c r="PSJ167" s="210"/>
      <c r="PSK167" s="209"/>
      <c r="PSL167" s="204"/>
      <c r="PSM167" s="204"/>
      <c r="PSN167" s="204"/>
      <c r="PSO167" s="199"/>
      <c r="PSP167" s="167"/>
      <c r="PSQ167" s="199"/>
      <c r="PSR167" s="200"/>
      <c r="PSS167" s="201"/>
      <c r="PST167" s="202"/>
      <c r="PSU167" s="202"/>
      <c r="PSV167" s="202"/>
      <c r="PSW167" s="202"/>
      <c r="PSX167" s="203"/>
      <c r="PSY167" s="204"/>
      <c r="PSZ167" s="204"/>
      <c r="PTA167" s="204"/>
      <c r="PTB167" s="205"/>
      <c r="PTC167" s="206"/>
      <c r="PTD167" s="207"/>
      <c r="PTE167" s="207"/>
      <c r="PTF167" s="208"/>
      <c r="PTG167" s="209"/>
      <c r="PTH167" s="207"/>
      <c r="PTI167" s="210"/>
      <c r="PTJ167" s="209"/>
      <c r="PTK167" s="204"/>
      <c r="PTL167" s="204"/>
      <c r="PTM167" s="204"/>
      <c r="PTN167" s="199"/>
      <c r="PTO167" s="167"/>
      <c r="PTP167" s="199"/>
      <c r="PTQ167" s="200"/>
      <c r="PTR167" s="201"/>
      <c r="PTS167" s="202"/>
      <c r="PTT167" s="202"/>
      <c r="PTU167" s="202"/>
      <c r="PTV167" s="202"/>
      <c r="PTW167" s="203"/>
      <c r="PTX167" s="204"/>
      <c r="PTY167" s="204"/>
      <c r="PTZ167" s="204"/>
      <c r="PUA167" s="205"/>
      <c r="PUB167" s="206"/>
      <c r="PUC167" s="207"/>
      <c r="PUD167" s="207"/>
      <c r="PUE167" s="208"/>
      <c r="PUF167" s="209"/>
      <c r="PUG167" s="207"/>
      <c r="PUH167" s="210"/>
      <c r="PUI167" s="209"/>
      <c r="PUJ167" s="204"/>
      <c r="PUK167" s="204"/>
      <c r="PUL167" s="204"/>
      <c r="PUM167" s="199"/>
      <c r="PUN167" s="167"/>
      <c r="PUO167" s="199"/>
      <c r="PUP167" s="200"/>
      <c r="PUQ167" s="201"/>
      <c r="PUR167" s="202"/>
      <c r="PUS167" s="202"/>
      <c r="PUT167" s="202"/>
      <c r="PUU167" s="202"/>
      <c r="PUV167" s="203"/>
      <c r="PUW167" s="204"/>
      <c r="PUX167" s="204"/>
      <c r="PUY167" s="204"/>
      <c r="PUZ167" s="205"/>
      <c r="PVA167" s="206"/>
      <c r="PVB167" s="207"/>
      <c r="PVC167" s="207"/>
      <c r="PVD167" s="208"/>
      <c r="PVE167" s="209"/>
      <c r="PVF167" s="207"/>
      <c r="PVG167" s="210"/>
      <c r="PVH167" s="209"/>
      <c r="PVI167" s="204"/>
      <c r="PVJ167" s="204"/>
      <c r="PVK167" s="204"/>
      <c r="PVL167" s="199"/>
      <c r="PVM167" s="167"/>
      <c r="PVN167" s="199"/>
      <c r="PVO167" s="200"/>
      <c r="PVP167" s="201"/>
      <c r="PVQ167" s="202"/>
      <c r="PVR167" s="202"/>
      <c r="PVS167" s="202"/>
      <c r="PVT167" s="202"/>
      <c r="PVU167" s="203"/>
      <c r="PVV167" s="204"/>
      <c r="PVW167" s="204"/>
      <c r="PVX167" s="204"/>
      <c r="PVY167" s="205"/>
      <c r="PVZ167" s="206"/>
      <c r="PWA167" s="207"/>
      <c r="PWB167" s="207"/>
      <c r="PWC167" s="208"/>
      <c r="PWD167" s="209"/>
      <c r="PWE167" s="207"/>
      <c r="PWF167" s="210"/>
      <c r="PWG167" s="209"/>
      <c r="PWH167" s="204"/>
      <c r="PWI167" s="204"/>
      <c r="PWJ167" s="204"/>
      <c r="PWK167" s="199"/>
      <c r="PWL167" s="167"/>
      <c r="PWM167" s="199"/>
      <c r="PWN167" s="200"/>
      <c r="PWO167" s="201"/>
      <c r="PWP167" s="202"/>
      <c r="PWQ167" s="202"/>
      <c r="PWR167" s="202"/>
      <c r="PWS167" s="202"/>
      <c r="PWT167" s="203"/>
      <c r="PWU167" s="204"/>
      <c r="PWV167" s="204"/>
      <c r="PWW167" s="204"/>
      <c r="PWX167" s="205"/>
      <c r="PWY167" s="206"/>
      <c r="PWZ167" s="207"/>
      <c r="PXA167" s="207"/>
      <c r="PXB167" s="208"/>
      <c r="PXC167" s="209"/>
      <c r="PXD167" s="207"/>
      <c r="PXE167" s="210"/>
      <c r="PXF167" s="209"/>
      <c r="PXG167" s="204"/>
      <c r="PXH167" s="204"/>
      <c r="PXI167" s="204"/>
      <c r="PXJ167" s="199"/>
      <c r="PXK167" s="167"/>
      <c r="PXL167" s="199"/>
      <c r="PXM167" s="200"/>
      <c r="PXN167" s="201"/>
      <c r="PXO167" s="202"/>
      <c r="PXP167" s="202"/>
      <c r="PXQ167" s="202"/>
      <c r="PXR167" s="202"/>
      <c r="PXS167" s="203"/>
      <c r="PXT167" s="204"/>
      <c r="PXU167" s="204"/>
      <c r="PXV167" s="204"/>
      <c r="PXW167" s="205"/>
      <c r="PXX167" s="206"/>
      <c r="PXY167" s="207"/>
      <c r="PXZ167" s="207"/>
      <c r="PYA167" s="208"/>
      <c r="PYB167" s="209"/>
      <c r="PYC167" s="207"/>
      <c r="PYD167" s="210"/>
      <c r="PYE167" s="209"/>
      <c r="PYF167" s="204"/>
      <c r="PYG167" s="204"/>
      <c r="PYH167" s="204"/>
      <c r="PYI167" s="199"/>
      <c r="PYJ167" s="167"/>
      <c r="PYK167" s="199"/>
      <c r="PYL167" s="200"/>
      <c r="PYM167" s="201"/>
      <c r="PYN167" s="202"/>
      <c r="PYO167" s="202"/>
      <c r="PYP167" s="202"/>
      <c r="PYQ167" s="202"/>
      <c r="PYR167" s="203"/>
      <c r="PYS167" s="204"/>
      <c r="PYT167" s="204"/>
      <c r="PYU167" s="204"/>
      <c r="PYV167" s="205"/>
      <c r="PYW167" s="206"/>
      <c r="PYX167" s="207"/>
      <c r="PYY167" s="207"/>
      <c r="PYZ167" s="208"/>
      <c r="PZA167" s="209"/>
      <c r="PZB167" s="207"/>
      <c r="PZC167" s="210"/>
      <c r="PZD167" s="209"/>
      <c r="PZE167" s="204"/>
      <c r="PZF167" s="204"/>
      <c r="PZG167" s="204"/>
      <c r="PZH167" s="199"/>
      <c r="PZI167" s="167"/>
      <c r="PZJ167" s="199"/>
      <c r="PZK167" s="200"/>
      <c r="PZL167" s="201"/>
      <c r="PZM167" s="202"/>
      <c r="PZN167" s="202"/>
      <c r="PZO167" s="202"/>
      <c r="PZP167" s="202"/>
      <c r="PZQ167" s="203"/>
      <c r="PZR167" s="204"/>
      <c r="PZS167" s="204"/>
      <c r="PZT167" s="204"/>
      <c r="PZU167" s="205"/>
      <c r="PZV167" s="206"/>
      <c r="PZW167" s="207"/>
      <c r="PZX167" s="207"/>
      <c r="PZY167" s="208"/>
      <c r="PZZ167" s="209"/>
      <c r="QAA167" s="207"/>
      <c r="QAB167" s="210"/>
      <c r="QAC167" s="209"/>
      <c r="QAD167" s="204"/>
      <c r="QAE167" s="204"/>
      <c r="QAF167" s="204"/>
      <c r="QAG167" s="199"/>
      <c r="QAH167" s="167"/>
      <c r="QAI167" s="199"/>
      <c r="QAJ167" s="200"/>
      <c r="QAK167" s="201"/>
      <c r="QAL167" s="202"/>
      <c r="QAM167" s="202"/>
      <c r="QAN167" s="202"/>
      <c r="QAO167" s="202"/>
      <c r="QAP167" s="203"/>
      <c r="QAQ167" s="204"/>
      <c r="QAR167" s="204"/>
      <c r="QAS167" s="204"/>
      <c r="QAT167" s="205"/>
      <c r="QAU167" s="206"/>
      <c r="QAV167" s="207"/>
      <c r="QAW167" s="207"/>
      <c r="QAX167" s="208"/>
      <c r="QAY167" s="209"/>
      <c r="QAZ167" s="207"/>
      <c r="QBA167" s="210"/>
      <c r="QBB167" s="209"/>
      <c r="QBC167" s="204"/>
      <c r="QBD167" s="204"/>
      <c r="QBE167" s="204"/>
      <c r="QBF167" s="199"/>
      <c r="QBG167" s="167"/>
      <c r="QBH167" s="199"/>
      <c r="QBI167" s="200"/>
      <c r="QBJ167" s="201"/>
      <c r="QBK167" s="202"/>
      <c r="QBL167" s="202"/>
      <c r="QBM167" s="202"/>
      <c r="QBN167" s="202"/>
      <c r="QBO167" s="203"/>
      <c r="QBP167" s="204"/>
      <c r="QBQ167" s="204"/>
      <c r="QBR167" s="204"/>
      <c r="QBS167" s="205"/>
      <c r="QBT167" s="206"/>
      <c r="QBU167" s="207"/>
      <c r="QBV167" s="207"/>
      <c r="QBW167" s="208"/>
      <c r="QBX167" s="209"/>
      <c r="QBY167" s="207"/>
      <c r="QBZ167" s="210"/>
      <c r="QCA167" s="209"/>
      <c r="QCB167" s="204"/>
      <c r="QCC167" s="204"/>
      <c r="QCD167" s="204"/>
      <c r="QCE167" s="199"/>
      <c r="QCF167" s="167"/>
      <c r="QCG167" s="199"/>
      <c r="QCH167" s="200"/>
      <c r="QCI167" s="201"/>
      <c r="QCJ167" s="202"/>
      <c r="QCK167" s="202"/>
      <c r="QCL167" s="202"/>
      <c r="QCM167" s="202"/>
      <c r="QCN167" s="203"/>
      <c r="QCO167" s="204"/>
      <c r="QCP167" s="204"/>
      <c r="QCQ167" s="204"/>
      <c r="QCR167" s="205"/>
      <c r="QCS167" s="206"/>
      <c r="QCT167" s="207"/>
      <c r="QCU167" s="207"/>
      <c r="QCV167" s="208"/>
      <c r="QCW167" s="209"/>
      <c r="QCX167" s="207"/>
      <c r="QCY167" s="210"/>
      <c r="QCZ167" s="209"/>
      <c r="QDA167" s="204"/>
      <c r="QDB167" s="204"/>
      <c r="QDC167" s="204"/>
      <c r="QDD167" s="199"/>
      <c r="QDE167" s="167"/>
      <c r="QDF167" s="199"/>
      <c r="QDG167" s="200"/>
      <c r="QDH167" s="201"/>
      <c r="QDI167" s="202"/>
      <c r="QDJ167" s="202"/>
      <c r="QDK167" s="202"/>
      <c r="QDL167" s="202"/>
      <c r="QDM167" s="203"/>
      <c r="QDN167" s="204"/>
      <c r="QDO167" s="204"/>
      <c r="QDP167" s="204"/>
      <c r="QDQ167" s="205"/>
      <c r="QDR167" s="206"/>
      <c r="QDS167" s="207"/>
      <c r="QDT167" s="207"/>
      <c r="QDU167" s="208"/>
      <c r="QDV167" s="209"/>
      <c r="QDW167" s="207"/>
      <c r="QDX167" s="210"/>
      <c r="QDY167" s="209"/>
      <c r="QDZ167" s="204"/>
      <c r="QEA167" s="204"/>
      <c r="QEB167" s="204"/>
      <c r="QEC167" s="199"/>
      <c r="QED167" s="167"/>
      <c r="QEE167" s="199"/>
      <c r="QEF167" s="200"/>
      <c r="QEG167" s="201"/>
      <c r="QEH167" s="202"/>
      <c r="QEI167" s="202"/>
      <c r="QEJ167" s="202"/>
      <c r="QEK167" s="202"/>
      <c r="QEL167" s="203"/>
      <c r="QEM167" s="204"/>
      <c r="QEN167" s="204"/>
      <c r="QEO167" s="204"/>
      <c r="QEP167" s="205"/>
      <c r="QEQ167" s="206"/>
      <c r="QER167" s="207"/>
      <c r="QES167" s="207"/>
      <c r="QET167" s="208"/>
      <c r="QEU167" s="209"/>
      <c r="QEV167" s="207"/>
      <c r="QEW167" s="210"/>
      <c r="QEX167" s="209"/>
      <c r="QEY167" s="204"/>
      <c r="QEZ167" s="204"/>
      <c r="QFA167" s="204"/>
      <c r="QFB167" s="199"/>
      <c r="QFC167" s="167"/>
      <c r="QFD167" s="199"/>
      <c r="QFE167" s="200"/>
      <c r="QFF167" s="201"/>
      <c r="QFG167" s="202"/>
      <c r="QFH167" s="202"/>
      <c r="QFI167" s="202"/>
      <c r="QFJ167" s="202"/>
      <c r="QFK167" s="203"/>
      <c r="QFL167" s="204"/>
      <c r="QFM167" s="204"/>
      <c r="QFN167" s="204"/>
      <c r="QFO167" s="205"/>
      <c r="QFP167" s="206"/>
      <c r="QFQ167" s="207"/>
      <c r="QFR167" s="207"/>
      <c r="QFS167" s="208"/>
      <c r="QFT167" s="209"/>
      <c r="QFU167" s="207"/>
      <c r="QFV167" s="210"/>
      <c r="QFW167" s="209"/>
      <c r="QFX167" s="204"/>
      <c r="QFY167" s="204"/>
      <c r="QFZ167" s="204"/>
      <c r="QGA167" s="199"/>
      <c r="QGB167" s="167"/>
      <c r="QGC167" s="199"/>
      <c r="QGD167" s="200"/>
      <c r="QGE167" s="201"/>
      <c r="QGF167" s="202"/>
      <c r="QGG167" s="202"/>
      <c r="QGH167" s="202"/>
      <c r="QGI167" s="202"/>
      <c r="QGJ167" s="203"/>
      <c r="QGK167" s="204"/>
      <c r="QGL167" s="204"/>
      <c r="QGM167" s="204"/>
      <c r="QGN167" s="205"/>
      <c r="QGO167" s="206"/>
      <c r="QGP167" s="207"/>
      <c r="QGQ167" s="207"/>
      <c r="QGR167" s="208"/>
      <c r="QGS167" s="209"/>
      <c r="QGT167" s="207"/>
      <c r="QGU167" s="210"/>
      <c r="QGV167" s="209"/>
      <c r="QGW167" s="204"/>
      <c r="QGX167" s="204"/>
      <c r="QGY167" s="204"/>
      <c r="QGZ167" s="199"/>
      <c r="QHA167" s="167"/>
      <c r="QHB167" s="199"/>
      <c r="QHC167" s="200"/>
      <c r="QHD167" s="201"/>
      <c r="QHE167" s="202"/>
      <c r="QHF167" s="202"/>
      <c r="QHG167" s="202"/>
      <c r="QHH167" s="202"/>
      <c r="QHI167" s="203"/>
      <c r="QHJ167" s="204"/>
      <c r="QHK167" s="204"/>
      <c r="QHL167" s="204"/>
      <c r="QHM167" s="205"/>
      <c r="QHN167" s="206"/>
      <c r="QHO167" s="207"/>
      <c r="QHP167" s="207"/>
      <c r="QHQ167" s="208"/>
      <c r="QHR167" s="209"/>
      <c r="QHS167" s="207"/>
      <c r="QHT167" s="210"/>
      <c r="QHU167" s="209"/>
      <c r="QHV167" s="204"/>
      <c r="QHW167" s="204"/>
      <c r="QHX167" s="204"/>
      <c r="QHY167" s="199"/>
      <c r="QHZ167" s="167"/>
      <c r="QIA167" s="199"/>
      <c r="QIB167" s="200"/>
      <c r="QIC167" s="201"/>
      <c r="QID167" s="202"/>
      <c r="QIE167" s="202"/>
      <c r="QIF167" s="202"/>
      <c r="QIG167" s="202"/>
      <c r="QIH167" s="203"/>
      <c r="QII167" s="204"/>
      <c r="QIJ167" s="204"/>
      <c r="QIK167" s="204"/>
      <c r="QIL167" s="205"/>
      <c r="QIM167" s="206"/>
      <c r="QIN167" s="207"/>
      <c r="QIO167" s="207"/>
      <c r="QIP167" s="208"/>
      <c r="QIQ167" s="209"/>
      <c r="QIR167" s="207"/>
      <c r="QIS167" s="210"/>
      <c r="QIT167" s="209"/>
      <c r="QIU167" s="204"/>
      <c r="QIV167" s="204"/>
      <c r="QIW167" s="204"/>
      <c r="QIX167" s="199"/>
      <c r="QIY167" s="167"/>
      <c r="QIZ167" s="199"/>
      <c r="QJA167" s="200"/>
      <c r="QJB167" s="201"/>
      <c r="QJC167" s="202"/>
      <c r="QJD167" s="202"/>
      <c r="QJE167" s="202"/>
      <c r="QJF167" s="202"/>
      <c r="QJG167" s="203"/>
      <c r="QJH167" s="204"/>
      <c r="QJI167" s="204"/>
      <c r="QJJ167" s="204"/>
      <c r="QJK167" s="205"/>
      <c r="QJL167" s="206"/>
      <c r="QJM167" s="207"/>
      <c r="QJN167" s="207"/>
      <c r="QJO167" s="208"/>
      <c r="QJP167" s="209"/>
      <c r="QJQ167" s="207"/>
      <c r="QJR167" s="210"/>
      <c r="QJS167" s="209"/>
      <c r="QJT167" s="204"/>
      <c r="QJU167" s="204"/>
      <c r="QJV167" s="204"/>
      <c r="QJW167" s="199"/>
      <c r="QJX167" s="167"/>
      <c r="QJY167" s="199"/>
      <c r="QJZ167" s="200"/>
      <c r="QKA167" s="201"/>
      <c r="QKB167" s="202"/>
      <c r="QKC167" s="202"/>
      <c r="QKD167" s="202"/>
      <c r="QKE167" s="202"/>
      <c r="QKF167" s="203"/>
      <c r="QKG167" s="204"/>
      <c r="QKH167" s="204"/>
      <c r="QKI167" s="204"/>
      <c r="QKJ167" s="205"/>
      <c r="QKK167" s="206"/>
      <c r="QKL167" s="207"/>
      <c r="QKM167" s="207"/>
      <c r="QKN167" s="208"/>
      <c r="QKO167" s="209"/>
      <c r="QKP167" s="207"/>
      <c r="QKQ167" s="210"/>
      <c r="QKR167" s="209"/>
      <c r="QKS167" s="204"/>
      <c r="QKT167" s="204"/>
      <c r="QKU167" s="204"/>
      <c r="QKV167" s="199"/>
      <c r="QKW167" s="167"/>
      <c r="QKX167" s="199"/>
      <c r="QKY167" s="200"/>
      <c r="QKZ167" s="201"/>
      <c r="QLA167" s="202"/>
      <c r="QLB167" s="202"/>
      <c r="QLC167" s="202"/>
      <c r="QLD167" s="202"/>
      <c r="QLE167" s="203"/>
      <c r="QLF167" s="204"/>
      <c r="QLG167" s="204"/>
      <c r="QLH167" s="204"/>
      <c r="QLI167" s="205"/>
      <c r="QLJ167" s="206"/>
      <c r="QLK167" s="207"/>
      <c r="QLL167" s="207"/>
      <c r="QLM167" s="208"/>
      <c r="QLN167" s="209"/>
      <c r="QLO167" s="207"/>
      <c r="QLP167" s="210"/>
      <c r="QLQ167" s="209"/>
      <c r="QLR167" s="204"/>
      <c r="QLS167" s="204"/>
      <c r="QLT167" s="204"/>
      <c r="QLU167" s="199"/>
      <c r="QLV167" s="167"/>
      <c r="QLW167" s="199"/>
      <c r="QLX167" s="200"/>
      <c r="QLY167" s="201"/>
      <c r="QLZ167" s="202"/>
      <c r="QMA167" s="202"/>
      <c r="QMB167" s="202"/>
      <c r="QMC167" s="202"/>
      <c r="QMD167" s="203"/>
      <c r="QME167" s="204"/>
      <c r="QMF167" s="204"/>
      <c r="QMG167" s="204"/>
      <c r="QMH167" s="205"/>
      <c r="QMI167" s="206"/>
      <c r="QMJ167" s="207"/>
      <c r="QMK167" s="207"/>
      <c r="QML167" s="208"/>
      <c r="QMM167" s="209"/>
      <c r="QMN167" s="207"/>
      <c r="QMO167" s="210"/>
      <c r="QMP167" s="209"/>
      <c r="QMQ167" s="204"/>
      <c r="QMR167" s="204"/>
      <c r="QMS167" s="204"/>
      <c r="QMT167" s="199"/>
      <c r="QMU167" s="167"/>
      <c r="QMV167" s="199"/>
      <c r="QMW167" s="200"/>
      <c r="QMX167" s="201"/>
      <c r="QMY167" s="202"/>
      <c r="QMZ167" s="202"/>
      <c r="QNA167" s="202"/>
      <c r="QNB167" s="202"/>
      <c r="QNC167" s="203"/>
      <c r="QND167" s="204"/>
      <c r="QNE167" s="204"/>
      <c r="QNF167" s="204"/>
      <c r="QNG167" s="205"/>
      <c r="QNH167" s="206"/>
      <c r="QNI167" s="207"/>
      <c r="QNJ167" s="207"/>
      <c r="QNK167" s="208"/>
      <c r="QNL167" s="209"/>
      <c r="QNM167" s="207"/>
      <c r="QNN167" s="210"/>
      <c r="QNO167" s="209"/>
      <c r="QNP167" s="204"/>
      <c r="QNQ167" s="204"/>
      <c r="QNR167" s="204"/>
      <c r="QNS167" s="199"/>
      <c r="QNT167" s="167"/>
      <c r="QNU167" s="199"/>
      <c r="QNV167" s="200"/>
      <c r="QNW167" s="201"/>
      <c r="QNX167" s="202"/>
      <c r="QNY167" s="202"/>
      <c r="QNZ167" s="202"/>
      <c r="QOA167" s="202"/>
      <c r="QOB167" s="203"/>
      <c r="QOC167" s="204"/>
      <c r="QOD167" s="204"/>
      <c r="QOE167" s="204"/>
      <c r="QOF167" s="205"/>
      <c r="QOG167" s="206"/>
      <c r="QOH167" s="207"/>
      <c r="QOI167" s="207"/>
      <c r="QOJ167" s="208"/>
      <c r="QOK167" s="209"/>
      <c r="QOL167" s="207"/>
      <c r="QOM167" s="210"/>
      <c r="QON167" s="209"/>
      <c r="QOO167" s="204"/>
      <c r="QOP167" s="204"/>
      <c r="QOQ167" s="204"/>
      <c r="QOR167" s="199"/>
      <c r="QOS167" s="167"/>
      <c r="QOT167" s="199"/>
      <c r="QOU167" s="200"/>
      <c r="QOV167" s="201"/>
      <c r="QOW167" s="202"/>
      <c r="QOX167" s="202"/>
      <c r="QOY167" s="202"/>
      <c r="QOZ167" s="202"/>
      <c r="QPA167" s="203"/>
      <c r="QPB167" s="204"/>
      <c r="QPC167" s="204"/>
      <c r="QPD167" s="204"/>
      <c r="QPE167" s="205"/>
      <c r="QPF167" s="206"/>
      <c r="QPG167" s="207"/>
      <c r="QPH167" s="207"/>
      <c r="QPI167" s="208"/>
      <c r="QPJ167" s="209"/>
      <c r="QPK167" s="207"/>
      <c r="QPL167" s="210"/>
      <c r="QPM167" s="209"/>
      <c r="QPN167" s="204"/>
      <c r="QPO167" s="204"/>
      <c r="QPP167" s="204"/>
      <c r="QPQ167" s="199"/>
      <c r="QPR167" s="167"/>
      <c r="QPS167" s="199"/>
      <c r="QPT167" s="200"/>
      <c r="QPU167" s="201"/>
      <c r="QPV167" s="202"/>
      <c r="QPW167" s="202"/>
      <c r="QPX167" s="202"/>
      <c r="QPY167" s="202"/>
      <c r="QPZ167" s="203"/>
      <c r="QQA167" s="204"/>
      <c r="QQB167" s="204"/>
      <c r="QQC167" s="204"/>
      <c r="QQD167" s="205"/>
      <c r="QQE167" s="206"/>
      <c r="QQF167" s="207"/>
      <c r="QQG167" s="207"/>
      <c r="QQH167" s="208"/>
      <c r="QQI167" s="209"/>
      <c r="QQJ167" s="207"/>
      <c r="QQK167" s="210"/>
      <c r="QQL167" s="209"/>
      <c r="QQM167" s="204"/>
      <c r="QQN167" s="204"/>
      <c r="QQO167" s="204"/>
      <c r="QQP167" s="199"/>
      <c r="QQQ167" s="167"/>
      <c r="QQR167" s="199"/>
      <c r="QQS167" s="200"/>
      <c r="QQT167" s="201"/>
      <c r="QQU167" s="202"/>
      <c r="QQV167" s="202"/>
      <c r="QQW167" s="202"/>
      <c r="QQX167" s="202"/>
      <c r="QQY167" s="203"/>
      <c r="QQZ167" s="204"/>
      <c r="QRA167" s="204"/>
      <c r="QRB167" s="204"/>
      <c r="QRC167" s="205"/>
      <c r="QRD167" s="206"/>
      <c r="QRE167" s="207"/>
      <c r="QRF167" s="207"/>
      <c r="QRG167" s="208"/>
      <c r="QRH167" s="209"/>
      <c r="QRI167" s="207"/>
      <c r="QRJ167" s="210"/>
      <c r="QRK167" s="209"/>
      <c r="QRL167" s="204"/>
      <c r="QRM167" s="204"/>
      <c r="QRN167" s="204"/>
      <c r="QRO167" s="199"/>
      <c r="QRP167" s="167"/>
      <c r="QRQ167" s="199"/>
      <c r="QRR167" s="200"/>
      <c r="QRS167" s="201"/>
      <c r="QRT167" s="202"/>
      <c r="QRU167" s="202"/>
      <c r="QRV167" s="202"/>
      <c r="QRW167" s="202"/>
      <c r="QRX167" s="203"/>
      <c r="QRY167" s="204"/>
      <c r="QRZ167" s="204"/>
      <c r="QSA167" s="204"/>
      <c r="QSB167" s="205"/>
      <c r="QSC167" s="206"/>
      <c r="QSD167" s="207"/>
      <c r="QSE167" s="207"/>
      <c r="QSF167" s="208"/>
      <c r="QSG167" s="209"/>
      <c r="QSH167" s="207"/>
      <c r="QSI167" s="210"/>
      <c r="QSJ167" s="209"/>
      <c r="QSK167" s="204"/>
      <c r="QSL167" s="204"/>
      <c r="QSM167" s="204"/>
      <c r="QSN167" s="199"/>
      <c r="QSO167" s="167"/>
      <c r="QSP167" s="199"/>
      <c r="QSQ167" s="200"/>
      <c r="QSR167" s="201"/>
      <c r="QSS167" s="202"/>
      <c r="QST167" s="202"/>
      <c r="QSU167" s="202"/>
      <c r="QSV167" s="202"/>
      <c r="QSW167" s="203"/>
      <c r="QSX167" s="204"/>
      <c r="QSY167" s="204"/>
      <c r="QSZ167" s="204"/>
      <c r="QTA167" s="205"/>
      <c r="QTB167" s="206"/>
      <c r="QTC167" s="207"/>
      <c r="QTD167" s="207"/>
      <c r="QTE167" s="208"/>
      <c r="QTF167" s="209"/>
      <c r="QTG167" s="207"/>
      <c r="QTH167" s="210"/>
      <c r="QTI167" s="209"/>
      <c r="QTJ167" s="204"/>
      <c r="QTK167" s="204"/>
      <c r="QTL167" s="204"/>
      <c r="QTM167" s="199"/>
      <c r="QTN167" s="167"/>
      <c r="QTO167" s="199"/>
      <c r="QTP167" s="200"/>
      <c r="QTQ167" s="201"/>
      <c r="QTR167" s="202"/>
      <c r="QTS167" s="202"/>
      <c r="QTT167" s="202"/>
      <c r="QTU167" s="202"/>
      <c r="QTV167" s="203"/>
      <c r="QTW167" s="204"/>
      <c r="QTX167" s="204"/>
      <c r="QTY167" s="204"/>
      <c r="QTZ167" s="205"/>
      <c r="QUA167" s="206"/>
      <c r="QUB167" s="207"/>
      <c r="QUC167" s="207"/>
      <c r="QUD167" s="208"/>
      <c r="QUE167" s="209"/>
      <c r="QUF167" s="207"/>
      <c r="QUG167" s="210"/>
      <c r="QUH167" s="209"/>
      <c r="QUI167" s="204"/>
      <c r="QUJ167" s="204"/>
      <c r="QUK167" s="204"/>
      <c r="QUL167" s="199"/>
      <c r="QUM167" s="167"/>
      <c r="QUN167" s="199"/>
      <c r="QUO167" s="200"/>
      <c r="QUP167" s="201"/>
      <c r="QUQ167" s="202"/>
      <c r="QUR167" s="202"/>
      <c r="QUS167" s="202"/>
      <c r="QUT167" s="202"/>
      <c r="QUU167" s="203"/>
      <c r="QUV167" s="204"/>
      <c r="QUW167" s="204"/>
      <c r="QUX167" s="204"/>
      <c r="QUY167" s="205"/>
      <c r="QUZ167" s="206"/>
      <c r="QVA167" s="207"/>
      <c r="QVB167" s="207"/>
      <c r="QVC167" s="208"/>
      <c r="QVD167" s="209"/>
      <c r="QVE167" s="207"/>
      <c r="QVF167" s="210"/>
      <c r="QVG167" s="209"/>
      <c r="QVH167" s="204"/>
      <c r="QVI167" s="204"/>
      <c r="QVJ167" s="204"/>
      <c r="QVK167" s="199"/>
      <c r="QVL167" s="167"/>
      <c r="QVM167" s="199"/>
      <c r="QVN167" s="200"/>
      <c r="QVO167" s="201"/>
      <c r="QVP167" s="202"/>
      <c r="QVQ167" s="202"/>
      <c r="QVR167" s="202"/>
      <c r="QVS167" s="202"/>
      <c r="QVT167" s="203"/>
      <c r="QVU167" s="204"/>
      <c r="QVV167" s="204"/>
      <c r="QVW167" s="204"/>
      <c r="QVX167" s="205"/>
      <c r="QVY167" s="206"/>
      <c r="QVZ167" s="207"/>
      <c r="QWA167" s="207"/>
      <c r="QWB167" s="208"/>
      <c r="QWC167" s="209"/>
      <c r="QWD167" s="207"/>
      <c r="QWE167" s="210"/>
      <c r="QWF167" s="209"/>
      <c r="QWG167" s="204"/>
      <c r="QWH167" s="204"/>
      <c r="QWI167" s="204"/>
      <c r="QWJ167" s="199"/>
      <c r="QWK167" s="167"/>
      <c r="QWL167" s="199"/>
      <c r="QWM167" s="200"/>
      <c r="QWN167" s="201"/>
      <c r="QWO167" s="202"/>
      <c r="QWP167" s="202"/>
      <c r="QWQ167" s="202"/>
      <c r="QWR167" s="202"/>
      <c r="QWS167" s="203"/>
      <c r="QWT167" s="204"/>
      <c r="QWU167" s="204"/>
      <c r="QWV167" s="204"/>
      <c r="QWW167" s="205"/>
      <c r="QWX167" s="206"/>
      <c r="QWY167" s="207"/>
      <c r="QWZ167" s="207"/>
      <c r="QXA167" s="208"/>
      <c r="QXB167" s="209"/>
      <c r="QXC167" s="207"/>
      <c r="QXD167" s="210"/>
      <c r="QXE167" s="209"/>
      <c r="QXF167" s="204"/>
      <c r="QXG167" s="204"/>
      <c r="QXH167" s="204"/>
      <c r="QXI167" s="199"/>
      <c r="QXJ167" s="167"/>
      <c r="QXK167" s="199"/>
      <c r="QXL167" s="200"/>
      <c r="QXM167" s="201"/>
      <c r="QXN167" s="202"/>
      <c r="QXO167" s="202"/>
      <c r="QXP167" s="202"/>
      <c r="QXQ167" s="202"/>
      <c r="QXR167" s="203"/>
      <c r="QXS167" s="204"/>
      <c r="QXT167" s="204"/>
      <c r="QXU167" s="204"/>
      <c r="QXV167" s="205"/>
      <c r="QXW167" s="206"/>
      <c r="QXX167" s="207"/>
      <c r="QXY167" s="207"/>
      <c r="QXZ167" s="208"/>
      <c r="QYA167" s="209"/>
      <c r="QYB167" s="207"/>
      <c r="QYC167" s="210"/>
      <c r="QYD167" s="209"/>
      <c r="QYE167" s="204"/>
      <c r="QYF167" s="204"/>
      <c r="QYG167" s="204"/>
      <c r="QYH167" s="199"/>
      <c r="QYI167" s="167"/>
      <c r="QYJ167" s="199"/>
      <c r="QYK167" s="200"/>
      <c r="QYL167" s="201"/>
      <c r="QYM167" s="202"/>
      <c r="QYN167" s="202"/>
      <c r="QYO167" s="202"/>
      <c r="QYP167" s="202"/>
      <c r="QYQ167" s="203"/>
      <c r="QYR167" s="204"/>
      <c r="QYS167" s="204"/>
      <c r="QYT167" s="204"/>
      <c r="QYU167" s="205"/>
      <c r="QYV167" s="206"/>
      <c r="QYW167" s="207"/>
      <c r="QYX167" s="207"/>
      <c r="QYY167" s="208"/>
      <c r="QYZ167" s="209"/>
      <c r="QZA167" s="207"/>
      <c r="QZB167" s="210"/>
      <c r="QZC167" s="209"/>
      <c r="QZD167" s="204"/>
      <c r="QZE167" s="204"/>
      <c r="QZF167" s="204"/>
      <c r="QZG167" s="199"/>
      <c r="QZH167" s="167"/>
      <c r="QZI167" s="199"/>
      <c r="QZJ167" s="200"/>
      <c r="QZK167" s="201"/>
      <c r="QZL167" s="202"/>
      <c r="QZM167" s="202"/>
      <c r="QZN167" s="202"/>
      <c r="QZO167" s="202"/>
      <c r="QZP167" s="203"/>
      <c r="QZQ167" s="204"/>
      <c r="QZR167" s="204"/>
      <c r="QZS167" s="204"/>
      <c r="QZT167" s="205"/>
      <c r="QZU167" s="206"/>
      <c r="QZV167" s="207"/>
      <c r="QZW167" s="207"/>
      <c r="QZX167" s="208"/>
      <c r="QZY167" s="209"/>
      <c r="QZZ167" s="207"/>
      <c r="RAA167" s="210"/>
      <c r="RAB167" s="209"/>
      <c r="RAC167" s="204"/>
      <c r="RAD167" s="204"/>
      <c r="RAE167" s="204"/>
      <c r="RAF167" s="199"/>
      <c r="RAG167" s="167"/>
      <c r="RAH167" s="199"/>
      <c r="RAI167" s="200"/>
      <c r="RAJ167" s="201"/>
      <c r="RAK167" s="202"/>
      <c r="RAL167" s="202"/>
      <c r="RAM167" s="202"/>
      <c r="RAN167" s="202"/>
      <c r="RAO167" s="203"/>
      <c r="RAP167" s="204"/>
      <c r="RAQ167" s="204"/>
      <c r="RAR167" s="204"/>
      <c r="RAS167" s="205"/>
      <c r="RAT167" s="206"/>
      <c r="RAU167" s="207"/>
      <c r="RAV167" s="207"/>
      <c r="RAW167" s="208"/>
      <c r="RAX167" s="209"/>
      <c r="RAY167" s="207"/>
      <c r="RAZ167" s="210"/>
      <c r="RBA167" s="209"/>
      <c r="RBB167" s="204"/>
      <c r="RBC167" s="204"/>
      <c r="RBD167" s="204"/>
      <c r="RBE167" s="199"/>
      <c r="RBF167" s="167"/>
      <c r="RBG167" s="199"/>
      <c r="RBH167" s="200"/>
      <c r="RBI167" s="201"/>
      <c r="RBJ167" s="202"/>
      <c r="RBK167" s="202"/>
      <c r="RBL167" s="202"/>
      <c r="RBM167" s="202"/>
      <c r="RBN167" s="203"/>
      <c r="RBO167" s="204"/>
      <c r="RBP167" s="204"/>
      <c r="RBQ167" s="204"/>
      <c r="RBR167" s="205"/>
      <c r="RBS167" s="206"/>
      <c r="RBT167" s="207"/>
      <c r="RBU167" s="207"/>
      <c r="RBV167" s="208"/>
      <c r="RBW167" s="209"/>
      <c r="RBX167" s="207"/>
      <c r="RBY167" s="210"/>
      <c r="RBZ167" s="209"/>
      <c r="RCA167" s="204"/>
      <c r="RCB167" s="204"/>
      <c r="RCC167" s="204"/>
      <c r="RCD167" s="199"/>
      <c r="RCE167" s="167"/>
      <c r="RCF167" s="199"/>
      <c r="RCG167" s="200"/>
      <c r="RCH167" s="201"/>
      <c r="RCI167" s="202"/>
      <c r="RCJ167" s="202"/>
      <c r="RCK167" s="202"/>
      <c r="RCL167" s="202"/>
      <c r="RCM167" s="203"/>
      <c r="RCN167" s="204"/>
      <c r="RCO167" s="204"/>
      <c r="RCP167" s="204"/>
      <c r="RCQ167" s="205"/>
      <c r="RCR167" s="206"/>
      <c r="RCS167" s="207"/>
      <c r="RCT167" s="207"/>
      <c r="RCU167" s="208"/>
      <c r="RCV167" s="209"/>
      <c r="RCW167" s="207"/>
      <c r="RCX167" s="210"/>
      <c r="RCY167" s="209"/>
      <c r="RCZ167" s="204"/>
      <c r="RDA167" s="204"/>
      <c r="RDB167" s="204"/>
      <c r="RDC167" s="199"/>
      <c r="RDD167" s="167"/>
      <c r="RDE167" s="199"/>
      <c r="RDF167" s="200"/>
      <c r="RDG167" s="201"/>
      <c r="RDH167" s="202"/>
      <c r="RDI167" s="202"/>
      <c r="RDJ167" s="202"/>
      <c r="RDK167" s="202"/>
      <c r="RDL167" s="203"/>
      <c r="RDM167" s="204"/>
      <c r="RDN167" s="204"/>
      <c r="RDO167" s="204"/>
      <c r="RDP167" s="205"/>
      <c r="RDQ167" s="206"/>
      <c r="RDR167" s="207"/>
      <c r="RDS167" s="207"/>
      <c r="RDT167" s="208"/>
      <c r="RDU167" s="209"/>
      <c r="RDV167" s="207"/>
      <c r="RDW167" s="210"/>
      <c r="RDX167" s="209"/>
      <c r="RDY167" s="204"/>
      <c r="RDZ167" s="204"/>
      <c r="REA167" s="204"/>
      <c r="REB167" s="199"/>
      <c r="REC167" s="167"/>
      <c r="RED167" s="199"/>
      <c r="REE167" s="200"/>
      <c r="REF167" s="201"/>
      <c r="REG167" s="202"/>
      <c r="REH167" s="202"/>
      <c r="REI167" s="202"/>
      <c r="REJ167" s="202"/>
      <c r="REK167" s="203"/>
      <c r="REL167" s="204"/>
      <c r="REM167" s="204"/>
      <c r="REN167" s="204"/>
      <c r="REO167" s="205"/>
      <c r="REP167" s="206"/>
      <c r="REQ167" s="207"/>
      <c r="RER167" s="207"/>
      <c r="RES167" s="208"/>
      <c r="RET167" s="209"/>
      <c r="REU167" s="207"/>
      <c r="REV167" s="210"/>
      <c r="REW167" s="209"/>
      <c r="REX167" s="204"/>
      <c r="REY167" s="204"/>
      <c r="REZ167" s="204"/>
      <c r="RFA167" s="199"/>
      <c r="RFB167" s="167"/>
      <c r="RFC167" s="199"/>
      <c r="RFD167" s="200"/>
      <c r="RFE167" s="201"/>
      <c r="RFF167" s="202"/>
      <c r="RFG167" s="202"/>
      <c r="RFH167" s="202"/>
      <c r="RFI167" s="202"/>
      <c r="RFJ167" s="203"/>
      <c r="RFK167" s="204"/>
      <c r="RFL167" s="204"/>
      <c r="RFM167" s="204"/>
      <c r="RFN167" s="205"/>
      <c r="RFO167" s="206"/>
      <c r="RFP167" s="207"/>
      <c r="RFQ167" s="207"/>
      <c r="RFR167" s="208"/>
      <c r="RFS167" s="209"/>
      <c r="RFT167" s="207"/>
      <c r="RFU167" s="210"/>
      <c r="RFV167" s="209"/>
      <c r="RFW167" s="204"/>
      <c r="RFX167" s="204"/>
      <c r="RFY167" s="204"/>
      <c r="RFZ167" s="199"/>
      <c r="RGA167" s="167"/>
      <c r="RGB167" s="199"/>
      <c r="RGC167" s="200"/>
      <c r="RGD167" s="201"/>
      <c r="RGE167" s="202"/>
      <c r="RGF167" s="202"/>
      <c r="RGG167" s="202"/>
      <c r="RGH167" s="202"/>
      <c r="RGI167" s="203"/>
      <c r="RGJ167" s="204"/>
      <c r="RGK167" s="204"/>
      <c r="RGL167" s="204"/>
      <c r="RGM167" s="205"/>
      <c r="RGN167" s="206"/>
      <c r="RGO167" s="207"/>
      <c r="RGP167" s="207"/>
      <c r="RGQ167" s="208"/>
      <c r="RGR167" s="209"/>
      <c r="RGS167" s="207"/>
      <c r="RGT167" s="210"/>
      <c r="RGU167" s="209"/>
      <c r="RGV167" s="204"/>
      <c r="RGW167" s="204"/>
      <c r="RGX167" s="204"/>
      <c r="RGY167" s="199"/>
      <c r="RGZ167" s="167"/>
      <c r="RHA167" s="199"/>
      <c r="RHB167" s="200"/>
      <c r="RHC167" s="201"/>
      <c r="RHD167" s="202"/>
      <c r="RHE167" s="202"/>
      <c r="RHF167" s="202"/>
      <c r="RHG167" s="202"/>
      <c r="RHH167" s="203"/>
      <c r="RHI167" s="204"/>
      <c r="RHJ167" s="204"/>
      <c r="RHK167" s="204"/>
      <c r="RHL167" s="205"/>
      <c r="RHM167" s="206"/>
      <c r="RHN167" s="207"/>
      <c r="RHO167" s="207"/>
      <c r="RHP167" s="208"/>
      <c r="RHQ167" s="209"/>
      <c r="RHR167" s="207"/>
      <c r="RHS167" s="210"/>
      <c r="RHT167" s="209"/>
      <c r="RHU167" s="204"/>
      <c r="RHV167" s="204"/>
      <c r="RHW167" s="204"/>
      <c r="RHX167" s="199"/>
      <c r="RHY167" s="167"/>
      <c r="RHZ167" s="199"/>
      <c r="RIA167" s="200"/>
      <c r="RIB167" s="201"/>
      <c r="RIC167" s="202"/>
      <c r="RID167" s="202"/>
      <c r="RIE167" s="202"/>
      <c r="RIF167" s="202"/>
      <c r="RIG167" s="203"/>
      <c r="RIH167" s="204"/>
      <c r="RII167" s="204"/>
      <c r="RIJ167" s="204"/>
      <c r="RIK167" s="205"/>
      <c r="RIL167" s="206"/>
      <c r="RIM167" s="207"/>
      <c r="RIN167" s="207"/>
      <c r="RIO167" s="208"/>
      <c r="RIP167" s="209"/>
      <c r="RIQ167" s="207"/>
      <c r="RIR167" s="210"/>
      <c r="RIS167" s="209"/>
      <c r="RIT167" s="204"/>
      <c r="RIU167" s="204"/>
      <c r="RIV167" s="204"/>
      <c r="RIW167" s="199"/>
      <c r="RIX167" s="167"/>
      <c r="RIY167" s="199"/>
      <c r="RIZ167" s="200"/>
      <c r="RJA167" s="201"/>
      <c r="RJB167" s="202"/>
      <c r="RJC167" s="202"/>
      <c r="RJD167" s="202"/>
      <c r="RJE167" s="202"/>
      <c r="RJF167" s="203"/>
      <c r="RJG167" s="204"/>
      <c r="RJH167" s="204"/>
      <c r="RJI167" s="204"/>
      <c r="RJJ167" s="205"/>
      <c r="RJK167" s="206"/>
      <c r="RJL167" s="207"/>
      <c r="RJM167" s="207"/>
      <c r="RJN167" s="208"/>
      <c r="RJO167" s="209"/>
      <c r="RJP167" s="207"/>
      <c r="RJQ167" s="210"/>
      <c r="RJR167" s="209"/>
      <c r="RJS167" s="204"/>
      <c r="RJT167" s="204"/>
      <c r="RJU167" s="204"/>
      <c r="RJV167" s="199"/>
      <c r="RJW167" s="167"/>
      <c r="RJX167" s="199"/>
      <c r="RJY167" s="200"/>
      <c r="RJZ167" s="201"/>
      <c r="RKA167" s="202"/>
      <c r="RKB167" s="202"/>
      <c r="RKC167" s="202"/>
      <c r="RKD167" s="202"/>
      <c r="RKE167" s="203"/>
      <c r="RKF167" s="204"/>
      <c r="RKG167" s="204"/>
      <c r="RKH167" s="204"/>
      <c r="RKI167" s="205"/>
      <c r="RKJ167" s="206"/>
      <c r="RKK167" s="207"/>
      <c r="RKL167" s="207"/>
      <c r="RKM167" s="208"/>
      <c r="RKN167" s="209"/>
      <c r="RKO167" s="207"/>
      <c r="RKP167" s="210"/>
      <c r="RKQ167" s="209"/>
      <c r="RKR167" s="204"/>
      <c r="RKS167" s="204"/>
      <c r="RKT167" s="204"/>
      <c r="RKU167" s="199"/>
      <c r="RKV167" s="167"/>
      <c r="RKW167" s="199"/>
      <c r="RKX167" s="200"/>
      <c r="RKY167" s="201"/>
      <c r="RKZ167" s="202"/>
      <c r="RLA167" s="202"/>
      <c r="RLB167" s="202"/>
      <c r="RLC167" s="202"/>
      <c r="RLD167" s="203"/>
      <c r="RLE167" s="204"/>
      <c r="RLF167" s="204"/>
      <c r="RLG167" s="204"/>
      <c r="RLH167" s="205"/>
      <c r="RLI167" s="206"/>
      <c r="RLJ167" s="207"/>
      <c r="RLK167" s="207"/>
      <c r="RLL167" s="208"/>
      <c r="RLM167" s="209"/>
      <c r="RLN167" s="207"/>
      <c r="RLO167" s="210"/>
      <c r="RLP167" s="209"/>
      <c r="RLQ167" s="204"/>
      <c r="RLR167" s="204"/>
      <c r="RLS167" s="204"/>
      <c r="RLT167" s="199"/>
      <c r="RLU167" s="167"/>
      <c r="RLV167" s="199"/>
      <c r="RLW167" s="200"/>
      <c r="RLX167" s="201"/>
      <c r="RLY167" s="202"/>
      <c r="RLZ167" s="202"/>
      <c r="RMA167" s="202"/>
      <c r="RMB167" s="202"/>
      <c r="RMC167" s="203"/>
      <c r="RMD167" s="204"/>
      <c r="RME167" s="204"/>
      <c r="RMF167" s="204"/>
      <c r="RMG167" s="205"/>
      <c r="RMH167" s="206"/>
      <c r="RMI167" s="207"/>
      <c r="RMJ167" s="207"/>
      <c r="RMK167" s="208"/>
      <c r="RML167" s="209"/>
      <c r="RMM167" s="207"/>
      <c r="RMN167" s="210"/>
      <c r="RMO167" s="209"/>
      <c r="RMP167" s="204"/>
      <c r="RMQ167" s="204"/>
      <c r="RMR167" s="204"/>
      <c r="RMS167" s="199"/>
      <c r="RMT167" s="167"/>
      <c r="RMU167" s="199"/>
      <c r="RMV167" s="200"/>
      <c r="RMW167" s="201"/>
      <c r="RMX167" s="202"/>
      <c r="RMY167" s="202"/>
      <c r="RMZ167" s="202"/>
      <c r="RNA167" s="202"/>
      <c r="RNB167" s="203"/>
      <c r="RNC167" s="204"/>
      <c r="RND167" s="204"/>
      <c r="RNE167" s="204"/>
      <c r="RNF167" s="205"/>
      <c r="RNG167" s="206"/>
      <c r="RNH167" s="207"/>
      <c r="RNI167" s="207"/>
      <c r="RNJ167" s="208"/>
      <c r="RNK167" s="209"/>
      <c r="RNL167" s="207"/>
      <c r="RNM167" s="210"/>
      <c r="RNN167" s="209"/>
      <c r="RNO167" s="204"/>
      <c r="RNP167" s="204"/>
      <c r="RNQ167" s="204"/>
      <c r="RNR167" s="199"/>
      <c r="RNS167" s="167"/>
      <c r="RNT167" s="199"/>
      <c r="RNU167" s="200"/>
      <c r="RNV167" s="201"/>
      <c r="RNW167" s="202"/>
      <c r="RNX167" s="202"/>
      <c r="RNY167" s="202"/>
      <c r="RNZ167" s="202"/>
      <c r="ROA167" s="203"/>
      <c r="ROB167" s="204"/>
      <c r="ROC167" s="204"/>
      <c r="ROD167" s="204"/>
      <c r="ROE167" s="205"/>
      <c r="ROF167" s="206"/>
      <c r="ROG167" s="207"/>
      <c r="ROH167" s="207"/>
      <c r="ROI167" s="208"/>
      <c r="ROJ167" s="209"/>
      <c r="ROK167" s="207"/>
      <c r="ROL167" s="210"/>
      <c r="ROM167" s="209"/>
      <c r="RON167" s="204"/>
      <c r="ROO167" s="204"/>
      <c r="ROP167" s="204"/>
      <c r="ROQ167" s="199"/>
      <c r="ROR167" s="167"/>
      <c r="ROS167" s="199"/>
      <c r="ROT167" s="200"/>
      <c r="ROU167" s="201"/>
      <c r="ROV167" s="202"/>
      <c r="ROW167" s="202"/>
      <c r="ROX167" s="202"/>
      <c r="ROY167" s="202"/>
      <c r="ROZ167" s="203"/>
      <c r="RPA167" s="204"/>
      <c r="RPB167" s="204"/>
      <c r="RPC167" s="204"/>
      <c r="RPD167" s="205"/>
      <c r="RPE167" s="206"/>
      <c r="RPF167" s="207"/>
      <c r="RPG167" s="207"/>
      <c r="RPH167" s="208"/>
      <c r="RPI167" s="209"/>
      <c r="RPJ167" s="207"/>
      <c r="RPK167" s="210"/>
      <c r="RPL167" s="209"/>
      <c r="RPM167" s="204"/>
      <c r="RPN167" s="204"/>
      <c r="RPO167" s="204"/>
      <c r="RPP167" s="199"/>
      <c r="RPQ167" s="167"/>
      <c r="RPR167" s="199"/>
      <c r="RPS167" s="200"/>
      <c r="RPT167" s="201"/>
      <c r="RPU167" s="202"/>
      <c r="RPV167" s="202"/>
      <c r="RPW167" s="202"/>
      <c r="RPX167" s="202"/>
      <c r="RPY167" s="203"/>
      <c r="RPZ167" s="204"/>
      <c r="RQA167" s="204"/>
      <c r="RQB167" s="204"/>
      <c r="RQC167" s="205"/>
      <c r="RQD167" s="206"/>
      <c r="RQE167" s="207"/>
      <c r="RQF167" s="207"/>
      <c r="RQG167" s="208"/>
      <c r="RQH167" s="209"/>
      <c r="RQI167" s="207"/>
      <c r="RQJ167" s="210"/>
      <c r="RQK167" s="209"/>
      <c r="RQL167" s="204"/>
      <c r="RQM167" s="204"/>
      <c r="RQN167" s="204"/>
      <c r="RQO167" s="199"/>
      <c r="RQP167" s="167"/>
      <c r="RQQ167" s="199"/>
      <c r="RQR167" s="200"/>
      <c r="RQS167" s="201"/>
      <c r="RQT167" s="202"/>
      <c r="RQU167" s="202"/>
      <c r="RQV167" s="202"/>
      <c r="RQW167" s="202"/>
      <c r="RQX167" s="203"/>
      <c r="RQY167" s="204"/>
      <c r="RQZ167" s="204"/>
      <c r="RRA167" s="204"/>
      <c r="RRB167" s="205"/>
      <c r="RRC167" s="206"/>
      <c r="RRD167" s="207"/>
      <c r="RRE167" s="207"/>
      <c r="RRF167" s="208"/>
      <c r="RRG167" s="209"/>
      <c r="RRH167" s="207"/>
      <c r="RRI167" s="210"/>
      <c r="RRJ167" s="209"/>
      <c r="RRK167" s="204"/>
      <c r="RRL167" s="204"/>
      <c r="RRM167" s="204"/>
      <c r="RRN167" s="199"/>
      <c r="RRO167" s="167"/>
      <c r="RRP167" s="199"/>
      <c r="RRQ167" s="200"/>
      <c r="RRR167" s="201"/>
      <c r="RRS167" s="202"/>
      <c r="RRT167" s="202"/>
      <c r="RRU167" s="202"/>
      <c r="RRV167" s="202"/>
      <c r="RRW167" s="203"/>
      <c r="RRX167" s="204"/>
      <c r="RRY167" s="204"/>
      <c r="RRZ167" s="204"/>
      <c r="RSA167" s="205"/>
      <c r="RSB167" s="206"/>
      <c r="RSC167" s="207"/>
      <c r="RSD167" s="207"/>
      <c r="RSE167" s="208"/>
      <c r="RSF167" s="209"/>
      <c r="RSG167" s="207"/>
      <c r="RSH167" s="210"/>
      <c r="RSI167" s="209"/>
      <c r="RSJ167" s="204"/>
      <c r="RSK167" s="204"/>
      <c r="RSL167" s="204"/>
      <c r="RSM167" s="199"/>
      <c r="RSN167" s="167"/>
      <c r="RSO167" s="199"/>
      <c r="RSP167" s="200"/>
      <c r="RSQ167" s="201"/>
      <c r="RSR167" s="202"/>
      <c r="RSS167" s="202"/>
      <c r="RST167" s="202"/>
      <c r="RSU167" s="202"/>
      <c r="RSV167" s="203"/>
      <c r="RSW167" s="204"/>
      <c r="RSX167" s="204"/>
      <c r="RSY167" s="204"/>
      <c r="RSZ167" s="205"/>
      <c r="RTA167" s="206"/>
      <c r="RTB167" s="207"/>
      <c r="RTC167" s="207"/>
      <c r="RTD167" s="208"/>
      <c r="RTE167" s="209"/>
      <c r="RTF167" s="207"/>
      <c r="RTG167" s="210"/>
      <c r="RTH167" s="209"/>
      <c r="RTI167" s="204"/>
      <c r="RTJ167" s="204"/>
      <c r="RTK167" s="204"/>
      <c r="RTL167" s="199"/>
      <c r="RTM167" s="167"/>
      <c r="RTN167" s="199"/>
      <c r="RTO167" s="200"/>
      <c r="RTP167" s="201"/>
      <c r="RTQ167" s="202"/>
      <c r="RTR167" s="202"/>
      <c r="RTS167" s="202"/>
      <c r="RTT167" s="202"/>
      <c r="RTU167" s="203"/>
      <c r="RTV167" s="204"/>
      <c r="RTW167" s="204"/>
      <c r="RTX167" s="204"/>
      <c r="RTY167" s="205"/>
      <c r="RTZ167" s="206"/>
      <c r="RUA167" s="207"/>
      <c r="RUB167" s="207"/>
      <c r="RUC167" s="208"/>
      <c r="RUD167" s="209"/>
      <c r="RUE167" s="207"/>
      <c r="RUF167" s="210"/>
      <c r="RUG167" s="209"/>
      <c r="RUH167" s="204"/>
      <c r="RUI167" s="204"/>
      <c r="RUJ167" s="204"/>
      <c r="RUK167" s="199"/>
      <c r="RUL167" s="167"/>
      <c r="RUM167" s="199"/>
      <c r="RUN167" s="200"/>
      <c r="RUO167" s="201"/>
      <c r="RUP167" s="202"/>
      <c r="RUQ167" s="202"/>
      <c r="RUR167" s="202"/>
      <c r="RUS167" s="202"/>
      <c r="RUT167" s="203"/>
      <c r="RUU167" s="204"/>
      <c r="RUV167" s="204"/>
      <c r="RUW167" s="204"/>
      <c r="RUX167" s="205"/>
      <c r="RUY167" s="206"/>
      <c r="RUZ167" s="207"/>
      <c r="RVA167" s="207"/>
      <c r="RVB167" s="208"/>
      <c r="RVC167" s="209"/>
      <c r="RVD167" s="207"/>
      <c r="RVE167" s="210"/>
      <c r="RVF167" s="209"/>
      <c r="RVG167" s="204"/>
      <c r="RVH167" s="204"/>
      <c r="RVI167" s="204"/>
      <c r="RVJ167" s="199"/>
      <c r="RVK167" s="167"/>
      <c r="RVL167" s="199"/>
      <c r="RVM167" s="200"/>
      <c r="RVN167" s="201"/>
      <c r="RVO167" s="202"/>
      <c r="RVP167" s="202"/>
      <c r="RVQ167" s="202"/>
      <c r="RVR167" s="202"/>
      <c r="RVS167" s="203"/>
      <c r="RVT167" s="204"/>
      <c r="RVU167" s="204"/>
      <c r="RVV167" s="204"/>
      <c r="RVW167" s="205"/>
      <c r="RVX167" s="206"/>
      <c r="RVY167" s="207"/>
      <c r="RVZ167" s="207"/>
      <c r="RWA167" s="208"/>
      <c r="RWB167" s="209"/>
      <c r="RWC167" s="207"/>
      <c r="RWD167" s="210"/>
      <c r="RWE167" s="209"/>
      <c r="RWF167" s="204"/>
      <c r="RWG167" s="204"/>
      <c r="RWH167" s="204"/>
      <c r="RWI167" s="199"/>
      <c r="RWJ167" s="167"/>
      <c r="RWK167" s="199"/>
      <c r="RWL167" s="200"/>
      <c r="RWM167" s="201"/>
      <c r="RWN167" s="202"/>
      <c r="RWO167" s="202"/>
      <c r="RWP167" s="202"/>
      <c r="RWQ167" s="202"/>
      <c r="RWR167" s="203"/>
      <c r="RWS167" s="204"/>
      <c r="RWT167" s="204"/>
      <c r="RWU167" s="204"/>
      <c r="RWV167" s="205"/>
      <c r="RWW167" s="206"/>
      <c r="RWX167" s="207"/>
      <c r="RWY167" s="207"/>
      <c r="RWZ167" s="208"/>
      <c r="RXA167" s="209"/>
      <c r="RXB167" s="207"/>
      <c r="RXC167" s="210"/>
      <c r="RXD167" s="209"/>
      <c r="RXE167" s="204"/>
      <c r="RXF167" s="204"/>
      <c r="RXG167" s="204"/>
      <c r="RXH167" s="199"/>
      <c r="RXI167" s="167"/>
      <c r="RXJ167" s="199"/>
      <c r="RXK167" s="200"/>
      <c r="RXL167" s="201"/>
      <c r="RXM167" s="202"/>
      <c r="RXN167" s="202"/>
      <c r="RXO167" s="202"/>
      <c r="RXP167" s="202"/>
      <c r="RXQ167" s="203"/>
      <c r="RXR167" s="204"/>
      <c r="RXS167" s="204"/>
      <c r="RXT167" s="204"/>
      <c r="RXU167" s="205"/>
      <c r="RXV167" s="206"/>
      <c r="RXW167" s="207"/>
      <c r="RXX167" s="207"/>
      <c r="RXY167" s="208"/>
      <c r="RXZ167" s="209"/>
      <c r="RYA167" s="207"/>
      <c r="RYB167" s="210"/>
      <c r="RYC167" s="209"/>
      <c r="RYD167" s="204"/>
      <c r="RYE167" s="204"/>
      <c r="RYF167" s="204"/>
      <c r="RYG167" s="199"/>
      <c r="RYH167" s="167"/>
      <c r="RYI167" s="199"/>
      <c r="RYJ167" s="200"/>
      <c r="RYK167" s="201"/>
      <c r="RYL167" s="202"/>
      <c r="RYM167" s="202"/>
      <c r="RYN167" s="202"/>
      <c r="RYO167" s="202"/>
      <c r="RYP167" s="203"/>
      <c r="RYQ167" s="204"/>
      <c r="RYR167" s="204"/>
      <c r="RYS167" s="204"/>
      <c r="RYT167" s="205"/>
      <c r="RYU167" s="206"/>
      <c r="RYV167" s="207"/>
      <c r="RYW167" s="207"/>
      <c r="RYX167" s="208"/>
      <c r="RYY167" s="209"/>
      <c r="RYZ167" s="207"/>
      <c r="RZA167" s="210"/>
      <c r="RZB167" s="209"/>
      <c r="RZC167" s="204"/>
      <c r="RZD167" s="204"/>
      <c r="RZE167" s="204"/>
      <c r="RZF167" s="199"/>
      <c r="RZG167" s="167"/>
      <c r="RZH167" s="199"/>
      <c r="RZI167" s="200"/>
      <c r="RZJ167" s="201"/>
      <c r="RZK167" s="202"/>
      <c r="RZL167" s="202"/>
      <c r="RZM167" s="202"/>
      <c r="RZN167" s="202"/>
      <c r="RZO167" s="203"/>
      <c r="RZP167" s="204"/>
      <c r="RZQ167" s="204"/>
      <c r="RZR167" s="204"/>
      <c r="RZS167" s="205"/>
      <c r="RZT167" s="206"/>
      <c r="RZU167" s="207"/>
      <c r="RZV167" s="207"/>
      <c r="RZW167" s="208"/>
      <c r="RZX167" s="209"/>
      <c r="RZY167" s="207"/>
      <c r="RZZ167" s="210"/>
      <c r="SAA167" s="209"/>
      <c r="SAB167" s="204"/>
      <c r="SAC167" s="204"/>
      <c r="SAD167" s="204"/>
      <c r="SAE167" s="199"/>
      <c r="SAF167" s="167"/>
      <c r="SAG167" s="199"/>
      <c r="SAH167" s="200"/>
      <c r="SAI167" s="201"/>
      <c r="SAJ167" s="202"/>
      <c r="SAK167" s="202"/>
      <c r="SAL167" s="202"/>
      <c r="SAM167" s="202"/>
      <c r="SAN167" s="203"/>
      <c r="SAO167" s="204"/>
      <c r="SAP167" s="204"/>
      <c r="SAQ167" s="204"/>
      <c r="SAR167" s="205"/>
      <c r="SAS167" s="206"/>
      <c r="SAT167" s="207"/>
      <c r="SAU167" s="207"/>
      <c r="SAV167" s="208"/>
      <c r="SAW167" s="209"/>
      <c r="SAX167" s="207"/>
      <c r="SAY167" s="210"/>
      <c r="SAZ167" s="209"/>
      <c r="SBA167" s="204"/>
      <c r="SBB167" s="204"/>
      <c r="SBC167" s="204"/>
      <c r="SBD167" s="199"/>
      <c r="SBE167" s="167"/>
      <c r="SBF167" s="199"/>
      <c r="SBG167" s="200"/>
      <c r="SBH167" s="201"/>
      <c r="SBI167" s="202"/>
      <c r="SBJ167" s="202"/>
      <c r="SBK167" s="202"/>
      <c r="SBL167" s="202"/>
      <c r="SBM167" s="203"/>
      <c r="SBN167" s="204"/>
      <c r="SBO167" s="204"/>
      <c r="SBP167" s="204"/>
      <c r="SBQ167" s="205"/>
      <c r="SBR167" s="206"/>
      <c r="SBS167" s="207"/>
      <c r="SBT167" s="207"/>
      <c r="SBU167" s="208"/>
      <c r="SBV167" s="209"/>
      <c r="SBW167" s="207"/>
      <c r="SBX167" s="210"/>
      <c r="SBY167" s="209"/>
      <c r="SBZ167" s="204"/>
      <c r="SCA167" s="204"/>
      <c r="SCB167" s="204"/>
      <c r="SCC167" s="199"/>
      <c r="SCD167" s="167"/>
      <c r="SCE167" s="199"/>
      <c r="SCF167" s="200"/>
      <c r="SCG167" s="201"/>
      <c r="SCH167" s="202"/>
      <c r="SCI167" s="202"/>
      <c r="SCJ167" s="202"/>
      <c r="SCK167" s="202"/>
      <c r="SCL167" s="203"/>
      <c r="SCM167" s="204"/>
      <c r="SCN167" s="204"/>
      <c r="SCO167" s="204"/>
      <c r="SCP167" s="205"/>
      <c r="SCQ167" s="206"/>
      <c r="SCR167" s="207"/>
      <c r="SCS167" s="207"/>
      <c r="SCT167" s="208"/>
      <c r="SCU167" s="209"/>
      <c r="SCV167" s="207"/>
      <c r="SCW167" s="210"/>
      <c r="SCX167" s="209"/>
      <c r="SCY167" s="204"/>
      <c r="SCZ167" s="204"/>
      <c r="SDA167" s="204"/>
      <c r="SDB167" s="199"/>
      <c r="SDC167" s="167"/>
      <c r="SDD167" s="199"/>
      <c r="SDE167" s="200"/>
      <c r="SDF167" s="201"/>
      <c r="SDG167" s="202"/>
      <c r="SDH167" s="202"/>
      <c r="SDI167" s="202"/>
      <c r="SDJ167" s="202"/>
      <c r="SDK167" s="203"/>
      <c r="SDL167" s="204"/>
      <c r="SDM167" s="204"/>
      <c r="SDN167" s="204"/>
      <c r="SDO167" s="205"/>
      <c r="SDP167" s="206"/>
      <c r="SDQ167" s="207"/>
      <c r="SDR167" s="207"/>
      <c r="SDS167" s="208"/>
      <c r="SDT167" s="209"/>
      <c r="SDU167" s="207"/>
      <c r="SDV167" s="210"/>
      <c r="SDW167" s="209"/>
      <c r="SDX167" s="204"/>
      <c r="SDY167" s="204"/>
      <c r="SDZ167" s="204"/>
      <c r="SEA167" s="199"/>
      <c r="SEB167" s="167"/>
      <c r="SEC167" s="199"/>
      <c r="SED167" s="200"/>
      <c r="SEE167" s="201"/>
      <c r="SEF167" s="202"/>
      <c r="SEG167" s="202"/>
      <c r="SEH167" s="202"/>
      <c r="SEI167" s="202"/>
      <c r="SEJ167" s="203"/>
      <c r="SEK167" s="204"/>
      <c r="SEL167" s="204"/>
      <c r="SEM167" s="204"/>
      <c r="SEN167" s="205"/>
      <c r="SEO167" s="206"/>
      <c r="SEP167" s="207"/>
      <c r="SEQ167" s="207"/>
      <c r="SER167" s="208"/>
      <c r="SES167" s="209"/>
      <c r="SET167" s="207"/>
      <c r="SEU167" s="210"/>
      <c r="SEV167" s="209"/>
      <c r="SEW167" s="204"/>
      <c r="SEX167" s="204"/>
      <c r="SEY167" s="204"/>
      <c r="SEZ167" s="199"/>
      <c r="SFA167" s="167"/>
      <c r="SFB167" s="199"/>
      <c r="SFC167" s="200"/>
      <c r="SFD167" s="201"/>
      <c r="SFE167" s="202"/>
      <c r="SFF167" s="202"/>
      <c r="SFG167" s="202"/>
      <c r="SFH167" s="202"/>
      <c r="SFI167" s="203"/>
      <c r="SFJ167" s="204"/>
      <c r="SFK167" s="204"/>
      <c r="SFL167" s="204"/>
      <c r="SFM167" s="205"/>
      <c r="SFN167" s="206"/>
      <c r="SFO167" s="207"/>
      <c r="SFP167" s="207"/>
      <c r="SFQ167" s="208"/>
      <c r="SFR167" s="209"/>
      <c r="SFS167" s="207"/>
      <c r="SFT167" s="210"/>
      <c r="SFU167" s="209"/>
      <c r="SFV167" s="204"/>
      <c r="SFW167" s="204"/>
      <c r="SFX167" s="204"/>
      <c r="SFY167" s="199"/>
      <c r="SFZ167" s="167"/>
      <c r="SGA167" s="199"/>
      <c r="SGB167" s="200"/>
      <c r="SGC167" s="201"/>
      <c r="SGD167" s="202"/>
      <c r="SGE167" s="202"/>
      <c r="SGF167" s="202"/>
      <c r="SGG167" s="202"/>
      <c r="SGH167" s="203"/>
      <c r="SGI167" s="204"/>
      <c r="SGJ167" s="204"/>
      <c r="SGK167" s="204"/>
      <c r="SGL167" s="205"/>
      <c r="SGM167" s="206"/>
      <c r="SGN167" s="207"/>
      <c r="SGO167" s="207"/>
      <c r="SGP167" s="208"/>
      <c r="SGQ167" s="209"/>
      <c r="SGR167" s="207"/>
      <c r="SGS167" s="210"/>
      <c r="SGT167" s="209"/>
      <c r="SGU167" s="204"/>
      <c r="SGV167" s="204"/>
      <c r="SGW167" s="204"/>
      <c r="SGX167" s="199"/>
      <c r="SGY167" s="167"/>
      <c r="SGZ167" s="199"/>
      <c r="SHA167" s="200"/>
      <c r="SHB167" s="201"/>
      <c r="SHC167" s="202"/>
      <c r="SHD167" s="202"/>
      <c r="SHE167" s="202"/>
      <c r="SHF167" s="202"/>
      <c r="SHG167" s="203"/>
      <c r="SHH167" s="204"/>
      <c r="SHI167" s="204"/>
      <c r="SHJ167" s="204"/>
      <c r="SHK167" s="205"/>
      <c r="SHL167" s="206"/>
      <c r="SHM167" s="207"/>
      <c r="SHN167" s="207"/>
      <c r="SHO167" s="208"/>
      <c r="SHP167" s="209"/>
      <c r="SHQ167" s="207"/>
      <c r="SHR167" s="210"/>
      <c r="SHS167" s="209"/>
      <c r="SHT167" s="204"/>
      <c r="SHU167" s="204"/>
      <c r="SHV167" s="204"/>
      <c r="SHW167" s="199"/>
      <c r="SHX167" s="167"/>
      <c r="SHY167" s="199"/>
      <c r="SHZ167" s="200"/>
      <c r="SIA167" s="201"/>
      <c r="SIB167" s="202"/>
      <c r="SIC167" s="202"/>
      <c r="SID167" s="202"/>
      <c r="SIE167" s="202"/>
      <c r="SIF167" s="203"/>
      <c r="SIG167" s="204"/>
      <c r="SIH167" s="204"/>
      <c r="SII167" s="204"/>
      <c r="SIJ167" s="205"/>
      <c r="SIK167" s="206"/>
      <c r="SIL167" s="207"/>
      <c r="SIM167" s="207"/>
      <c r="SIN167" s="208"/>
      <c r="SIO167" s="209"/>
      <c r="SIP167" s="207"/>
      <c r="SIQ167" s="210"/>
      <c r="SIR167" s="209"/>
      <c r="SIS167" s="204"/>
      <c r="SIT167" s="204"/>
      <c r="SIU167" s="204"/>
      <c r="SIV167" s="199"/>
      <c r="SIW167" s="167"/>
      <c r="SIX167" s="199"/>
      <c r="SIY167" s="200"/>
      <c r="SIZ167" s="201"/>
      <c r="SJA167" s="202"/>
      <c r="SJB167" s="202"/>
      <c r="SJC167" s="202"/>
      <c r="SJD167" s="202"/>
      <c r="SJE167" s="203"/>
      <c r="SJF167" s="204"/>
      <c r="SJG167" s="204"/>
      <c r="SJH167" s="204"/>
      <c r="SJI167" s="205"/>
      <c r="SJJ167" s="206"/>
      <c r="SJK167" s="207"/>
      <c r="SJL167" s="207"/>
      <c r="SJM167" s="208"/>
      <c r="SJN167" s="209"/>
      <c r="SJO167" s="207"/>
      <c r="SJP167" s="210"/>
      <c r="SJQ167" s="209"/>
      <c r="SJR167" s="204"/>
      <c r="SJS167" s="204"/>
      <c r="SJT167" s="204"/>
      <c r="SJU167" s="199"/>
      <c r="SJV167" s="167"/>
      <c r="SJW167" s="199"/>
      <c r="SJX167" s="200"/>
      <c r="SJY167" s="201"/>
      <c r="SJZ167" s="202"/>
      <c r="SKA167" s="202"/>
      <c r="SKB167" s="202"/>
      <c r="SKC167" s="202"/>
      <c r="SKD167" s="203"/>
      <c r="SKE167" s="204"/>
      <c r="SKF167" s="204"/>
      <c r="SKG167" s="204"/>
      <c r="SKH167" s="205"/>
      <c r="SKI167" s="206"/>
      <c r="SKJ167" s="207"/>
      <c r="SKK167" s="207"/>
      <c r="SKL167" s="208"/>
      <c r="SKM167" s="209"/>
      <c r="SKN167" s="207"/>
      <c r="SKO167" s="210"/>
      <c r="SKP167" s="209"/>
      <c r="SKQ167" s="204"/>
      <c r="SKR167" s="204"/>
      <c r="SKS167" s="204"/>
      <c r="SKT167" s="199"/>
      <c r="SKU167" s="167"/>
      <c r="SKV167" s="199"/>
      <c r="SKW167" s="200"/>
      <c r="SKX167" s="201"/>
      <c r="SKY167" s="202"/>
      <c r="SKZ167" s="202"/>
      <c r="SLA167" s="202"/>
      <c r="SLB167" s="202"/>
      <c r="SLC167" s="203"/>
      <c r="SLD167" s="204"/>
      <c r="SLE167" s="204"/>
      <c r="SLF167" s="204"/>
      <c r="SLG167" s="205"/>
      <c r="SLH167" s="206"/>
      <c r="SLI167" s="207"/>
      <c r="SLJ167" s="207"/>
      <c r="SLK167" s="208"/>
      <c r="SLL167" s="209"/>
      <c r="SLM167" s="207"/>
      <c r="SLN167" s="210"/>
      <c r="SLO167" s="209"/>
      <c r="SLP167" s="204"/>
      <c r="SLQ167" s="204"/>
      <c r="SLR167" s="204"/>
      <c r="SLS167" s="199"/>
      <c r="SLT167" s="167"/>
      <c r="SLU167" s="199"/>
      <c r="SLV167" s="200"/>
      <c r="SLW167" s="201"/>
      <c r="SLX167" s="202"/>
      <c r="SLY167" s="202"/>
      <c r="SLZ167" s="202"/>
      <c r="SMA167" s="202"/>
      <c r="SMB167" s="203"/>
      <c r="SMC167" s="204"/>
      <c r="SMD167" s="204"/>
      <c r="SME167" s="204"/>
      <c r="SMF167" s="205"/>
      <c r="SMG167" s="206"/>
      <c r="SMH167" s="207"/>
      <c r="SMI167" s="207"/>
      <c r="SMJ167" s="208"/>
      <c r="SMK167" s="209"/>
      <c r="SML167" s="207"/>
      <c r="SMM167" s="210"/>
      <c r="SMN167" s="209"/>
      <c r="SMO167" s="204"/>
      <c r="SMP167" s="204"/>
      <c r="SMQ167" s="204"/>
      <c r="SMR167" s="199"/>
      <c r="SMS167" s="167"/>
      <c r="SMT167" s="199"/>
      <c r="SMU167" s="200"/>
      <c r="SMV167" s="201"/>
      <c r="SMW167" s="202"/>
      <c r="SMX167" s="202"/>
      <c r="SMY167" s="202"/>
      <c r="SMZ167" s="202"/>
      <c r="SNA167" s="203"/>
      <c r="SNB167" s="204"/>
      <c r="SNC167" s="204"/>
      <c r="SND167" s="204"/>
      <c r="SNE167" s="205"/>
      <c r="SNF167" s="206"/>
      <c r="SNG167" s="207"/>
      <c r="SNH167" s="207"/>
      <c r="SNI167" s="208"/>
      <c r="SNJ167" s="209"/>
      <c r="SNK167" s="207"/>
      <c r="SNL167" s="210"/>
      <c r="SNM167" s="209"/>
      <c r="SNN167" s="204"/>
      <c r="SNO167" s="204"/>
      <c r="SNP167" s="204"/>
      <c r="SNQ167" s="199"/>
      <c r="SNR167" s="167"/>
      <c r="SNS167" s="199"/>
      <c r="SNT167" s="200"/>
      <c r="SNU167" s="201"/>
      <c r="SNV167" s="202"/>
      <c r="SNW167" s="202"/>
      <c r="SNX167" s="202"/>
      <c r="SNY167" s="202"/>
      <c r="SNZ167" s="203"/>
      <c r="SOA167" s="204"/>
      <c r="SOB167" s="204"/>
      <c r="SOC167" s="204"/>
      <c r="SOD167" s="205"/>
      <c r="SOE167" s="206"/>
      <c r="SOF167" s="207"/>
      <c r="SOG167" s="207"/>
      <c r="SOH167" s="208"/>
      <c r="SOI167" s="209"/>
      <c r="SOJ167" s="207"/>
      <c r="SOK167" s="210"/>
      <c r="SOL167" s="209"/>
      <c r="SOM167" s="204"/>
      <c r="SON167" s="204"/>
      <c r="SOO167" s="204"/>
      <c r="SOP167" s="199"/>
      <c r="SOQ167" s="167"/>
      <c r="SOR167" s="199"/>
      <c r="SOS167" s="200"/>
      <c r="SOT167" s="201"/>
      <c r="SOU167" s="202"/>
      <c r="SOV167" s="202"/>
      <c r="SOW167" s="202"/>
      <c r="SOX167" s="202"/>
      <c r="SOY167" s="203"/>
      <c r="SOZ167" s="204"/>
      <c r="SPA167" s="204"/>
      <c r="SPB167" s="204"/>
      <c r="SPC167" s="205"/>
      <c r="SPD167" s="206"/>
      <c r="SPE167" s="207"/>
      <c r="SPF167" s="207"/>
      <c r="SPG167" s="208"/>
      <c r="SPH167" s="209"/>
      <c r="SPI167" s="207"/>
      <c r="SPJ167" s="210"/>
      <c r="SPK167" s="209"/>
      <c r="SPL167" s="204"/>
      <c r="SPM167" s="204"/>
      <c r="SPN167" s="204"/>
      <c r="SPO167" s="199"/>
      <c r="SPP167" s="167"/>
      <c r="SPQ167" s="199"/>
      <c r="SPR167" s="200"/>
      <c r="SPS167" s="201"/>
      <c r="SPT167" s="202"/>
      <c r="SPU167" s="202"/>
      <c r="SPV167" s="202"/>
      <c r="SPW167" s="202"/>
      <c r="SPX167" s="203"/>
      <c r="SPY167" s="204"/>
      <c r="SPZ167" s="204"/>
      <c r="SQA167" s="204"/>
      <c r="SQB167" s="205"/>
      <c r="SQC167" s="206"/>
      <c r="SQD167" s="207"/>
      <c r="SQE167" s="207"/>
      <c r="SQF167" s="208"/>
      <c r="SQG167" s="209"/>
      <c r="SQH167" s="207"/>
      <c r="SQI167" s="210"/>
      <c r="SQJ167" s="209"/>
      <c r="SQK167" s="204"/>
      <c r="SQL167" s="204"/>
      <c r="SQM167" s="204"/>
      <c r="SQN167" s="199"/>
      <c r="SQO167" s="167"/>
      <c r="SQP167" s="199"/>
      <c r="SQQ167" s="200"/>
      <c r="SQR167" s="201"/>
      <c r="SQS167" s="202"/>
      <c r="SQT167" s="202"/>
      <c r="SQU167" s="202"/>
      <c r="SQV167" s="202"/>
      <c r="SQW167" s="203"/>
      <c r="SQX167" s="204"/>
      <c r="SQY167" s="204"/>
      <c r="SQZ167" s="204"/>
      <c r="SRA167" s="205"/>
      <c r="SRB167" s="206"/>
      <c r="SRC167" s="207"/>
      <c r="SRD167" s="207"/>
      <c r="SRE167" s="208"/>
      <c r="SRF167" s="209"/>
      <c r="SRG167" s="207"/>
      <c r="SRH167" s="210"/>
      <c r="SRI167" s="209"/>
      <c r="SRJ167" s="204"/>
      <c r="SRK167" s="204"/>
      <c r="SRL167" s="204"/>
      <c r="SRM167" s="199"/>
      <c r="SRN167" s="167"/>
      <c r="SRO167" s="199"/>
      <c r="SRP167" s="200"/>
      <c r="SRQ167" s="201"/>
      <c r="SRR167" s="202"/>
      <c r="SRS167" s="202"/>
      <c r="SRT167" s="202"/>
      <c r="SRU167" s="202"/>
      <c r="SRV167" s="203"/>
      <c r="SRW167" s="204"/>
      <c r="SRX167" s="204"/>
      <c r="SRY167" s="204"/>
      <c r="SRZ167" s="205"/>
      <c r="SSA167" s="206"/>
      <c r="SSB167" s="207"/>
      <c r="SSC167" s="207"/>
      <c r="SSD167" s="208"/>
      <c r="SSE167" s="209"/>
      <c r="SSF167" s="207"/>
      <c r="SSG167" s="210"/>
      <c r="SSH167" s="209"/>
      <c r="SSI167" s="204"/>
      <c r="SSJ167" s="204"/>
      <c r="SSK167" s="204"/>
      <c r="SSL167" s="199"/>
      <c r="SSM167" s="167"/>
      <c r="SSN167" s="199"/>
      <c r="SSO167" s="200"/>
      <c r="SSP167" s="201"/>
      <c r="SSQ167" s="202"/>
      <c r="SSR167" s="202"/>
      <c r="SSS167" s="202"/>
      <c r="SST167" s="202"/>
      <c r="SSU167" s="203"/>
      <c r="SSV167" s="204"/>
      <c r="SSW167" s="204"/>
      <c r="SSX167" s="204"/>
      <c r="SSY167" s="205"/>
      <c r="SSZ167" s="206"/>
      <c r="STA167" s="207"/>
      <c r="STB167" s="207"/>
      <c r="STC167" s="208"/>
      <c r="STD167" s="209"/>
      <c r="STE167" s="207"/>
      <c r="STF167" s="210"/>
      <c r="STG167" s="209"/>
      <c r="STH167" s="204"/>
      <c r="STI167" s="204"/>
      <c r="STJ167" s="204"/>
      <c r="STK167" s="199"/>
      <c r="STL167" s="167"/>
      <c r="STM167" s="199"/>
      <c r="STN167" s="200"/>
      <c r="STO167" s="201"/>
      <c r="STP167" s="202"/>
      <c r="STQ167" s="202"/>
      <c r="STR167" s="202"/>
      <c r="STS167" s="202"/>
      <c r="STT167" s="203"/>
      <c r="STU167" s="204"/>
      <c r="STV167" s="204"/>
      <c r="STW167" s="204"/>
      <c r="STX167" s="205"/>
      <c r="STY167" s="206"/>
      <c r="STZ167" s="207"/>
      <c r="SUA167" s="207"/>
      <c r="SUB167" s="208"/>
      <c r="SUC167" s="209"/>
      <c r="SUD167" s="207"/>
      <c r="SUE167" s="210"/>
      <c r="SUF167" s="209"/>
      <c r="SUG167" s="204"/>
      <c r="SUH167" s="204"/>
      <c r="SUI167" s="204"/>
      <c r="SUJ167" s="199"/>
      <c r="SUK167" s="167"/>
      <c r="SUL167" s="199"/>
      <c r="SUM167" s="200"/>
      <c r="SUN167" s="201"/>
      <c r="SUO167" s="202"/>
      <c r="SUP167" s="202"/>
      <c r="SUQ167" s="202"/>
      <c r="SUR167" s="202"/>
      <c r="SUS167" s="203"/>
      <c r="SUT167" s="204"/>
      <c r="SUU167" s="204"/>
      <c r="SUV167" s="204"/>
      <c r="SUW167" s="205"/>
      <c r="SUX167" s="206"/>
      <c r="SUY167" s="207"/>
      <c r="SUZ167" s="207"/>
      <c r="SVA167" s="208"/>
      <c r="SVB167" s="209"/>
      <c r="SVC167" s="207"/>
      <c r="SVD167" s="210"/>
      <c r="SVE167" s="209"/>
      <c r="SVF167" s="204"/>
      <c r="SVG167" s="204"/>
      <c r="SVH167" s="204"/>
      <c r="SVI167" s="199"/>
      <c r="SVJ167" s="167"/>
      <c r="SVK167" s="199"/>
      <c r="SVL167" s="200"/>
      <c r="SVM167" s="201"/>
      <c r="SVN167" s="202"/>
      <c r="SVO167" s="202"/>
      <c r="SVP167" s="202"/>
      <c r="SVQ167" s="202"/>
      <c r="SVR167" s="203"/>
      <c r="SVS167" s="204"/>
      <c r="SVT167" s="204"/>
      <c r="SVU167" s="204"/>
      <c r="SVV167" s="205"/>
      <c r="SVW167" s="206"/>
      <c r="SVX167" s="207"/>
      <c r="SVY167" s="207"/>
      <c r="SVZ167" s="208"/>
      <c r="SWA167" s="209"/>
      <c r="SWB167" s="207"/>
      <c r="SWC167" s="210"/>
      <c r="SWD167" s="209"/>
      <c r="SWE167" s="204"/>
      <c r="SWF167" s="204"/>
      <c r="SWG167" s="204"/>
      <c r="SWH167" s="199"/>
      <c r="SWI167" s="167"/>
      <c r="SWJ167" s="199"/>
      <c r="SWK167" s="200"/>
      <c r="SWL167" s="201"/>
      <c r="SWM167" s="202"/>
      <c r="SWN167" s="202"/>
      <c r="SWO167" s="202"/>
      <c r="SWP167" s="202"/>
      <c r="SWQ167" s="203"/>
      <c r="SWR167" s="204"/>
      <c r="SWS167" s="204"/>
      <c r="SWT167" s="204"/>
      <c r="SWU167" s="205"/>
      <c r="SWV167" s="206"/>
      <c r="SWW167" s="207"/>
      <c r="SWX167" s="207"/>
      <c r="SWY167" s="208"/>
      <c r="SWZ167" s="209"/>
      <c r="SXA167" s="207"/>
      <c r="SXB167" s="210"/>
      <c r="SXC167" s="209"/>
      <c r="SXD167" s="204"/>
      <c r="SXE167" s="204"/>
      <c r="SXF167" s="204"/>
      <c r="SXG167" s="199"/>
      <c r="SXH167" s="167"/>
      <c r="SXI167" s="199"/>
      <c r="SXJ167" s="200"/>
      <c r="SXK167" s="201"/>
      <c r="SXL167" s="202"/>
      <c r="SXM167" s="202"/>
      <c r="SXN167" s="202"/>
      <c r="SXO167" s="202"/>
      <c r="SXP167" s="203"/>
      <c r="SXQ167" s="204"/>
      <c r="SXR167" s="204"/>
      <c r="SXS167" s="204"/>
      <c r="SXT167" s="205"/>
      <c r="SXU167" s="206"/>
      <c r="SXV167" s="207"/>
      <c r="SXW167" s="207"/>
      <c r="SXX167" s="208"/>
      <c r="SXY167" s="209"/>
      <c r="SXZ167" s="207"/>
      <c r="SYA167" s="210"/>
      <c r="SYB167" s="209"/>
      <c r="SYC167" s="204"/>
      <c r="SYD167" s="204"/>
      <c r="SYE167" s="204"/>
      <c r="SYF167" s="199"/>
      <c r="SYG167" s="167"/>
      <c r="SYH167" s="199"/>
      <c r="SYI167" s="200"/>
      <c r="SYJ167" s="201"/>
      <c r="SYK167" s="202"/>
      <c r="SYL167" s="202"/>
      <c r="SYM167" s="202"/>
      <c r="SYN167" s="202"/>
      <c r="SYO167" s="203"/>
      <c r="SYP167" s="204"/>
      <c r="SYQ167" s="204"/>
      <c r="SYR167" s="204"/>
      <c r="SYS167" s="205"/>
      <c r="SYT167" s="206"/>
      <c r="SYU167" s="207"/>
      <c r="SYV167" s="207"/>
      <c r="SYW167" s="208"/>
      <c r="SYX167" s="209"/>
      <c r="SYY167" s="207"/>
      <c r="SYZ167" s="210"/>
      <c r="SZA167" s="209"/>
      <c r="SZB167" s="204"/>
      <c r="SZC167" s="204"/>
      <c r="SZD167" s="204"/>
      <c r="SZE167" s="199"/>
      <c r="SZF167" s="167"/>
      <c r="SZG167" s="199"/>
      <c r="SZH167" s="200"/>
      <c r="SZI167" s="201"/>
      <c r="SZJ167" s="202"/>
      <c r="SZK167" s="202"/>
      <c r="SZL167" s="202"/>
      <c r="SZM167" s="202"/>
      <c r="SZN167" s="203"/>
      <c r="SZO167" s="204"/>
      <c r="SZP167" s="204"/>
      <c r="SZQ167" s="204"/>
      <c r="SZR167" s="205"/>
      <c r="SZS167" s="206"/>
      <c r="SZT167" s="207"/>
      <c r="SZU167" s="207"/>
      <c r="SZV167" s="208"/>
      <c r="SZW167" s="209"/>
      <c r="SZX167" s="207"/>
      <c r="SZY167" s="210"/>
      <c r="SZZ167" s="209"/>
      <c r="TAA167" s="204"/>
      <c r="TAB167" s="204"/>
      <c r="TAC167" s="204"/>
      <c r="TAD167" s="199"/>
      <c r="TAE167" s="167"/>
      <c r="TAF167" s="199"/>
      <c r="TAG167" s="200"/>
      <c r="TAH167" s="201"/>
      <c r="TAI167" s="202"/>
      <c r="TAJ167" s="202"/>
      <c r="TAK167" s="202"/>
      <c r="TAL167" s="202"/>
      <c r="TAM167" s="203"/>
      <c r="TAN167" s="204"/>
      <c r="TAO167" s="204"/>
      <c r="TAP167" s="204"/>
      <c r="TAQ167" s="205"/>
      <c r="TAR167" s="206"/>
      <c r="TAS167" s="207"/>
      <c r="TAT167" s="207"/>
      <c r="TAU167" s="208"/>
      <c r="TAV167" s="209"/>
      <c r="TAW167" s="207"/>
      <c r="TAX167" s="210"/>
      <c r="TAY167" s="209"/>
      <c r="TAZ167" s="204"/>
      <c r="TBA167" s="204"/>
      <c r="TBB167" s="204"/>
      <c r="TBC167" s="199"/>
      <c r="TBD167" s="167"/>
      <c r="TBE167" s="199"/>
      <c r="TBF167" s="200"/>
      <c r="TBG167" s="201"/>
      <c r="TBH167" s="202"/>
      <c r="TBI167" s="202"/>
      <c r="TBJ167" s="202"/>
      <c r="TBK167" s="202"/>
      <c r="TBL167" s="203"/>
      <c r="TBM167" s="204"/>
      <c r="TBN167" s="204"/>
      <c r="TBO167" s="204"/>
      <c r="TBP167" s="205"/>
      <c r="TBQ167" s="206"/>
      <c r="TBR167" s="207"/>
      <c r="TBS167" s="207"/>
      <c r="TBT167" s="208"/>
      <c r="TBU167" s="209"/>
      <c r="TBV167" s="207"/>
      <c r="TBW167" s="210"/>
      <c r="TBX167" s="209"/>
      <c r="TBY167" s="204"/>
      <c r="TBZ167" s="204"/>
      <c r="TCA167" s="204"/>
      <c r="TCB167" s="199"/>
      <c r="TCC167" s="167"/>
      <c r="TCD167" s="199"/>
      <c r="TCE167" s="200"/>
      <c r="TCF167" s="201"/>
      <c r="TCG167" s="202"/>
      <c r="TCH167" s="202"/>
      <c r="TCI167" s="202"/>
      <c r="TCJ167" s="202"/>
      <c r="TCK167" s="203"/>
      <c r="TCL167" s="204"/>
      <c r="TCM167" s="204"/>
      <c r="TCN167" s="204"/>
      <c r="TCO167" s="205"/>
      <c r="TCP167" s="206"/>
      <c r="TCQ167" s="207"/>
      <c r="TCR167" s="207"/>
      <c r="TCS167" s="208"/>
      <c r="TCT167" s="209"/>
      <c r="TCU167" s="207"/>
      <c r="TCV167" s="210"/>
      <c r="TCW167" s="209"/>
      <c r="TCX167" s="204"/>
      <c r="TCY167" s="204"/>
      <c r="TCZ167" s="204"/>
      <c r="TDA167" s="199"/>
      <c r="TDB167" s="167"/>
      <c r="TDC167" s="199"/>
      <c r="TDD167" s="200"/>
      <c r="TDE167" s="201"/>
      <c r="TDF167" s="202"/>
      <c r="TDG167" s="202"/>
      <c r="TDH167" s="202"/>
      <c r="TDI167" s="202"/>
      <c r="TDJ167" s="203"/>
      <c r="TDK167" s="204"/>
      <c r="TDL167" s="204"/>
      <c r="TDM167" s="204"/>
      <c r="TDN167" s="205"/>
      <c r="TDO167" s="206"/>
      <c r="TDP167" s="207"/>
      <c r="TDQ167" s="207"/>
      <c r="TDR167" s="208"/>
      <c r="TDS167" s="209"/>
      <c r="TDT167" s="207"/>
      <c r="TDU167" s="210"/>
      <c r="TDV167" s="209"/>
      <c r="TDW167" s="204"/>
      <c r="TDX167" s="204"/>
      <c r="TDY167" s="204"/>
      <c r="TDZ167" s="199"/>
      <c r="TEA167" s="167"/>
      <c r="TEB167" s="199"/>
      <c r="TEC167" s="200"/>
      <c r="TED167" s="201"/>
      <c r="TEE167" s="202"/>
      <c r="TEF167" s="202"/>
      <c r="TEG167" s="202"/>
      <c r="TEH167" s="202"/>
      <c r="TEI167" s="203"/>
      <c r="TEJ167" s="204"/>
      <c r="TEK167" s="204"/>
      <c r="TEL167" s="204"/>
      <c r="TEM167" s="205"/>
      <c r="TEN167" s="206"/>
      <c r="TEO167" s="207"/>
      <c r="TEP167" s="207"/>
      <c r="TEQ167" s="208"/>
      <c r="TER167" s="209"/>
      <c r="TES167" s="207"/>
      <c r="TET167" s="210"/>
      <c r="TEU167" s="209"/>
      <c r="TEV167" s="204"/>
      <c r="TEW167" s="204"/>
      <c r="TEX167" s="204"/>
      <c r="TEY167" s="199"/>
      <c r="TEZ167" s="167"/>
      <c r="TFA167" s="199"/>
      <c r="TFB167" s="200"/>
      <c r="TFC167" s="201"/>
      <c r="TFD167" s="202"/>
      <c r="TFE167" s="202"/>
      <c r="TFF167" s="202"/>
      <c r="TFG167" s="202"/>
      <c r="TFH167" s="203"/>
      <c r="TFI167" s="204"/>
      <c r="TFJ167" s="204"/>
      <c r="TFK167" s="204"/>
      <c r="TFL167" s="205"/>
      <c r="TFM167" s="206"/>
      <c r="TFN167" s="207"/>
      <c r="TFO167" s="207"/>
      <c r="TFP167" s="208"/>
      <c r="TFQ167" s="209"/>
      <c r="TFR167" s="207"/>
      <c r="TFS167" s="210"/>
      <c r="TFT167" s="209"/>
      <c r="TFU167" s="204"/>
      <c r="TFV167" s="204"/>
      <c r="TFW167" s="204"/>
      <c r="TFX167" s="199"/>
      <c r="TFY167" s="167"/>
      <c r="TFZ167" s="199"/>
      <c r="TGA167" s="200"/>
      <c r="TGB167" s="201"/>
      <c r="TGC167" s="202"/>
      <c r="TGD167" s="202"/>
      <c r="TGE167" s="202"/>
      <c r="TGF167" s="202"/>
      <c r="TGG167" s="203"/>
      <c r="TGH167" s="204"/>
      <c r="TGI167" s="204"/>
      <c r="TGJ167" s="204"/>
      <c r="TGK167" s="205"/>
      <c r="TGL167" s="206"/>
      <c r="TGM167" s="207"/>
      <c r="TGN167" s="207"/>
      <c r="TGO167" s="208"/>
      <c r="TGP167" s="209"/>
      <c r="TGQ167" s="207"/>
      <c r="TGR167" s="210"/>
      <c r="TGS167" s="209"/>
      <c r="TGT167" s="204"/>
      <c r="TGU167" s="204"/>
      <c r="TGV167" s="204"/>
      <c r="TGW167" s="199"/>
      <c r="TGX167" s="167"/>
      <c r="TGY167" s="199"/>
      <c r="TGZ167" s="200"/>
      <c r="THA167" s="201"/>
      <c r="THB167" s="202"/>
      <c r="THC167" s="202"/>
      <c r="THD167" s="202"/>
      <c r="THE167" s="202"/>
      <c r="THF167" s="203"/>
      <c r="THG167" s="204"/>
      <c r="THH167" s="204"/>
      <c r="THI167" s="204"/>
      <c r="THJ167" s="205"/>
      <c r="THK167" s="206"/>
      <c r="THL167" s="207"/>
      <c r="THM167" s="207"/>
      <c r="THN167" s="208"/>
      <c r="THO167" s="209"/>
      <c r="THP167" s="207"/>
      <c r="THQ167" s="210"/>
      <c r="THR167" s="209"/>
      <c r="THS167" s="204"/>
      <c r="THT167" s="204"/>
      <c r="THU167" s="204"/>
      <c r="THV167" s="199"/>
      <c r="THW167" s="167"/>
      <c r="THX167" s="199"/>
      <c r="THY167" s="200"/>
      <c r="THZ167" s="201"/>
      <c r="TIA167" s="202"/>
      <c r="TIB167" s="202"/>
      <c r="TIC167" s="202"/>
      <c r="TID167" s="202"/>
      <c r="TIE167" s="203"/>
      <c r="TIF167" s="204"/>
      <c r="TIG167" s="204"/>
      <c r="TIH167" s="204"/>
      <c r="TII167" s="205"/>
      <c r="TIJ167" s="206"/>
      <c r="TIK167" s="207"/>
      <c r="TIL167" s="207"/>
      <c r="TIM167" s="208"/>
      <c r="TIN167" s="209"/>
      <c r="TIO167" s="207"/>
      <c r="TIP167" s="210"/>
      <c r="TIQ167" s="209"/>
      <c r="TIR167" s="204"/>
      <c r="TIS167" s="204"/>
      <c r="TIT167" s="204"/>
      <c r="TIU167" s="199"/>
      <c r="TIV167" s="167"/>
      <c r="TIW167" s="199"/>
      <c r="TIX167" s="200"/>
      <c r="TIY167" s="201"/>
      <c r="TIZ167" s="202"/>
      <c r="TJA167" s="202"/>
      <c r="TJB167" s="202"/>
      <c r="TJC167" s="202"/>
      <c r="TJD167" s="203"/>
      <c r="TJE167" s="204"/>
      <c r="TJF167" s="204"/>
      <c r="TJG167" s="204"/>
      <c r="TJH167" s="205"/>
      <c r="TJI167" s="206"/>
      <c r="TJJ167" s="207"/>
      <c r="TJK167" s="207"/>
      <c r="TJL167" s="208"/>
      <c r="TJM167" s="209"/>
      <c r="TJN167" s="207"/>
      <c r="TJO167" s="210"/>
      <c r="TJP167" s="209"/>
      <c r="TJQ167" s="204"/>
      <c r="TJR167" s="204"/>
      <c r="TJS167" s="204"/>
      <c r="TJT167" s="199"/>
      <c r="TJU167" s="167"/>
      <c r="TJV167" s="199"/>
      <c r="TJW167" s="200"/>
      <c r="TJX167" s="201"/>
      <c r="TJY167" s="202"/>
      <c r="TJZ167" s="202"/>
      <c r="TKA167" s="202"/>
      <c r="TKB167" s="202"/>
      <c r="TKC167" s="203"/>
      <c r="TKD167" s="204"/>
      <c r="TKE167" s="204"/>
      <c r="TKF167" s="204"/>
      <c r="TKG167" s="205"/>
      <c r="TKH167" s="206"/>
      <c r="TKI167" s="207"/>
      <c r="TKJ167" s="207"/>
      <c r="TKK167" s="208"/>
      <c r="TKL167" s="209"/>
      <c r="TKM167" s="207"/>
      <c r="TKN167" s="210"/>
      <c r="TKO167" s="209"/>
      <c r="TKP167" s="204"/>
      <c r="TKQ167" s="204"/>
      <c r="TKR167" s="204"/>
      <c r="TKS167" s="199"/>
      <c r="TKT167" s="167"/>
      <c r="TKU167" s="199"/>
      <c r="TKV167" s="200"/>
      <c r="TKW167" s="201"/>
      <c r="TKX167" s="202"/>
      <c r="TKY167" s="202"/>
      <c r="TKZ167" s="202"/>
      <c r="TLA167" s="202"/>
      <c r="TLB167" s="203"/>
      <c r="TLC167" s="204"/>
      <c r="TLD167" s="204"/>
      <c r="TLE167" s="204"/>
      <c r="TLF167" s="205"/>
      <c r="TLG167" s="206"/>
      <c r="TLH167" s="207"/>
      <c r="TLI167" s="207"/>
      <c r="TLJ167" s="208"/>
      <c r="TLK167" s="209"/>
      <c r="TLL167" s="207"/>
      <c r="TLM167" s="210"/>
      <c r="TLN167" s="209"/>
      <c r="TLO167" s="204"/>
      <c r="TLP167" s="204"/>
      <c r="TLQ167" s="204"/>
      <c r="TLR167" s="199"/>
      <c r="TLS167" s="167"/>
      <c r="TLT167" s="199"/>
      <c r="TLU167" s="200"/>
      <c r="TLV167" s="201"/>
      <c r="TLW167" s="202"/>
      <c r="TLX167" s="202"/>
      <c r="TLY167" s="202"/>
      <c r="TLZ167" s="202"/>
      <c r="TMA167" s="203"/>
      <c r="TMB167" s="204"/>
      <c r="TMC167" s="204"/>
      <c r="TMD167" s="204"/>
      <c r="TME167" s="205"/>
      <c r="TMF167" s="206"/>
      <c r="TMG167" s="207"/>
      <c r="TMH167" s="207"/>
      <c r="TMI167" s="208"/>
      <c r="TMJ167" s="209"/>
      <c r="TMK167" s="207"/>
      <c r="TML167" s="210"/>
      <c r="TMM167" s="209"/>
      <c r="TMN167" s="204"/>
      <c r="TMO167" s="204"/>
      <c r="TMP167" s="204"/>
      <c r="TMQ167" s="199"/>
      <c r="TMR167" s="167"/>
      <c r="TMS167" s="199"/>
      <c r="TMT167" s="200"/>
      <c r="TMU167" s="201"/>
      <c r="TMV167" s="202"/>
      <c r="TMW167" s="202"/>
      <c r="TMX167" s="202"/>
      <c r="TMY167" s="202"/>
      <c r="TMZ167" s="203"/>
      <c r="TNA167" s="204"/>
      <c r="TNB167" s="204"/>
      <c r="TNC167" s="204"/>
      <c r="TND167" s="205"/>
      <c r="TNE167" s="206"/>
      <c r="TNF167" s="207"/>
      <c r="TNG167" s="207"/>
      <c r="TNH167" s="208"/>
      <c r="TNI167" s="209"/>
      <c r="TNJ167" s="207"/>
      <c r="TNK167" s="210"/>
      <c r="TNL167" s="209"/>
      <c r="TNM167" s="204"/>
      <c r="TNN167" s="204"/>
      <c r="TNO167" s="204"/>
      <c r="TNP167" s="199"/>
      <c r="TNQ167" s="167"/>
      <c r="TNR167" s="199"/>
      <c r="TNS167" s="200"/>
      <c r="TNT167" s="201"/>
      <c r="TNU167" s="202"/>
      <c r="TNV167" s="202"/>
      <c r="TNW167" s="202"/>
      <c r="TNX167" s="202"/>
      <c r="TNY167" s="203"/>
      <c r="TNZ167" s="204"/>
      <c r="TOA167" s="204"/>
      <c r="TOB167" s="204"/>
      <c r="TOC167" s="205"/>
      <c r="TOD167" s="206"/>
      <c r="TOE167" s="207"/>
      <c r="TOF167" s="207"/>
      <c r="TOG167" s="208"/>
      <c r="TOH167" s="209"/>
      <c r="TOI167" s="207"/>
      <c r="TOJ167" s="210"/>
      <c r="TOK167" s="209"/>
      <c r="TOL167" s="204"/>
      <c r="TOM167" s="204"/>
      <c r="TON167" s="204"/>
      <c r="TOO167" s="199"/>
      <c r="TOP167" s="167"/>
      <c r="TOQ167" s="199"/>
      <c r="TOR167" s="200"/>
      <c r="TOS167" s="201"/>
      <c r="TOT167" s="202"/>
      <c r="TOU167" s="202"/>
      <c r="TOV167" s="202"/>
      <c r="TOW167" s="202"/>
      <c r="TOX167" s="203"/>
      <c r="TOY167" s="204"/>
      <c r="TOZ167" s="204"/>
      <c r="TPA167" s="204"/>
      <c r="TPB167" s="205"/>
      <c r="TPC167" s="206"/>
      <c r="TPD167" s="207"/>
      <c r="TPE167" s="207"/>
      <c r="TPF167" s="208"/>
      <c r="TPG167" s="209"/>
      <c r="TPH167" s="207"/>
      <c r="TPI167" s="210"/>
      <c r="TPJ167" s="209"/>
      <c r="TPK167" s="204"/>
      <c r="TPL167" s="204"/>
      <c r="TPM167" s="204"/>
      <c r="TPN167" s="199"/>
      <c r="TPO167" s="167"/>
      <c r="TPP167" s="199"/>
      <c r="TPQ167" s="200"/>
      <c r="TPR167" s="201"/>
      <c r="TPS167" s="202"/>
      <c r="TPT167" s="202"/>
      <c r="TPU167" s="202"/>
      <c r="TPV167" s="202"/>
      <c r="TPW167" s="203"/>
      <c r="TPX167" s="204"/>
      <c r="TPY167" s="204"/>
      <c r="TPZ167" s="204"/>
      <c r="TQA167" s="205"/>
      <c r="TQB167" s="206"/>
      <c r="TQC167" s="207"/>
      <c r="TQD167" s="207"/>
      <c r="TQE167" s="208"/>
      <c r="TQF167" s="209"/>
      <c r="TQG167" s="207"/>
      <c r="TQH167" s="210"/>
      <c r="TQI167" s="209"/>
      <c r="TQJ167" s="204"/>
      <c r="TQK167" s="204"/>
      <c r="TQL167" s="204"/>
      <c r="TQM167" s="199"/>
      <c r="TQN167" s="167"/>
      <c r="TQO167" s="199"/>
      <c r="TQP167" s="200"/>
      <c r="TQQ167" s="201"/>
      <c r="TQR167" s="202"/>
      <c r="TQS167" s="202"/>
      <c r="TQT167" s="202"/>
      <c r="TQU167" s="202"/>
      <c r="TQV167" s="203"/>
      <c r="TQW167" s="204"/>
      <c r="TQX167" s="204"/>
      <c r="TQY167" s="204"/>
      <c r="TQZ167" s="205"/>
      <c r="TRA167" s="206"/>
      <c r="TRB167" s="207"/>
      <c r="TRC167" s="207"/>
      <c r="TRD167" s="208"/>
      <c r="TRE167" s="209"/>
      <c r="TRF167" s="207"/>
      <c r="TRG167" s="210"/>
      <c r="TRH167" s="209"/>
      <c r="TRI167" s="204"/>
      <c r="TRJ167" s="204"/>
      <c r="TRK167" s="204"/>
      <c r="TRL167" s="199"/>
      <c r="TRM167" s="167"/>
      <c r="TRN167" s="199"/>
      <c r="TRO167" s="200"/>
      <c r="TRP167" s="201"/>
      <c r="TRQ167" s="202"/>
      <c r="TRR167" s="202"/>
      <c r="TRS167" s="202"/>
      <c r="TRT167" s="202"/>
      <c r="TRU167" s="203"/>
      <c r="TRV167" s="204"/>
      <c r="TRW167" s="204"/>
      <c r="TRX167" s="204"/>
      <c r="TRY167" s="205"/>
      <c r="TRZ167" s="206"/>
      <c r="TSA167" s="207"/>
      <c r="TSB167" s="207"/>
      <c r="TSC167" s="208"/>
      <c r="TSD167" s="209"/>
      <c r="TSE167" s="207"/>
      <c r="TSF167" s="210"/>
      <c r="TSG167" s="209"/>
      <c r="TSH167" s="204"/>
      <c r="TSI167" s="204"/>
      <c r="TSJ167" s="204"/>
      <c r="TSK167" s="199"/>
      <c r="TSL167" s="167"/>
      <c r="TSM167" s="199"/>
      <c r="TSN167" s="200"/>
      <c r="TSO167" s="201"/>
      <c r="TSP167" s="202"/>
      <c r="TSQ167" s="202"/>
      <c r="TSR167" s="202"/>
      <c r="TSS167" s="202"/>
      <c r="TST167" s="203"/>
      <c r="TSU167" s="204"/>
      <c r="TSV167" s="204"/>
      <c r="TSW167" s="204"/>
      <c r="TSX167" s="205"/>
      <c r="TSY167" s="206"/>
      <c r="TSZ167" s="207"/>
      <c r="TTA167" s="207"/>
      <c r="TTB167" s="208"/>
      <c r="TTC167" s="209"/>
      <c r="TTD167" s="207"/>
      <c r="TTE167" s="210"/>
      <c r="TTF167" s="209"/>
      <c r="TTG167" s="204"/>
      <c r="TTH167" s="204"/>
      <c r="TTI167" s="204"/>
      <c r="TTJ167" s="199"/>
      <c r="TTK167" s="167"/>
      <c r="TTL167" s="199"/>
      <c r="TTM167" s="200"/>
      <c r="TTN167" s="201"/>
      <c r="TTO167" s="202"/>
      <c r="TTP167" s="202"/>
      <c r="TTQ167" s="202"/>
      <c r="TTR167" s="202"/>
      <c r="TTS167" s="203"/>
      <c r="TTT167" s="204"/>
      <c r="TTU167" s="204"/>
      <c r="TTV167" s="204"/>
      <c r="TTW167" s="205"/>
      <c r="TTX167" s="206"/>
      <c r="TTY167" s="207"/>
      <c r="TTZ167" s="207"/>
      <c r="TUA167" s="208"/>
      <c r="TUB167" s="209"/>
      <c r="TUC167" s="207"/>
      <c r="TUD167" s="210"/>
      <c r="TUE167" s="209"/>
      <c r="TUF167" s="204"/>
      <c r="TUG167" s="204"/>
      <c r="TUH167" s="204"/>
      <c r="TUI167" s="199"/>
      <c r="TUJ167" s="167"/>
      <c r="TUK167" s="199"/>
      <c r="TUL167" s="200"/>
      <c r="TUM167" s="201"/>
      <c r="TUN167" s="202"/>
      <c r="TUO167" s="202"/>
      <c r="TUP167" s="202"/>
      <c r="TUQ167" s="202"/>
      <c r="TUR167" s="203"/>
      <c r="TUS167" s="204"/>
      <c r="TUT167" s="204"/>
      <c r="TUU167" s="204"/>
      <c r="TUV167" s="205"/>
      <c r="TUW167" s="206"/>
      <c r="TUX167" s="207"/>
      <c r="TUY167" s="207"/>
      <c r="TUZ167" s="208"/>
      <c r="TVA167" s="209"/>
      <c r="TVB167" s="207"/>
      <c r="TVC167" s="210"/>
      <c r="TVD167" s="209"/>
      <c r="TVE167" s="204"/>
      <c r="TVF167" s="204"/>
      <c r="TVG167" s="204"/>
      <c r="TVH167" s="199"/>
      <c r="TVI167" s="167"/>
      <c r="TVJ167" s="199"/>
      <c r="TVK167" s="200"/>
      <c r="TVL167" s="201"/>
      <c r="TVM167" s="202"/>
      <c r="TVN167" s="202"/>
      <c r="TVO167" s="202"/>
      <c r="TVP167" s="202"/>
      <c r="TVQ167" s="203"/>
      <c r="TVR167" s="204"/>
      <c r="TVS167" s="204"/>
      <c r="TVT167" s="204"/>
      <c r="TVU167" s="205"/>
      <c r="TVV167" s="206"/>
      <c r="TVW167" s="207"/>
      <c r="TVX167" s="207"/>
      <c r="TVY167" s="208"/>
      <c r="TVZ167" s="209"/>
      <c r="TWA167" s="207"/>
      <c r="TWB167" s="210"/>
      <c r="TWC167" s="209"/>
      <c r="TWD167" s="204"/>
      <c r="TWE167" s="204"/>
      <c r="TWF167" s="204"/>
      <c r="TWG167" s="199"/>
      <c r="TWH167" s="167"/>
      <c r="TWI167" s="199"/>
      <c r="TWJ167" s="200"/>
      <c r="TWK167" s="201"/>
      <c r="TWL167" s="202"/>
      <c r="TWM167" s="202"/>
      <c r="TWN167" s="202"/>
      <c r="TWO167" s="202"/>
      <c r="TWP167" s="203"/>
      <c r="TWQ167" s="204"/>
      <c r="TWR167" s="204"/>
      <c r="TWS167" s="204"/>
      <c r="TWT167" s="205"/>
      <c r="TWU167" s="206"/>
      <c r="TWV167" s="207"/>
      <c r="TWW167" s="207"/>
      <c r="TWX167" s="208"/>
      <c r="TWY167" s="209"/>
      <c r="TWZ167" s="207"/>
      <c r="TXA167" s="210"/>
      <c r="TXB167" s="209"/>
      <c r="TXC167" s="204"/>
      <c r="TXD167" s="204"/>
      <c r="TXE167" s="204"/>
      <c r="TXF167" s="199"/>
      <c r="TXG167" s="167"/>
      <c r="TXH167" s="199"/>
      <c r="TXI167" s="200"/>
      <c r="TXJ167" s="201"/>
      <c r="TXK167" s="202"/>
      <c r="TXL167" s="202"/>
      <c r="TXM167" s="202"/>
      <c r="TXN167" s="202"/>
      <c r="TXO167" s="203"/>
      <c r="TXP167" s="204"/>
      <c r="TXQ167" s="204"/>
      <c r="TXR167" s="204"/>
      <c r="TXS167" s="205"/>
      <c r="TXT167" s="206"/>
      <c r="TXU167" s="207"/>
      <c r="TXV167" s="207"/>
      <c r="TXW167" s="208"/>
      <c r="TXX167" s="209"/>
      <c r="TXY167" s="207"/>
      <c r="TXZ167" s="210"/>
      <c r="TYA167" s="209"/>
      <c r="TYB167" s="204"/>
      <c r="TYC167" s="204"/>
      <c r="TYD167" s="204"/>
      <c r="TYE167" s="199"/>
      <c r="TYF167" s="167"/>
      <c r="TYG167" s="199"/>
      <c r="TYH167" s="200"/>
      <c r="TYI167" s="201"/>
      <c r="TYJ167" s="202"/>
      <c r="TYK167" s="202"/>
      <c r="TYL167" s="202"/>
      <c r="TYM167" s="202"/>
      <c r="TYN167" s="203"/>
      <c r="TYO167" s="204"/>
      <c r="TYP167" s="204"/>
      <c r="TYQ167" s="204"/>
      <c r="TYR167" s="205"/>
      <c r="TYS167" s="206"/>
      <c r="TYT167" s="207"/>
      <c r="TYU167" s="207"/>
      <c r="TYV167" s="208"/>
      <c r="TYW167" s="209"/>
      <c r="TYX167" s="207"/>
      <c r="TYY167" s="210"/>
      <c r="TYZ167" s="209"/>
      <c r="TZA167" s="204"/>
      <c r="TZB167" s="204"/>
      <c r="TZC167" s="204"/>
      <c r="TZD167" s="199"/>
      <c r="TZE167" s="167"/>
      <c r="TZF167" s="199"/>
      <c r="TZG167" s="200"/>
      <c r="TZH167" s="201"/>
      <c r="TZI167" s="202"/>
      <c r="TZJ167" s="202"/>
      <c r="TZK167" s="202"/>
      <c r="TZL167" s="202"/>
      <c r="TZM167" s="203"/>
      <c r="TZN167" s="204"/>
      <c r="TZO167" s="204"/>
      <c r="TZP167" s="204"/>
      <c r="TZQ167" s="205"/>
      <c r="TZR167" s="206"/>
      <c r="TZS167" s="207"/>
      <c r="TZT167" s="207"/>
      <c r="TZU167" s="208"/>
      <c r="TZV167" s="209"/>
      <c r="TZW167" s="207"/>
      <c r="TZX167" s="210"/>
      <c r="TZY167" s="209"/>
      <c r="TZZ167" s="204"/>
      <c r="UAA167" s="204"/>
      <c r="UAB167" s="204"/>
      <c r="UAC167" s="199"/>
      <c r="UAD167" s="167"/>
      <c r="UAE167" s="199"/>
      <c r="UAF167" s="200"/>
      <c r="UAG167" s="201"/>
      <c r="UAH167" s="202"/>
      <c r="UAI167" s="202"/>
      <c r="UAJ167" s="202"/>
      <c r="UAK167" s="202"/>
      <c r="UAL167" s="203"/>
      <c r="UAM167" s="204"/>
      <c r="UAN167" s="204"/>
      <c r="UAO167" s="204"/>
      <c r="UAP167" s="205"/>
      <c r="UAQ167" s="206"/>
      <c r="UAR167" s="207"/>
      <c r="UAS167" s="207"/>
      <c r="UAT167" s="208"/>
      <c r="UAU167" s="209"/>
      <c r="UAV167" s="207"/>
      <c r="UAW167" s="210"/>
      <c r="UAX167" s="209"/>
      <c r="UAY167" s="204"/>
      <c r="UAZ167" s="204"/>
      <c r="UBA167" s="204"/>
      <c r="UBB167" s="199"/>
      <c r="UBC167" s="167"/>
      <c r="UBD167" s="199"/>
      <c r="UBE167" s="200"/>
      <c r="UBF167" s="201"/>
      <c r="UBG167" s="202"/>
      <c r="UBH167" s="202"/>
      <c r="UBI167" s="202"/>
      <c r="UBJ167" s="202"/>
      <c r="UBK167" s="203"/>
      <c r="UBL167" s="204"/>
      <c r="UBM167" s="204"/>
      <c r="UBN167" s="204"/>
      <c r="UBO167" s="205"/>
      <c r="UBP167" s="206"/>
      <c r="UBQ167" s="207"/>
      <c r="UBR167" s="207"/>
      <c r="UBS167" s="208"/>
      <c r="UBT167" s="209"/>
      <c r="UBU167" s="207"/>
      <c r="UBV167" s="210"/>
      <c r="UBW167" s="209"/>
      <c r="UBX167" s="204"/>
      <c r="UBY167" s="204"/>
      <c r="UBZ167" s="204"/>
      <c r="UCA167" s="199"/>
      <c r="UCB167" s="167"/>
      <c r="UCC167" s="199"/>
      <c r="UCD167" s="200"/>
      <c r="UCE167" s="201"/>
      <c r="UCF167" s="202"/>
      <c r="UCG167" s="202"/>
      <c r="UCH167" s="202"/>
      <c r="UCI167" s="202"/>
      <c r="UCJ167" s="203"/>
      <c r="UCK167" s="204"/>
      <c r="UCL167" s="204"/>
      <c r="UCM167" s="204"/>
      <c r="UCN167" s="205"/>
      <c r="UCO167" s="206"/>
      <c r="UCP167" s="207"/>
      <c r="UCQ167" s="207"/>
      <c r="UCR167" s="208"/>
      <c r="UCS167" s="209"/>
      <c r="UCT167" s="207"/>
      <c r="UCU167" s="210"/>
      <c r="UCV167" s="209"/>
      <c r="UCW167" s="204"/>
      <c r="UCX167" s="204"/>
      <c r="UCY167" s="204"/>
      <c r="UCZ167" s="199"/>
      <c r="UDA167" s="167"/>
      <c r="UDB167" s="199"/>
      <c r="UDC167" s="200"/>
      <c r="UDD167" s="201"/>
      <c r="UDE167" s="202"/>
      <c r="UDF167" s="202"/>
      <c r="UDG167" s="202"/>
      <c r="UDH167" s="202"/>
      <c r="UDI167" s="203"/>
      <c r="UDJ167" s="204"/>
      <c r="UDK167" s="204"/>
      <c r="UDL167" s="204"/>
      <c r="UDM167" s="205"/>
      <c r="UDN167" s="206"/>
      <c r="UDO167" s="207"/>
      <c r="UDP167" s="207"/>
      <c r="UDQ167" s="208"/>
      <c r="UDR167" s="209"/>
      <c r="UDS167" s="207"/>
      <c r="UDT167" s="210"/>
      <c r="UDU167" s="209"/>
      <c r="UDV167" s="204"/>
      <c r="UDW167" s="204"/>
      <c r="UDX167" s="204"/>
      <c r="UDY167" s="199"/>
      <c r="UDZ167" s="167"/>
      <c r="UEA167" s="199"/>
      <c r="UEB167" s="200"/>
      <c r="UEC167" s="201"/>
      <c r="UED167" s="202"/>
      <c r="UEE167" s="202"/>
      <c r="UEF167" s="202"/>
      <c r="UEG167" s="202"/>
      <c r="UEH167" s="203"/>
      <c r="UEI167" s="204"/>
      <c r="UEJ167" s="204"/>
      <c r="UEK167" s="204"/>
      <c r="UEL167" s="205"/>
      <c r="UEM167" s="206"/>
      <c r="UEN167" s="207"/>
      <c r="UEO167" s="207"/>
      <c r="UEP167" s="208"/>
      <c r="UEQ167" s="209"/>
      <c r="UER167" s="207"/>
      <c r="UES167" s="210"/>
      <c r="UET167" s="209"/>
      <c r="UEU167" s="204"/>
      <c r="UEV167" s="204"/>
      <c r="UEW167" s="204"/>
      <c r="UEX167" s="199"/>
      <c r="UEY167" s="167"/>
      <c r="UEZ167" s="199"/>
      <c r="UFA167" s="200"/>
      <c r="UFB167" s="201"/>
      <c r="UFC167" s="202"/>
      <c r="UFD167" s="202"/>
      <c r="UFE167" s="202"/>
      <c r="UFF167" s="202"/>
      <c r="UFG167" s="203"/>
      <c r="UFH167" s="204"/>
      <c r="UFI167" s="204"/>
      <c r="UFJ167" s="204"/>
      <c r="UFK167" s="205"/>
      <c r="UFL167" s="206"/>
      <c r="UFM167" s="207"/>
      <c r="UFN167" s="207"/>
      <c r="UFO167" s="208"/>
      <c r="UFP167" s="209"/>
      <c r="UFQ167" s="207"/>
      <c r="UFR167" s="210"/>
      <c r="UFS167" s="209"/>
      <c r="UFT167" s="204"/>
      <c r="UFU167" s="204"/>
      <c r="UFV167" s="204"/>
      <c r="UFW167" s="199"/>
      <c r="UFX167" s="167"/>
      <c r="UFY167" s="199"/>
      <c r="UFZ167" s="200"/>
      <c r="UGA167" s="201"/>
      <c r="UGB167" s="202"/>
      <c r="UGC167" s="202"/>
      <c r="UGD167" s="202"/>
      <c r="UGE167" s="202"/>
      <c r="UGF167" s="203"/>
      <c r="UGG167" s="204"/>
      <c r="UGH167" s="204"/>
      <c r="UGI167" s="204"/>
      <c r="UGJ167" s="205"/>
      <c r="UGK167" s="206"/>
      <c r="UGL167" s="207"/>
      <c r="UGM167" s="207"/>
      <c r="UGN167" s="208"/>
      <c r="UGO167" s="209"/>
      <c r="UGP167" s="207"/>
      <c r="UGQ167" s="210"/>
      <c r="UGR167" s="209"/>
      <c r="UGS167" s="204"/>
      <c r="UGT167" s="204"/>
      <c r="UGU167" s="204"/>
      <c r="UGV167" s="199"/>
      <c r="UGW167" s="167"/>
      <c r="UGX167" s="199"/>
      <c r="UGY167" s="200"/>
      <c r="UGZ167" s="201"/>
      <c r="UHA167" s="202"/>
      <c r="UHB167" s="202"/>
      <c r="UHC167" s="202"/>
      <c r="UHD167" s="202"/>
      <c r="UHE167" s="203"/>
      <c r="UHF167" s="204"/>
      <c r="UHG167" s="204"/>
      <c r="UHH167" s="204"/>
      <c r="UHI167" s="205"/>
      <c r="UHJ167" s="206"/>
      <c r="UHK167" s="207"/>
      <c r="UHL167" s="207"/>
      <c r="UHM167" s="208"/>
      <c r="UHN167" s="209"/>
      <c r="UHO167" s="207"/>
      <c r="UHP167" s="210"/>
      <c r="UHQ167" s="209"/>
      <c r="UHR167" s="204"/>
      <c r="UHS167" s="204"/>
      <c r="UHT167" s="204"/>
      <c r="UHU167" s="199"/>
      <c r="UHV167" s="167"/>
      <c r="UHW167" s="199"/>
      <c r="UHX167" s="200"/>
      <c r="UHY167" s="201"/>
      <c r="UHZ167" s="202"/>
      <c r="UIA167" s="202"/>
      <c r="UIB167" s="202"/>
      <c r="UIC167" s="202"/>
      <c r="UID167" s="203"/>
      <c r="UIE167" s="204"/>
      <c r="UIF167" s="204"/>
      <c r="UIG167" s="204"/>
      <c r="UIH167" s="205"/>
      <c r="UII167" s="206"/>
      <c r="UIJ167" s="207"/>
      <c r="UIK167" s="207"/>
      <c r="UIL167" s="208"/>
      <c r="UIM167" s="209"/>
      <c r="UIN167" s="207"/>
      <c r="UIO167" s="210"/>
      <c r="UIP167" s="209"/>
      <c r="UIQ167" s="204"/>
      <c r="UIR167" s="204"/>
      <c r="UIS167" s="204"/>
      <c r="UIT167" s="199"/>
      <c r="UIU167" s="167"/>
      <c r="UIV167" s="199"/>
      <c r="UIW167" s="200"/>
      <c r="UIX167" s="201"/>
      <c r="UIY167" s="202"/>
      <c r="UIZ167" s="202"/>
      <c r="UJA167" s="202"/>
      <c r="UJB167" s="202"/>
      <c r="UJC167" s="203"/>
      <c r="UJD167" s="204"/>
      <c r="UJE167" s="204"/>
      <c r="UJF167" s="204"/>
      <c r="UJG167" s="205"/>
      <c r="UJH167" s="206"/>
      <c r="UJI167" s="207"/>
      <c r="UJJ167" s="207"/>
      <c r="UJK167" s="208"/>
      <c r="UJL167" s="209"/>
      <c r="UJM167" s="207"/>
      <c r="UJN167" s="210"/>
      <c r="UJO167" s="209"/>
      <c r="UJP167" s="204"/>
      <c r="UJQ167" s="204"/>
      <c r="UJR167" s="204"/>
      <c r="UJS167" s="199"/>
      <c r="UJT167" s="167"/>
      <c r="UJU167" s="199"/>
      <c r="UJV167" s="200"/>
      <c r="UJW167" s="201"/>
      <c r="UJX167" s="202"/>
      <c r="UJY167" s="202"/>
      <c r="UJZ167" s="202"/>
      <c r="UKA167" s="202"/>
      <c r="UKB167" s="203"/>
      <c r="UKC167" s="204"/>
      <c r="UKD167" s="204"/>
      <c r="UKE167" s="204"/>
      <c r="UKF167" s="205"/>
      <c r="UKG167" s="206"/>
      <c r="UKH167" s="207"/>
      <c r="UKI167" s="207"/>
      <c r="UKJ167" s="208"/>
      <c r="UKK167" s="209"/>
      <c r="UKL167" s="207"/>
      <c r="UKM167" s="210"/>
      <c r="UKN167" s="209"/>
      <c r="UKO167" s="204"/>
      <c r="UKP167" s="204"/>
      <c r="UKQ167" s="204"/>
      <c r="UKR167" s="199"/>
      <c r="UKS167" s="167"/>
      <c r="UKT167" s="199"/>
      <c r="UKU167" s="200"/>
      <c r="UKV167" s="201"/>
      <c r="UKW167" s="202"/>
      <c r="UKX167" s="202"/>
      <c r="UKY167" s="202"/>
      <c r="UKZ167" s="202"/>
      <c r="ULA167" s="203"/>
      <c r="ULB167" s="204"/>
      <c r="ULC167" s="204"/>
      <c r="ULD167" s="204"/>
      <c r="ULE167" s="205"/>
      <c r="ULF167" s="206"/>
      <c r="ULG167" s="207"/>
      <c r="ULH167" s="207"/>
      <c r="ULI167" s="208"/>
      <c r="ULJ167" s="209"/>
      <c r="ULK167" s="207"/>
      <c r="ULL167" s="210"/>
      <c r="ULM167" s="209"/>
      <c r="ULN167" s="204"/>
      <c r="ULO167" s="204"/>
      <c r="ULP167" s="204"/>
      <c r="ULQ167" s="199"/>
      <c r="ULR167" s="167"/>
      <c r="ULS167" s="199"/>
      <c r="ULT167" s="200"/>
      <c r="ULU167" s="201"/>
      <c r="ULV167" s="202"/>
      <c r="ULW167" s="202"/>
      <c r="ULX167" s="202"/>
      <c r="ULY167" s="202"/>
      <c r="ULZ167" s="203"/>
      <c r="UMA167" s="204"/>
      <c r="UMB167" s="204"/>
      <c r="UMC167" s="204"/>
      <c r="UMD167" s="205"/>
      <c r="UME167" s="206"/>
      <c r="UMF167" s="207"/>
      <c r="UMG167" s="207"/>
      <c r="UMH167" s="208"/>
      <c r="UMI167" s="209"/>
      <c r="UMJ167" s="207"/>
      <c r="UMK167" s="210"/>
      <c r="UML167" s="209"/>
      <c r="UMM167" s="204"/>
      <c r="UMN167" s="204"/>
      <c r="UMO167" s="204"/>
      <c r="UMP167" s="199"/>
      <c r="UMQ167" s="167"/>
      <c r="UMR167" s="199"/>
      <c r="UMS167" s="200"/>
      <c r="UMT167" s="201"/>
      <c r="UMU167" s="202"/>
      <c r="UMV167" s="202"/>
      <c r="UMW167" s="202"/>
      <c r="UMX167" s="202"/>
      <c r="UMY167" s="203"/>
      <c r="UMZ167" s="204"/>
      <c r="UNA167" s="204"/>
      <c r="UNB167" s="204"/>
      <c r="UNC167" s="205"/>
      <c r="UND167" s="206"/>
      <c r="UNE167" s="207"/>
      <c r="UNF167" s="207"/>
      <c r="UNG167" s="208"/>
      <c r="UNH167" s="209"/>
      <c r="UNI167" s="207"/>
      <c r="UNJ167" s="210"/>
      <c r="UNK167" s="209"/>
      <c r="UNL167" s="204"/>
      <c r="UNM167" s="204"/>
      <c r="UNN167" s="204"/>
      <c r="UNO167" s="199"/>
      <c r="UNP167" s="167"/>
      <c r="UNQ167" s="199"/>
      <c r="UNR167" s="200"/>
      <c r="UNS167" s="201"/>
      <c r="UNT167" s="202"/>
      <c r="UNU167" s="202"/>
      <c r="UNV167" s="202"/>
      <c r="UNW167" s="202"/>
      <c r="UNX167" s="203"/>
      <c r="UNY167" s="204"/>
      <c r="UNZ167" s="204"/>
      <c r="UOA167" s="204"/>
      <c r="UOB167" s="205"/>
      <c r="UOC167" s="206"/>
      <c r="UOD167" s="207"/>
      <c r="UOE167" s="207"/>
      <c r="UOF167" s="208"/>
      <c r="UOG167" s="209"/>
      <c r="UOH167" s="207"/>
      <c r="UOI167" s="210"/>
      <c r="UOJ167" s="209"/>
      <c r="UOK167" s="204"/>
      <c r="UOL167" s="204"/>
      <c r="UOM167" s="204"/>
      <c r="UON167" s="199"/>
      <c r="UOO167" s="167"/>
      <c r="UOP167" s="199"/>
      <c r="UOQ167" s="200"/>
      <c r="UOR167" s="201"/>
      <c r="UOS167" s="202"/>
      <c r="UOT167" s="202"/>
      <c r="UOU167" s="202"/>
      <c r="UOV167" s="202"/>
      <c r="UOW167" s="203"/>
      <c r="UOX167" s="204"/>
      <c r="UOY167" s="204"/>
      <c r="UOZ167" s="204"/>
      <c r="UPA167" s="205"/>
      <c r="UPB167" s="206"/>
      <c r="UPC167" s="207"/>
      <c r="UPD167" s="207"/>
      <c r="UPE167" s="208"/>
      <c r="UPF167" s="209"/>
      <c r="UPG167" s="207"/>
      <c r="UPH167" s="210"/>
      <c r="UPI167" s="209"/>
      <c r="UPJ167" s="204"/>
      <c r="UPK167" s="204"/>
      <c r="UPL167" s="204"/>
      <c r="UPM167" s="199"/>
      <c r="UPN167" s="167"/>
      <c r="UPO167" s="199"/>
      <c r="UPP167" s="200"/>
      <c r="UPQ167" s="201"/>
      <c r="UPR167" s="202"/>
      <c r="UPS167" s="202"/>
      <c r="UPT167" s="202"/>
      <c r="UPU167" s="202"/>
      <c r="UPV167" s="203"/>
      <c r="UPW167" s="204"/>
      <c r="UPX167" s="204"/>
      <c r="UPY167" s="204"/>
      <c r="UPZ167" s="205"/>
      <c r="UQA167" s="206"/>
      <c r="UQB167" s="207"/>
      <c r="UQC167" s="207"/>
      <c r="UQD167" s="208"/>
      <c r="UQE167" s="209"/>
      <c r="UQF167" s="207"/>
      <c r="UQG167" s="210"/>
      <c r="UQH167" s="209"/>
      <c r="UQI167" s="204"/>
      <c r="UQJ167" s="204"/>
      <c r="UQK167" s="204"/>
      <c r="UQL167" s="199"/>
      <c r="UQM167" s="167"/>
      <c r="UQN167" s="199"/>
      <c r="UQO167" s="200"/>
      <c r="UQP167" s="201"/>
      <c r="UQQ167" s="202"/>
      <c r="UQR167" s="202"/>
      <c r="UQS167" s="202"/>
      <c r="UQT167" s="202"/>
      <c r="UQU167" s="203"/>
      <c r="UQV167" s="204"/>
      <c r="UQW167" s="204"/>
      <c r="UQX167" s="204"/>
      <c r="UQY167" s="205"/>
      <c r="UQZ167" s="206"/>
      <c r="URA167" s="207"/>
      <c r="URB167" s="207"/>
      <c r="URC167" s="208"/>
      <c r="URD167" s="209"/>
      <c r="URE167" s="207"/>
      <c r="URF167" s="210"/>
      <c r="URG167" s="209"/>
      <c r="URH167" s="204"/>
      <c r="URI167" s="204"/>
      <c r="URJ167" s="204"/>
      <c r="URK167" s="199"/>
      <c r="URL167" s="167"/>
      <c r="URM167" s="199"/>
      <c r="URN167" s="200"/>
      <c r="URO167" s="201"/>
      <c r="URP167" s="202"/>
      <c r="URQ167" s="202"/>
      <c r="URR167" s="202"/>
      <c r="URS167" s="202"/>
      <c r="URT167" s="203"/>
      <c r="URU167" s="204"/>
      <c r="URV167" s="204"/>
      <c r="URW167" s="204"/>
      <c r="URX167" s="205"/>
      <c r="URY167" s="206"/>
      <c r="URZ167" s="207"/>
      <c r="USA167" s="207"/>
      <c r="USB167" s="208"/>
      <c r="USC167" s="209"/>
      <c r="USD167" s="207"/>
      <c r="USE167" s="210"/>
      <c r="USF167" s="209"/>
      <c r="USG167" s="204"/>
      <c r="USH167" s="204"/>
      <c r="USI167" s="204"/>
      <c r="USJ167" s="199"/>
      <c r="USK167" s="167"/>
      <c r="USL167" s="199"/>
      <c r="USM167" s="200"/>
      <c r="USN167" s="201"/>
      <c r="USO167" s="202"/>
      <c r="USP167" s="202"/>
      <c r="USQ167" s="202"/>
      <c r="USR167" s="202"/>
      <c r="USS167" s="203"/>
      <c r="UST167" s="204"/>
      <c r="USU167" s="204"/>
      <c r="USV167" s="204"/>
      <c r="USW167" s="205"/>
      <c r="USX167" s="206"/>
      <c r="USY167" s="207"/>
      <c r="USZ167" s="207"/>
      <c r="UTA167" s="208"/>
      <c r="UTB167" s="209"/>
      <c r="UTC167" s="207"/>
      <c r="UTD167" s="210"/>
      <c r="UTE167" s="209"/>
      <c r="UTF167" s="204"/>
      <c r="UTG167" s="204"/>
      <c r="UTH167" s="204"/>
      <c r="UTI167" s="199"/>
      <c r="UTJ167" s="167"/>
      <c r="UTK167" s="199"/>
      <c r="UTL167" s="200"/>
      <c r="UTM167" s="201"/>
      <c r="UTN167" s="202"/>
      <c r="UTO167" s="202"/>
      <c r="UTP167" s="202"/>
      <c r="UTQ167" s="202"/>
      <c r="UTR167" s="203"/>
      <c r="UTS167" s="204"/>
      <c r="UTT167" s="204"/>
      <c r="UTU167" s="204"/>
      <c r="UTV167" s="205"/>
      <c r="UTW167" s="206"/>
      <c r="UTX167" s="207"/>
      <c r="UTY167" s="207"/>
      <c r="UTZ167" s="208"/>
      <c r="UUA167" s="209"/>
      <c r="UUB167" s="207"/>
      <c r="UUC167" s="210"/>
      <c r="UUD167" s="209"/>
      <c r="UUE167" s="204"/>
      <c r="UUF167" s="204"/>
      <c r="UUG167" s="204"/>
      <c r="UUH167" s="199"/>
      <c r="UUI167" s="167"/>
      <c r="UUJ167" s="199"/>
      <c r="UUK167" s="200"/>
      <c r="UUL167" s="201"/>
      <c r="UUM167" s="202"/>
      <c r="UUN167" s="202"/>
      <c r="UUO167" s="202"/>
      <c r="UUP167" s="202"/>
      <c r="UUQ167" s="203"/>
      <c r="UUR167" s="204"/>
      <c r="UUS167" s="204"/>
      <c r="UUT167" s="204"/>
      <c r="UUU167" s="205"/>
      <c r="UUV167" s="206"/>
      <c r="UUW167" s="207"/>
      <c r="UUX167" s="207"/>
      <c r="UUY167" s="208"/>
      <c r="UUZ167" s="209"/>
      <c r="UVA167" s="207"/>
      <c r="UVB167" s="210"/>
      <c r="UVC167" s="209"/>
      <c r="UVD167" s="204"/>
      <c r="UVE167" s="204"/>
      <c r="UVF167" s="204"/>
      <c r="UVG167" s="199"/>
      <c r="UVH167" s="167"/>
      <c r="UVI167" s="199"/>
      <c r="UVJ167" s="200"/>
      <c r="UVK167" s="201"/>
      <c r="UVL167" s="202"/>
      <c r="UVM167" s="202"/>
      <c r="UVN167" s="202"/>
      <c r="UVO167" s="202"/>
      <c r="UVP167" s="203"/>
      <c r="UVQ167" s="204"/>
      <c r="UVR167" s="204"/>
      <c r="UVS167" s="204"/>
      <c r="UVT167" s="205"/>
      <c r="UVU167" s="206"/>
      <c r="UVV167" s="207"/>
      <c r="UVW167" s="207"/>
      <c r="UVX167" s="208"/>
      <c r="UVY167" s="209"/>
      <c r="UVZ167" s="207"/>
      <c r="UWA167" s="210"/>
      <c r="UWB167" s="209"/>
      <c r="UWC167" s="204"/>
      <c r="UWD167" s="204"/>
      <c r="UWE167" s="204"/>
      <c r="UWF167" s="199"/>
      <c r="UWG167" s="167"/>
      <c r="UWH167" s="199"/>
      <c r="UWI167" s="200"/>
      <c r="UWJ167" s="201"/>
      <c r="UWK167" s="202"/>
      <c r="UWL167" s="202"/>
      <c r="UWM167" s="202"/>
      <c r="UWN167" s="202"/>
      <c r="UWO167" s="203"/>
      <c r="UWP167" s="204"/>
      <c r="UWQ167" s="204"/>
      <c r="UWR167" s="204"/>
      <c r="UWS167" s="205"/>
      <c r="UWT167" s="206"/>
      <c r="UWU167" s="207"/>
      <c r="UWV167" s="207"/>
      <c r="UWW167" s="208"/>
      <c r="UWX167" s="209"/>
      <c r="UWY167" s="207"/>
      <c r="UWZ167" s="210"/>
      <c r="UXA167" s="209"/>
      <c r="UXB167" s="204"/>
      <c r="UXC167" s="204"/>
      <c r="UXD167" s="204"/>
      <c r="UXE167" s="199"/>
      <c r="UXF167" s="167"/>
      <c r="UXG167" s="199"/>
      <c r="UXH167" s="200"/>
      <c r="UXI167" s="201"/>
      <c r="UXJ167" s="202"/>
      <c r="UXK167" s="202"/>
      <c r="UXL167" s="202"/>
      <c r="UXM167" s="202"/>
      <c r="UXN167" s="203"/>
      <c r="UXO167" s="204"/>
      <c r="UXP167" s="204"/>
      <c r="UXQ167" s="204"/>
      <c r="UXR167" s="205"/>
      <c r="UXS167" s="206"/>
      <c r="UXT167" s="207"/>
      <c r="UXU167" s="207"/>
      <c r="UXV167" s="208"/>
      <c r="UXW167" s="209"/>
      <c r="UXX167" s="207"/>
      <c r="UXY167" s="210"/>
      <c r="UXZ167" s="209"/>
      <c r="UYA167" s="204"/>
      <c r="UYB167" s="204"/>
      <c r="UYC167" s="204"/>
      <c r="UYD167" s="199"/>
      <c r="UYE167" s="167"/>
      <c r="UYF167" s="199"/>
      <c r="UYG167" s="200"/>
      <c r="UYH167" s="201"/>
      <c r="UYI167" s="202"/>
      <c r="UYJ167" s="202"/>
      <c r="UYK167" s="202"/>
      <c r="UYL167" s="202"/>
      <c r="UYM167" s="203"/>
      <c r="UYN167" s="204"/>
      <c r="UYO167" s="204"/>
      <c r="UYP167" s="204"/>
      <c r="UYQ167" s="205"/>
      <c r="UYR167" s="206"/>
      <c r="UYS167" s="207"/>
      <c r="UYT167" s="207"/>
      <c r="UYU167" s="208"/>
      <c r="UYV167" s="209"/>
      <c r="UYW167" s="207"/>
      <c r="UYX167" s="210"/>
      <c r="UYY167" s="209"/>
      <c r="UYZ167" s="204"/>
      <c r="UZA167" s="204"/>
      <c r="UZB167" s="204"/>
      <c r="UZC167" s="199"/>
      <c r="UZD167" s="167"/>
      <c r="UZE167" s="199"/>
      <c r="UZF167" s="200"/>
      <c r="UZG167" s="201"/>
      <c r="UZH167" s="202"/>
      <c r="UZI167" s="202"/>
      <c r="UZJ167" s="202"/>
      <c r="UZK167" s="202"/>
      <c r="UZL167" s="203"/>
      <c r="UZM167" s="204"/>
      <c r="UZN167" s="204"/>
      <c r="UZO167" s="204"/>
      <c r="UZP167" s="205"/>
      <c r="UZQ167" s="206"/>
      <c r="UZR167" s="207"/>
      <c r="UZS167" s="207"/>
      <c r="UZT167" s="208"/>
      <c r="UZU167" s="209"/>
      <c r="UZV167" s="207"/>
      <c r="UZW167" s="210"/>
      <c r="UZX167" s="209"/>
      <c r="UZY167" s="204"/>
      <c r="UZZ167" s="204"/>
      <c r="VAA167" s="204"/>
      <c r="VAB167" s="199"/>
      <c r="VAC167" s="167"/>
      <c r="VAD167" s="199"/>
      <c r="VAE167" s="200"/>
      <c r="VAF167" s="201"/>
      <c r="VAG167" s="202"/>
      <c r="VAH167" s="202"/>
      <c r="VAI167" s="202"/>
      <c r="VAJ167" s="202"/>
      <c r="VAK167" s="203"/>
      <c r="VAL167" s="204"/>
      <c r="VAM167" s="204"/>
      <c r="VAN167" s="204"/>
      <c r="VAO167" s="205"/>
      <c r="VAP167" s="206"/>
      <c r="VAQ167" s="207"/>
      <c r="VAR167" s="207"/>
      <c r="VAS167" s="208"/>
      <c r="VAT167" s="209"/>
      <c r="VAU167" s="207"/>
      <c r="VAV167" s="210"/>
      <c r="VAW167" s="209"/>
      <c r="VAX167" s="204"/>
      <c r="VAY167" s="204"/>
      <c r="VAZ167" s="204"/>
      <c r="VBA167" s="199"/>
      <c r="VBB167" s="167"/>
      <c r="VBC167" s="199"/>
      <c r="VBD167" s="200"/>
      <c r="VBE167" s="201"/>
      <c r="VBF167" s="202"/>
      <c r="VBG167" s="202"/>
      <c r="VBH167" s="202"/>
      <c r="VBI167" s="202"/>
      <c r="VBJ167" s="203"/>
      <c r="VBK167" s="204"/>
      <c r="VBL167" s="204"/>
      <c r="VBM167" s="204"/>
      <c r="VBN167" s="205"/>
      <c r="VBO167" s="206"/>
      <c r="VBP167" s="207"/>
      <c r="VBQ167" s="207"/>
      <c r="VBR167" s="208"/>
      <c r="VBS167" s="209"/>
      <c r="VBT167" s="207"/>
      <c r="VBU167" s="210"/>
      <c r="VBV167" s="209"/>
      <c r="VBW167" s="204"/>
      <c r="VBX167" s="204"/>
      <c r="VBY167" s="204"/>
      <c r="VBZ167" s="199"/>
      <c r="VCA167" s="167"/>
      <c r="VCB167" s="199"/>
      <c r="VCC167" s="200"/>
      <c r="VCD167" s="201"/>
      <c r="VCE167" s="202"/>
      <c r="VCF167" s="202"/>
      <c r="VCG167" s="202"/>
      <c r="VCH167" s="202"/>
      <c r="VCI167" s="203"/>
      <c r="VCJ167" s="204"/>
      <c r="VCK167" s="204"/>
      <c r="VCL167" s="204"/>
      <c r="VCM167" s="205"/>
      <c r="VCN167" s="206"/>
      <c r="VCO167" s="207"/>
      <c r="VCP167" s="207"/>
      <c r="VCQ167" s="208"/>
      <c r="VCR167" s="209"/>
      <c r="VCS167" s="207"/>
      <c r="VCT167" s="210"/>
      <c r="VCU167" s="209"/>
      <c r="VCV167" s="204"/>
      <c r="VCW167" s="204"/>
      <c r="VCX167" s="204"/>
      <c r="VCY167" s="199"/>
      <c r="VCZ167" s="167"/>
      <c r="VDA167" s="199"/>
      <c r="VDB167" s="200"/>
      <c r="VDC167" s="201"/>
      <c r="VDD167" s="202"/>
      <c r="VDE167" s="202"/>
      <c r="VDF167" s="202"/>
      <c r="VDG167" s="202"/>
      <c r="VDH167" s="203"/>
      <c r="VDI167" s="204"/>
      <c r="VDJ167" s="204"/>
      <c r="VDK167" s="204"/>
      <c r="VDL167" s="205"/>
      <c r="VDM167" s="206"/>
      <c r="VDN167" s="207"/>
      <c r="VDO167" s="207"/>
      <c r="VDP167" s="208"/>
      <c r="VDQ167" s="209"/>
      <c r="VDR167" s="207"/>
      <c r="VDS167" s="210"/>
      <c r="VDT167" s="209"/>
      <c r="VDU167" s="204"/>
      <c r="VDV167" s="204"/>
      <c r="VDW167" s="204"/>
      <c r="VDX167" s="199"/>
      <c r="VDY167" s="167"/>
      <c r="VDZ167" s="199"/>
      <c r="VEA167" s="200"/>
      <c r="VEB167" s="201"/>
      <c r="VEC167" s="202"/>
      <c r="VED167" s="202"/>
      <c r="VEE167" s="202"/>
      <c r="VEF167" s="202"/>
      <c r="VEG167" s="203"/>
      <c r="VEH167" s="204"/>
      <c r="VEI167" s="204"/>
      <c r="VEJ167" s="204"/>
      <c r="VEK167" s="205"/>
      <c r="VEL167" s="206"/>
      <c r="VEM167" s="207"/>
      <c r="VEN167" s="207"/>
      <c r="VEO167" s="208"/>
      <c r="VEP167" s="209"/>
      <c r="VEQ167" s="207"/>
      <c r="VER167" s="210"/>
      <c r="VES167" s="209"/>
      <c r="VET167" s="204"/>
      <c r="VEU167" s="204"/>
      <c r="VEV167" s="204"/>
      <c r="VEW167" s="199"/>
      <c r="VEX167" s="167"/>
      <c r="VEY167" s="199"/>
      <c r="VEZ167" s="200"/>
      <c r="VFA167" s="201"/>
      <c r="VFB167" s="202"/>
      <c r="VFC167" s="202"/>
      <c r="VFD167" s="202"/>
      <c r="VFE167" s="202"/>
      <c r="VFF167" s="203"/>
      <c r="VFG167" s="204"/>
      <c r="VFH167" s="204"/>
      <c r="VFI167" s="204"/>
      <c r="VFJ167" s="205"/>
      <c r="VFK167" s="206"/>
      <c r="VFL167" s="207"/>
      <c r="VFM167" s="207"/>
      <c r="VFN167" s="208"/>
      <c r="VFO167" s="209"/>
      <c r="VFP167" s="207"/>
      <c r="VFQ167" s="210"/>
      <c r="VFR167" s="209"/>
      <c r="VFS167" s="204"/>
      <c r="VFT167" s="204"/>
      <c r="VFU167" s="204"/>
      <c r="VFV167" s="199"/>
      <c r="VFW167" s="167"/>
      <c r="VFX167" s="199"/>
      <c r="VFY167" s="200"/>
      <c r="VFZ167" s="201"/>
      <c r="VGA167" s="202"/>
      <c r="VGB167" s="202"/>
      <c r="VGC167" s="202"/>
      <c r="VGD167" s="202"/>
      <c r="VGE167" s="203"/>
      <c r="VGF167" s="204"/>
      <c r="VGG167" s="204"/>
      <c r="VGH167" s="204"/>
      <c r="VGI167" s="205"/>
      <c r="VGJ167" s="206"/>
      <c r="VGK167" s="207"/>
      <c r="VGL167" s="207"/>
      <c r="VGM167" s="208"/>
      <c r="VGN167" s="209"/>
      <c r="VGO167" s="207"/>
      <c r="VGP167" s="210"/>
      <c r="VGQ167" s="209"/>
      <c r="VGR167" s="204"/>
      <c r="VGS167" s="204"/>
      <c r="VGT167" s="204"/>
      <c r="VGU167" s="199"/>
      <c r="VGV167" s="167"/>
      <c r="VGW167" s="199"/>
      <c r="VGX167" s="200"/>
      <c r="VGY167" s="201"/>
      <c r="VGZ167" s="202"/>
      <c r="VHA167" s="202"/>
      <c r="VHB167" s="202"/>
      <c r="VHC167" s="202"/>
      <c r="VHD167" s="203"/>
      <c r="VHE167" s="204"/>
      <c r="VHF167" s="204"/>
      <c r="VHG167" s="204"/>
      <c r="VHH167" s="205"/>
      <c r="VHI167" s="206"/>
      <c r="VHJ167" s="207"/>
      <c r="VHK167" s="207"/>
      <c r="VHL167" s="208"/>
      <c r="VHM167" s="209"/>
      <c r="VHN167" s="207"/>
      <c r="VHO167" s="210"/>
      <c r="VHP167" s="209"/>
      <c r="VHQ167" s="204"/>
      <c r="VHR167" s="204"/>
      <c r="VHS167" s="204"/>
      <c r="VHT167" s="199"/>
      <c r="VHU167" s="167"/>
      <c r="VHV167" s="199"/>
      <c r="VHW167" s="200"/>
      <c r="VHX167" s="201"/>
      <c r="VHY167" s="202"/>
      <c r="VHZ167" s="202"/>
      <c r="VIA167" s="202"/>
      <c r="VIB167" s="202"/>
      <c r="VIC167" s="203"/>
      <c r="VID167" s="204"/>
      <c r="VIE167" s="204"/>
      <c r="VIF167" s="204"/>
      <c r="VIG167" s="205"/>
      <c r="VIH167" s="206"/>
      <c r="VII167" s="207"/>
      <c r="VIJ167" s="207"/>
      <c r="VIK167" s="208"/>
      <c r="VIL167" s="209"/>
      <c r="VIM167" s="207"/>
      <c r="VIN167" s="210"/>
      <c r="VIO167" s="209"/>
      <c r="VIP167" s="204"/>
      <c r="VIQ167" s="204"/>
      <c r="VIR167" s="204"/>
      <c r="VIS167" s="199"/>
      <c r="VIT167" s="167"/>
      <c r="VIU167" s="199"/>
      <c r="VIV167" s="200"/>
      <c r="VIW167" s="201"/>
      <c r="VIX167" s="202"/>
      <c r="VIY167" s="202"/>
      <c r="VIZ167" s="202"/>
      <c r="VJA167" s="202"/>
      <c r="VJB167" s="203"/>
      <c r="VJC167" s="204"/>
      <c r="VJD167" s="204"/>
      <c r="VJE167" s="204"/>
      <c r="VJF167" s="205"/>
      <c r="VJG167" s="206"/>
      <c r="VJH167" s="207"/>
      <c r="VJI167" s="207"/>
      <c r="VJJ167" s="208"/>
      <c r="VJK167" s="209"/>
      <c r="VJL167" s="207"/>
      <c r="VJM167" s="210"/>
      <c r="VJN167" s="209"/>
      <c r="VJO167" s="204"/>
      <c r="VJP167" s="204"/>
      <c r="VJQ167" s="204"/>
      <c r="VJR167" s="199"/>
      <c r="VJS167" s="167"/>
      <c r="VJT167" s="199"/>
      <c r="VJU167" s="200"/>
      <c r="VJV167" s="201"/>
      <c r="VJW167" s="202"/>
      <c r="VJX167" s="202"/>
      <c r="VJY167" s="202"/>
      <c r="VJZ167" s="202"/>
      <c r="VKA167" s="203"/>
      <c r="VKB167" s="204"/>
      <c r="VKC167" s="204"/>
      <c r="VKD167" s="204"/>
      <c r="VKE167" s="205"/>
      <c r="VKF167" s="206"/>
      <c r="VKG167" s="207"/>
      <c r="VKH167" s="207"/>
      <c r="VKI167" s="208"/>
      <c r="VKJ167" s="209"/>
      <c r="VKK167" s="207"/>
      <c r="VKL167" s="210"/>
      <c r="VKM167" s="209"/>
      <c r="VKN167" s="204"/>
      <c r="VKO167" s="204"/>
      <c r="VKP167" s="204"/>
      <c r="VKQ167" s="199"/>
      <c r="VKR167" s="167"/>
      <c r="VKS167" s="199"/>
      <c r="VKT167" s="200"/>
      <c r="VKU167" s="201"/>
      <c r="VKV167" s="202"/>
      <c r="VKW167" s="202"/>
      <c r="VKX167" s="202"/>
      <c r="VKY167" s="202"/>
      <c r="VKZ167" s="203"/>
      <c r="VLA167" s="204"/>
      <c r="VLB167" s="204"/>
      <c r="VLC167" s="204"/>
      <c r="VLD167" s="205"/>
      <c r="VLE167" s="206"/>
      <c r="VLF167" s="207"/>
      <c r="VLG167" s="207"/>
      <c r="VLH167" s="208"/>
      <c r="VLI167" s="209"/>
      <c r="VLJ167" s="207"/>
      <c r="VLK167" s="210"/>
      <c r="VLL167" s="209"/>
      <c r="VLM167" s="204"/>
      <c r="VLN167" s="204"/>
      <c r="VLO167" s="204"/>
      <c r="VLP167" s="199"/>
      <c r="VLQ167" s="167"/>
      <c r="VLR167" s="199"/>
      <c r="VLS167" s="200"/>
      <c r="VLT167" s="201"/>
      <c r="VLU167" s="202"/>
      <c r="VLV167" s="202"/>
      <c r="VLW167" s="202"/>
      <c r="VLX167" s="202"/>
      <c r="VLY167" s="203"/>
      <c r="VLZ167" s="204"/>
      <c r="VMA167" s="204"/>
      <c r="VMB167" s="204"/>
      <c r="VMC167" s="205"/>
      <c r="VMD167" s="206"/>
      <c r="VME167" s="207"/>
      <c r="VMF167" s="207"/>
      <c r="VMG167" s="208"/>
      <c r="VMH167" s="209"/>
      <c r="VMI167" s="207"/>
      <c r="VMJ167" s="210"/>
      <c r="VMK167" s="209"/>
      <c r="VML167" s="204"/>
      <c r="VMM167" s="204"/>
      <c r="VMN167" s="204"/>
      <c r="VMO167" s="199"/>
      <c r="VMP167" s="167"/>
      <c r="VMQ167" s="199"/>
      <c r="VMR167" s="200"/>
      <c r="VMS167" s="201"/>
      <c r="VMT167" s="202"/>
      <c r="VMU167" s="202"/>
      <c r="VMV167" s="202"/>
      <c r="VMW167" s="202"/>
      <c r="VMX167" s="203"/>
      <c r="VMY167" s="204"/>
      <c r="VMZ167" s="204"/>
      <c r="VNA167" s="204"/>
      <c r="VNB167" s="205"/>
      <c r="VNC167" s="206"/>
      <c r="VND167" s="207"/>
      <c r="VNE167" s="207"/>
      <c r="VNF167" s="208"/>
      <c r="VNG167" s="209"/>
      <c r="VNH167" s="207"/>
      <c r="VNI167" s="210"/>
      <c r="VNJ167" s="209"/>
      <c r="VNK167" s="204"/>
      <c r="VNL167" s="204"/>
      <c r="VNM167" s="204"/>
      <c r="VNN167" s="199"/>
      <c r="VNO167" s="167"/>
      <c r="VNP167" s="199"/>
      <c r="VNQ167" s="200"/>
      <c r="VNR167" s="201"/>
      <c r="VNS167" s="202"/>
      <c r="VNT167" s="202"/>
      <c r="VNU167" s="202"/>
      <c r="VNV167" s="202"/>
      <c r="VNW167" s="203"/>
      <c r="VNX167" s="204"/>
      <c r="VNY167" s="204"/>
      <c r="VNZ167" s="204"/>
      <c r="VOA167" s="205"/>
      <c r="VOB167" s="206"/>
      <c r="VOC167" s="207"/>
      <c r="VOD167" s="207"/>
      <c r="VOE167" s="208"/>
      <c r="VOF167" s="209"/>
      <c r="VOG167" s="207"/>
      <c r="VOH167" s="210"/>
      <c r="VOI167" s="209"/>
      <c r="VOJ167" s="204"/>
      <c r="VOK167" s="204"/>
      <c r="VOL167" s="204"/>
      <c r="VOM167" s="199"/>
      <c r="VON167" s="167"/>
      <c r="VOO167" s="199"/>
      <c r="VOP167" s="200"/>
      <c r="VOQ167" s="201"/>
      <c r="VOR167" s="202"/>
      <c r="VOS167" s="202"/>
      <c r="VOT167" s="202"/>
      <c r="VOU167" s="202"/>
      <c r="VOV167" s="203"/>
      <c r="VOW167" s="204"/>
      <c r="VOX167" s="204"/>
      <c r="VOY167" s="204"/>
      <c r="VOZ167" s="205"/>
      <c r="VPA167" s="206"/>
      <c r="VPB167" s="207"/>
      <c r="VPC167" s="207"/>
      <c r="VPD167" s="208"/>
      <c r="VPE167" s="209"/>
      <c r="VPF167" s="207"/>
      <c r="VPG167" s="210"/>
      <c r="VPH167" s="209"/>
      <c r="VPI167" s="204"/>
      <c r="VPJ167" s="204"/>
      <c r="VPK167" s="204"/>
      <c r="VPL167" s="199"/>
      <c r="VPM167" s="167"/>
      <c r="VPN167" s="199"/>
      <c r="VPO167" s="200"/>
      <c r="VPP167" s="201"/>
      <c r="VPQ167" s="202"/>
      <c r="VPR167" s="202"/>
      <c r="VPS167" s="202"/>
      <c r="VPT167" s="202"/>
      <c r="VPU167" s="203"/>
      <c r="VPV167" s="204"/>
      <c r="VPW167" s="204"/>
      <c r="VPX167" s="204"/>
      <c r="VPY167" s="205"/>
      <c r="VPZ167" s="206"/>
      <c r="VQA167" s="207"/>
      <c r="VQB167" s="207"/>
      <c r="VQC167" s="208"/>
      <c r="VQD167" s="209"/>
      <c r="VQE167" s="207"/>
      <c r="VQF167" s="210"/>
      <c r="VQG167" s="209"/>
      <c r="VQH167" s="204"/>
      <c r="VQI167" s="204"/>
      <c r="VQJ167" s="204"/>
      <c r="VQK167" s="199"/>
      <c r="VQL167" s="167"/>
      <c r="VQM167" s="199"/>
      <c r="VQN167" s="200"/>
      <c r="VQO167" s="201"/>
      <c r="VQP167" s="202"/>
      <c r="VQQ167" s="202"/>
      <c r="VQR167" s="202"/>
      <c r="VQS167" s="202"/>
      <c r="VQT167" s="203"/>
      <c r="VQU167" s="204"/>
      <c r="VQV167" s="204"/>
      <c r="VQW167" s="204"/>
      <c r="VQX167" s="205"/>
      <c r="VQY167" s="206"/>
      <c r="VQZ167" s="207"/>
      <c r="VRA167" s="207"/>
      <c r="VRB167" s="208"/>
      <c r="VRC167" s="209"/>
      <c r="VRD167" s="207"/>
      <c r="VRE167" s="210"/>
      <c r="VRF167" s="209"/>
      <c r="VRG167" s="204"/>
      <c r="VRH167" s="204"/>
      <c r="VRI167" s="204"/>
      <c r="VRJ167" s="199"/>
      <c r="VRK167" s="167"/>
      <c r="VRL167" s="199"/>
      <c r="VRM167" s="200"/>
      <c r="VRN167" s="201"/>
      <c r="VRO167" s="202"/>
      <c r="VRP167" s="202"/>
      <c r="VRQ167" s="202"/>
      <c r="VRR167" s="202"/>
      <c r="VRS167" s="203"/>
      <c r="VRT167" s="204"/>
      <c r="VRU167" s="204"/>
      <c r="VRV167" s="204"/>
      <c r="VRW167" s="205"/>
      <c r="VRX167" s="206"/>
      <c r="VRY167" s="207"/>
      <c r="VRZ167" s="207"/>
      <c r="VSA167" s="208"/>
      <c r="VSB167" s="209"/>
      <c r="VSC167" s="207"/>
      <c r="VSD167" s="210"/>
      <c r="VSE167" s="209"/>
      <c r="VSF167" s="204"/>
      <c r="VSG167" s="204"/>
      <c r="VSH167" s="204"/>
      <c r="VSI167" s="199"/>
      <c r="VSJ167" s="167"/>
      <c r="VSK167" s="199"/>
      <c r="VSL167" s="200"/>
      <c r="VSM167" s="201"/>
      <c r="VSN167" s="202"/>
      <c r="VSO167" s="202"/>
      <c r="VSP167" s="202"/>
      <c r="VSQ167" s="202"/>
      <c r="VSR167" s="203"/>
      <c r="VSS167" s="204"/>
      <c r="VST167" s="204"/>
      <c r="VSU167" s="204"/>
      <c r="VSV167" s="205"/>
      <c r="VSW167" s="206"/>
      <c r="VSX167" s="207"/>
      <c r="VSY167" s="207"/>
      <c r="VSZ167" s="208"/>
      <c r="VTA167" s="209"/>
      <c r="VTB167" s="207"/>
      <c r="VTC167" s="210"/>
      <c r="VTD167" s="209"/>
      <c r="VTE167" s="204"/>
      <c r="VTF167" s="204"/>
      <c r="VTG167" s="204"/>
      <c r="VTH167" s="199"/>
      <c r="VTI167" s="167"/>
      <c r="VTJ167" s="199"/>
      <c r="VTK167" s="200"/>
      <c r="VTL167" s="201"/>
      <c r="VTM167" s="202"/>
      <c r="VTN167" s="202"/>
      <c r="VTO167" s="202"/>
      <c r="VTP167" s="202"/>
      <c r="VTQ167" s="203"/>
      <c r="VTR167" s="204"/>
      <c r="VTS167" s="204"/>
      <c r="VTT167" s="204"/>
      <c r="VTU167" s="205"/>
      <c r="VTV167" s="206"/>
      <c r="VTW167" s="207"/>
      <c r="VTX167" s="207"/>
      <c r="VTY167" s="208"/>
      <c r="VTZ167" s="209"/>
      <c r="VUA167" s="207"/>
      <c r="VUB167" s="210"/>
      <c r="VUC167" s="209"/>
      <c r="VUD167" s="204"/>
      <c r="VUE167" s="204"/>
      <c r="VUF167" s="204"/>
      <c r="VUG167" s="199"/>
      <c r="VUH167" s="167"/>
      <c r="VUI167" s="199"/>
      <c r="VUJ167" s="200"/>
      <c r="VUK167" s="201"/>
      <c r="VUL167" s="202"/>
      <c r="VUM167" s="202"/>
      <c r="VUN167" s="202"/>
      <c r="VUO167" s="202"/>
      <c r="VUP167" s="203"/>
      <c r="VUQ167" s="204"/>
      <c r="VUR167" s="204"/>
      <c r="VUS167" s="204"/>
      <c r="VUT167" s="205"/>
      <c r="VUU167" s="206"/>
      <c r="VUV167" s="207"/>
      <c r="VUW167" s="207"/>
      <c r="VUX167" s="208"/>
      <c r="VUY167" s="209"/>
      <c r="VUZ167" s="207"/>
      <c r="VVA167" s="210"/>
      <c r="VVB167" s="209"/>
      <c r="VVC167" s="204"/>
      <c r="VVD167" s="204"/>
      <c r="VVE167" s="204"/>
      <c r="VVF167" s="199"/>
      <c r="VVG167" s="167"/>
      <c r="VVH167" s="199"/>
      <c r="VVI167" s="200"/>
      <c r="VVJ167" s="201"/>
      <c r="VVK167" s="202"/>
      <c r="VVL167" s="202"/>
      <c r="VVM167" s="202"/>
      <c r="VVN167" s="202"/>
      <c r="VVO167" s="203"/>
      <c r="VVP167" s="204"/>
      <c r="VVQ167" s="204"/>
      <c r="VVR167" s="204"/>
      <c r="VVS167" s="205"/>
      <c r="VVT167" s="206"/>
      <c r="VVU167" s="207"/>
      <c r="VVV167" s="207"/>
      <c r="VVW167" s="208"/>
      <c r="VVX167" s="209"/>
      <c r="VVY167" s="207"/>
      <c r="VVZ167" s="210"/>
      <c r="VWA167" s="209"/>
      <c r="VWB167" s="204"/>
      <c r="VWC167" s="204"/>
      <c r="VWD167" s="204"/>
      <c r="VWE167" s="199"/>
      <c r="VWF167" s="167"/>
      <c r="VWG167" s="199"/>
      <c r="VWH167" s="200"/>
      <c r="VWI167" s="201"/>
      <c r="VWJ167" s="202"/>
      <c r="VWK167" s="202"/>
      <c r="VWL167" s="202"/>
      <c r="VWM167" s="202"/>
      <c r="VWN167" s="203"/>
      <c r="VWO167" s="204"/>
      <c r="VWP167" s="204"/>
      <c r="VWQ167" s="204"/>
      <c r="VWR167" s="205"/>
      <c r="VWS167" s="206"/>
      <c r="VWT167" s="207"/>
      <c r="VWU167" s="207"/>
      <c r="VWV167" s="208"/>
      <c r="VWW167" s="209"/>
      <c r="VWX167" s="207"/>
      <c r="VWY167" s="210"/>
      <c r="VWZ167" s="209"/>
      <c r="VXA167" s="204"/>
      <c r="VXB167" s="204"/>
      <c r="VXC167" s="204"/>
      <c r="VXD167" s="199"/>
      <c r="VXE167" s="167"/>
      <c r="VXF167" s="199"/>
      <c r="VXG167" s="200"/>
      <c r="VXH167" s="201"/>
      <c r="VXI167" s="202"/>
      <c r="VXJ167" s="202"/>
      <c r="VXK167" s="202"/>
      <c r="VXL167" s="202"/>
      <c r="VXM167" s="203"/>
      <c r="VXN167" s="204"/>
      <c r="VXO167" s="204"/>
      <c r="VXP167" s="204"/>
      <c r="VXQ167" s="205"/>
      <c r="VXR167" s="206"/>
      <c r="VXS167" s="207"/>
      <c r="VXT167" s="207"/>
      <c r="VXU167" s="208"/>
      <c r="VXV167" s="209"/>
      <c r="VXW167" s="207"/>
      <c r="VXX167" s="210"/>
      <c r="VXY167" s="209"/>
      <c r="VXZ167" s="204"/>
      <c r="VYA167" s="204"/>
      <c r="VYB167" s="204"/>
      <c r="VYC167" s="199"/>
      <c r="VYD167" s="167"/>
      <c r="VYE167" s="199"/>
      <c r="VYF167" s="200"/>
      <c r="VYG167" s="201"/>
      <c r="VYH167" s="202"/>
      <c r="VYI167" s="202"/>
      <c r="VYJ167" s="202"/>
      <c r="VYK167" s="202"/>
      <c r="VYL167" s="203"/>
      <c r="VYM167" s="204"/>
      <c r="VYN167" s="204"/>
      <c r="VYO167" s="204"/>
      <c r="VYP167" s="205"/>
      <c r="VYQ167" s="206"/>
      <c r="VYR167" s="207"/>
      <c r="VYS167" s="207"/>
      <c r="VYT167" s="208"/>
      <c r="VYU167" s="209"/>
      <c r="VYV167" s="207"/>
      <c r="VYW167" s="210"/>
      <c r="VYX167" s="209"/>
      <c r="VYY167" s="204"/>
      <c r="VYZ167" s="204"/>
      <c r="VZA167" s="204"/>
      <c r="VZB167" s="199"/>
      <c r="VZC167" s="167"/>
      <c r="VZD167" s="199"/>
      <c r="VZE167" s="200"/>
      <c r="VZF167" s="201"/>
      <c r="VZG167" s="202"/>
      <c r="VZH167" s="202"/>
      <c r="VZI167" s="202"/>
      <c r="VZJ167" s="202"/>
      <c r="VZK167" s="203"/>
      <c r="VZL167" s="204"/>
      <c r="VZM167" s="204"/>
      <c r="VZN167" s="204"/>
      <c r="VZO167" s="205"/>
      <c r="VZP167" s="206"/>
      <c r="VZQ167" s="207"/>
      <c r="VZR167" s="207"/>
      <c r="VZS167" s="208"/>
      <c r="VZT167" s="209"/>
      <c r="VZU167" s="207"/>
      <c r="VZV167" s="210"/>
      <c r="VZW167" s="209"/>
      <c r="VZX167" s="204"/>
      <c r="VZY167" s="204"/>
      <c r="VZZ167" s="204"/>
      <c r="WAA167" s="199"/>
      <c r="WAB167" s="167"/>
      <c r="WAC167" s="199"/>
      <c r="WAD167" s="200"/>
      <c r="WAE167" s="201"/>
      <c r="WAF167" s="202"/>
      <c r="WAG167" s="202"/>
      <c r="WAH167" s="202"/>
      <c r="WAI167" s="202"/>
      <c r="WAJ167" s="203"/>
      <c r="WAK167" s="204"/>
      <c r="WAL167" s="204"/>
      <c r="WAM167" s="204"/>
      <c r="WAN167" s="205"/>
      <c r="WAO167" s="206"/>
      <c r="WAP167" s="207"/>
      <c r="WAQ167" s="207"/>
      <c r="WAR167" s="208"/>
      <c r="WAS167" s="209"/>
      <c r="WAT167" s="207"/>
      <c r="WAU167" s="210"/>
      <c r="WAV167" s="209"/>
      <c r="WAW167" s="204"/>
      <c r="WAX167" s="204"/>
      <c r="WAY167" s="204"/>
      <c r="WAZ167" s="199"/>
      <c r="WBA167" s="167"/>
      <c r="WBB167" s="199"/>
      <c r="WBC167" s="200"/>
      <c r="WBD167" s="201"/>
      <c r="WBE167" s="202"/>
      <c r="WBF167" s="202"/>
      <c r="WBG167" s="202"/>
      <c r="WBH167" s="202"/>
      <c r="WBI167" s="203"/>
      <c r="WBJ167" s="204"/>
      <c r="WBK167" s="204"/>
      <c r="WBL167" s="204"/>
      <c r="WBM167" s="205"/>
      <c r="WBN167" s="206"/>
      <c r="WBO167" s="207"/>
      <c r="WBP167" s="207"/>
      <c r="WBQ167" s="208"/>
      <c r="WBR167" s="209"/>
      <c r="WBS167" s="207"/>
      <c r="WBT167" s="210"/>
      <c r="WBU167" s="209"/>
      <c r="WBV167" s="204"/>
      <c r="WBW167" s="204"/>
      <c r="WBX167" s="204"/>
      <c r="WBY167" s="199"/>
      <c r="WBZ167" s="167"/>
      <c r="WCA167" s="199"/>
      <c r="WCB167" s="200"/>
      <c r="WCC167" s="201"/>
      <c r="WCD167" s="202"/>
      <c r="WCE167" s="202"/>
      <c r="WCF167" s="202"/>
      <c r="WCG167" s="202"/>
      <c r="WCH167" s="203"/>
      <c r="WCI167" s="204"/>
      <c r="WCJ167" s="204"/>
      <c r="WCK167" s="204"/>
      <c r="WCL167" s="205"/>
      <c r="WCM167" s="206"/>
      <c r="WCN167" s="207"/>
      <c r="WCO167" s="207"/>
      <c r="WCP167" s="208"/>
      <c r="WCQ167" s="209"/>
      <c r="WCR167" s="207"/>
      <c r="WCS167" s="210"/>
      <c r="WCT167" s="209"/>
      <c r="WCU167" s="204"/>
      <c r="WCV167" s="204"/>
      <c r="WCW167" s="204"/>
      <c r="WCX167" s="199"/>
      <c r="WCY167" s="167"/>
      <c r="WCZ167" s="199"/>
      <c r="WDA167" s="200"/>
      <c r="WDB167" s="201"/>
      <c r="WDC167" s="202"/>
      <c r="WDD167" s="202"/>
      <c r="WDE167" s="202"/>
      <c r="WDF167" s="202"/>
      <c r="WDG167" s="203"/>
      <c r="WDH167" s="204"/>
      <c r="WDI167" s="204"/>
      <c r="WDJ167" s="204"/>
      <c r="WDK167" s="205"/>
      <c r="WDL167" s="206"/>
      <c r="WDM167" s="207"/>
      <c r="WDN167" s="207"/>
      <c r="WDO167" s="208"/>
      <c r="WDP167" s="209"/>
      <c r="WDQ167" s="207"/>
      <c r="WDR167" s="210"/>
      <c r="WDS167" s="209"/>
      <c r="WDT167" s="204"/>
      <c r="WDU167" s="204"/>
      <c r="WDV167" s="204"/>
      <c r="WDW167" s="199"/>
      <c r="WDX167" s="167"/>
      <c r="WDY167" s="199"/>
      <c r="WDZ167" s="200"/>
      <c r="WEA167" s="201"/>
      <c r="WEB167" s="202"/>
      <c r="WEC167" s="202"/>
      <c r="WED167" s="202"/>
      <c r="WEE167" s="202"/>
      <c r="WEF167" s="203"/>
      <c r="WEG167" s="204"/>
      <c r="WEH167" s="204"/>
      <c r="WEI167" s="204"/>
      <c r="WEJ167" s="205"/>
      <c r="WEK167" s="206"/>
      <c r="WEL167" s="207"/>
      <c r="WEM167" s="207"/>
      <c r="WEN167" s="208"/>
      <c r="WEO167" s="209"/>
      <c r="WEP167" s="207"/>
      <c r="WEQ167" s="210"/>
      <c r="WER167" s="209"/>
      <c r="WES167" s="204"/>
      <c r="WET167" s="204"/>
      <c r="WEU167" s="204"/>
      <c r="WEV167" s="199"/>
      <c r="WEW167" s="167"/>
      <c r="WEX167" s="199"/>
      <c r="WEY167" s="200"/>
      <c r="WEZ167" s="201"/>
      <c r="WFA167" s="202"/>
      <c r="WFB167" s="202"/>
      <c r="WFC167" s="202"/>
      <c r="WFD167" s="202"/>
      <c r="WFE167" s="203"/>
      <c r="WFF167" s="204"/>
      <c r="WFG167" s="204"/>
      <c r="WFH167" s="204"/>
      <c r="WFI167" s="205"/>
      <c r="WFJ167" s="206"/>
      <c r="WFK167" s="207"/>
      <c r="WFL167" s="207"/>
      <c r="WFM167" s="208"/>
      <c r="WFN167" s="209"/>
      <c r="WFO167" s="207"/>
      <c r="WFP167" s="210"/>
      <c r="WFQ167" s="209"/>
      <c r="WFR167" s="204"/>
      <c r="WFS167" s="204"/>
      <c r="WFT167" s="204"/>
      <c r="WFU167" s="199"/>
      <c r="WFV167" s="167"/>
      <c r="WFW167" s="199"/>
      <c r="WFX167" s="200"/>
      <c r="WFY167" s="201"/>
      <c r="WFZ167" s="202"/>
      <c r="WGA167" s="202"/>
      <c r="WGB167" s="202"/>
      <c r="WGC167" s="202"/>
      <c r="WGD167" s="203"/>
      <c r="WGE167" s="204"/>
      <c r="WGF167" s="204"/>
      <c r="WGG167" s="204"/>
      <c r="WGH167" s="205"/>
      <c r="WGI167" s="206"/>
      <c r="WGJ167" s="207"/>
      <c r="WGK167" s="207"/>
      <c r="WGL167" s="208"/>
      <c r="WGM167" s="209"/>
      <c r="WGN167" s="207"/>
      <c r="WGO167" s="210"/>
      <c r="WGP167" s="209"/>
      <c r="WGQ167" s="204"/>
      <c r="WGR167" s="204"/>
      <c r="WGS167" s="204"/>
      <c r="WGT167" s="199"/>
      <c r="WGU167" s="167"/>
      <c r="WGV167" s="199"/>
      <c r="WGW167" s="200"/>
      <c r="WGX167" s="201"/>
      <c r="WGY167" s="202"/>
      <c r="WGZ167" s="202"/>
      <c r="WHA167" s="202"/>
      <c r="WHB167" s="202"/>
      <c r="WHC167" s="203"/>
      <c r="WHD167" s="204"/>
      <c r="WHE167" s="204"/>
      <c r="WHF167" s="204"/>
      <c r="WHG167" s="205"/>
      <c r="WHH167" s="206"/>
      <c r="WHI167" s="207"/>
      <c r="WHJ167" s="207"/>
      <c r="WHK167" s="208"/>
      <c r="WHL167" s="209"/>
      <c r="WHM167" s="207"/>
      <c r="WHN167" s="210"/>
      <c r="WHO167" s="209"/>
      <c r="WHP167" s="204"/>
      <c r="WHQ167" s="204"/>
      <c r="WHR167" s="204"/>
      <c r="WHS167" s="199"/>
      <c r="WHT167" s="167"/>
      <c r="WHU167" s="199"/>
      <c r="WHV167" s="200"/>
      <c r="WHW167" s="201"/>
      <c r="WHX167" s="202"/>
      <c r="WHY167" s="202"/>
      <c r="WHZ167" s="202"/>
      <c r="WIA167" s="202"/>
      <c r="WIB167" s="203"/>
      <c r="WIC167" s="204"/>
      <c r="WID167" s="204"/>
      <c r="WIE167" s="204"/>
      <c r="WIF167" s="205"/>
      <c r="WIG167" s="206"/>
      <c r="WIH167" s="207"/>
      <c r="WII167" s="207"/>
      <c r="WIJ167" s="208"/>
      <c r="WIK167" s="209"/>
      <c r="WIL167" s="207"/>
      <c r="WIM167" s="210"/>
      <c r="WIN167" s="209"/>
      <c r="WIO167" s="204"/>
      <c r="WIP167" s="204"/>
      <c r="WIQ167" s="204"/>
      <c r="WIR167" s="199"/>
      <c r="WIS167" s="167"/>
      <c r="WIT167" s="199"/>
      <c r="WIU167" s="200"/>
      <c r="WIV167" s="201"/>
      <c r="WIW167" s="202"/>
      <c r="WIX167" s="202"/>
      <c r="WIY167" s="202"/>
      <c r="WIZ167" s="202"/>
      <c r="WJA167" s="203"/>
      <c r="WJB167" s="204"/>
      <c r="WJC167" s="204"/>
      <c r="WJD167" s="204"/>
      <c r="WJE167" s="205"/>
      <c r="WJF167" s="206"/>
      <c r="WJG167" s="207"/>
      <c r="WJH167" s="207"/>
      <c r="WJI167" s="208"/>
      <c r="WJJ167" s="209"/>
      <c r="WJK167" s="207"/>
      <c r="WJL167" s="210"/>
      <c r="WJM167" s="209"/>
      <c r="WJN167" s="204"/>
      <c r="WJO167" s="204"/>
      <c r="WJP167" s="204"/>
      <c r="WJQ167" s="199"/>
      <c r="WJR167" s="167"/>
      <c r="WJS167" s="199"/>
      <c r="WJT167" s="200"/>
      <c r="WJU167" s="201"/>
      <c r="WJV167" s="202"/>
      <c r="WJW167" s="202"/>
      <c r="WJX167" s="202"/>
      <c r="WJY167" s="202"/>
      <c r="WJZ167" s="203"/>
      <c r="WKA167" s="204"/>
      <c r="WKB167" s="204"/>
      <c r="WKC167" s="204"/>
      <c r="WKD167" s="205"/>
      <c r="WKE167" s="206"/>
      <c r="WKF167" s="207"/>
      <c r="WKG167" s="207"/>
      <c r="WKH167" s="208"/>
      <c r="WKI167" s="209"/>
      <c r="WKJ167" s="207"/>
      <c r="WKK167" s="210"/>
      <c r="WKL167" s="209"/>
      <c r="WKM167" s="204"/>
      <c r="WKN167" s="204"/>
      <c r="WKO167" s="204"/>
      <c r="WKP167" s="199"/>
      <c r="WKQ167" s="167"/>
      <c r="WKR167" s="199"/>
      <c r="WKS167" s="200"/>
      <c r="WKT167" s="201"/>
      <c r="WKU167" s="202"/>
      <c r="WKV167" s="202"/>
      <c r="WKW167" s="202"/>
      <c r="WKX167" s="202"/>
      <c r="WKY167" s="203"/>
      <c r="WKZ167" s="204"/>
      <c r="WLA167" s="204"/>
      <c r="WLB167" s="204"/>
      <c r="WLC167" s="205"/>
      <c r="WLD167" s="206"/>
      <c r="WLE167" s="207"/>
      <c r="WLF167" s="207"/>
      <c r="WLG167" s="208"/>
      <c r="WLH167" s="209"/>
      <c r="WLI167" s="207"/>
      <c r="WLJ167" s="210"/>
      <c r="WLK167" s="209"/>
      <c r="WLL167" s="204"/>
      <c r="WLM167" s="204"/>
      <c r="WLN167" s="204"/>
      <c r="WLO167" s="199"/>
      <c r="WLP167" s="167"/>
      <c r="WLQ167" s="199"/>
      <c r="WLR167" s="200"/>
      <c r="WLS167" s="201"/>
      <c r="WLT167" s="202"/>
      <c r="WLU167" s="202"/>
      <c r="WLV167" s="202"/>
      <c r="WLW167" s="202"/>
      <c r="WLX167" s="203"/>
      <c r="WLY167" s="204"/>
      <c r="WLZ167" s="204"/>
      <c r="WMA167" s="204"/>
      <c r="WMB167" s="205"/>
      <c r="WMC167" s="206"/>
      <c r="WMD167" s="207"/>
      <c r="WME167" s="207"/>
      <c r="WMF167" s="208"/>
      <c r="WMG167" s="209"/>
      <c r="WMH167" s="207"/>
      <c r="WMI167" s="210"/>
      <c r="WMJ167" s="209"/>
      <c r="WMK167" s="204"/>
      <c r="WML167" s="204"/>
      <c r="WMM167" s="204"/>
      <c r="WMN167" s="199"/>
      <c r="WMO167" s="167"/>
      <c r="WMP167" s="199"/>
      <c r="WMQ167" s="200"/>
      <c r="WMR167" s="201"/>
      <c r="WMS167" s="202"/>
      <c r="WMT167" s="202"/>
      <c r="WMU167" s="202"/>
      <c r="WMV167" s="202"/>
      <c r="WMW167" s="203"/>
      <c r="WMX167" s="204"/>
      <c r="WMY167" s="204"/>
      <c r="WMZ167" s="204"/>
      <c r="WNA167" s="205"/>
      <c r="WNB167" s="206"/>
      <c r="WNC167" s="207"/>
      <c r="WND167" s="207"/>
      <c r="WNE167" s="208"/>
      <c r="WNF167" s="209"/>
      <c r="WNG167" s="207"/>
      <c r="WNH167" s="210"/>
      <c r="WNI167" s="209"/>
      <c r="WNJ167" s="204"/>
      <c r="WNK167" s="204"/>
      <c r="WNL167" s="204"/>
      <c r="WNM167" s="199"/>
      <c r="WNN167" s="167"/>
      <c r="WNO167" s="199"/>
      <c r="WNP167" s="200"/>
      <c r="WNQ167" s="201"/>
      <c r="WNR167" s="202"/>
      <c r="WNS167" s="202"/>
      <c r="WNT167" s="202"/>
      <c r="WNU167" s="202"/>
      <c r="WNV167" s="203"/>
      <c r="WNW167" s="204"/>
      <c r="WNX167" s="204"/>
      <c r="WNY167" s="204"/>
      <c r="WNZ167" s="205"/>
      <c r="WOA167" s="206"/>
      <c r="WOB167" s="207"/>
      <c r="WOC167" s="207"/>
      <c r="WOD167" s="208"/>
      <c r="WOE167" s="209"/>
      <c r="WOF167" s="207"/>
      <c r="WOG167" s="210"/>
      <c r="WOH167" s="209"/>
      <c r="WOI167" s="204"/>
      <c r="WOJ167" s="204"/>
      <c r="WOK167" s="204"/>
      <c r="WOL167" s="199"/>
      <c r="WOM167" s="167"/>
      <c r="WON167" s="199"/>
      <c r="WOO167" s="200"/>
      <c r="WOP167" s="201"/>
      <c r="WOQ167" s="202"/>
      <c r="WOR167" s="202"/>
      <c r="WOS167" s="202"/>
      <c r="WOT167" s="202"/>
      <c r="WOU167" s="203"/>
      <c r="WOV167" s="204"/>
      <c r="WOW167" s="204"/>
      <c r="WOX167" s="204"/>
      <c r="WOY167" s="205"/>
      <c r="WOZ167" s="206"/>
      <c r="WPA167" s="207"/>
      <c r="WPB167" s="207"/>
      <c r="WPC167" s="208"/>
      <c r="WPD167" s="209"/>
      <c r="WPE167" s="207"/>
      <c r="WPF167" s="210"/>
      <c r="WPG167" s="209"/>
      <c r="WPH167" s="204"/>
      <c r="WPI167" s="204"/>
      <c r="WPJ167" s="204"/>
      <c r="WPK167" s="199"/>
      <c r="WPL167" s="167"/>
      <c r="WPM167" s="199"/>
      <c r="WPN167" s="200"/>
      <c r="WPO167" s="201"/>
      <c r="WPP167" s="202"/>
      <c r="WPQ167" s="202"/>
      <c r="WPR167" s="202"/>
      <c r="WPS167" s="202"/>
      <c r="WPT167" s="203"/>
      <c r="WPU167" s="204"/>
      <c r="WPV167" s="204"/>
      <c r="WPW167" s="204"/>
      <c r="WPX167" s="205"/>
      <c r="WPY167" s="206"/>
      <c r="WPZ167" s="207"/>
      <c r="WQA167" s="207"/>
      <c r="WQB167" s="208"/>
      <c r="WQC167" s="209"/>
      <c r="WQD167" s="207"/>
      <c r="WQE167" s="210"/>
      <c r="WQF167" s="209"/>
      <c r="WQG167" s="204"/>
      <c r="WQH167" s="204"/>
      <c r="WQI167" s="204"/>
      <c r="WQJ167" s="199"/>
      <c r="WQK167" s="167"/>
      <c r="WQL167" s="199"/>
      <c r="WQM167" s="200"/>
      <c r="WQN167" s="201"/>
      <c r="WQO167" s="202"/>
      <c r="WQP167" s="202"/>
      <c r="WQQ167" s="202"/>
      <c r="WQR167" s="202"/>
      <c r="WQS167" s="203"/>
      <c r="WQT167" s="204"/>
      <c r="WQU167" s="204"/>
      <c r="WQV167" s="204"/>
      <c r="WQW167" s="205"/>
      <c r="WQX167" s="206"/>
      <c r="WQY167" s="207"/>
      <c r="WQZ167" s="207"/>
      <c r="WRA167" s="208"/>
      <c r="WRB167" s="209"/>
      <c r="WRC167" s="207"/>
      <c r="WRD167" s="210"/>
      <c r="WRE167" s="209"/>
      <c r="WRF167" s="204"/>
      <c r="WRG167" s="204"/>
      <c r="WRH167" s="204"/>
      <c r="WRI167" s="199"/>
      <c r="WRJ167" s="167"/>
      <c r="WRK167" s="199"/>
      <c r="WRL167" s="200"/>
      <c r="WRM167" s="201"/>
      <c r="WRN167" s="202"/>
      <c r="WRO167" s="202"/>
      <c r="WRP167" s="202"/>
      <c r="WRQ167" s="202"/>
      <c r="WRR167" s="203"/>
      <c r="WRS167" s="204"/>
      <c r="WRT167" s="204"/>
      <c r="WRU167" s="204"/>
      <c r="WRV167" s="205"/>
      <c r="WRW167" s="206"/>
      <c r="WRX167" s="207"/>
      <c r="WRY167" s="207"/>
      <c r="WRZ167" s="208"/>
      <c r="WSA167" s="209"/>
      <c r="WSB167" s="207"/>
      <c r="WSC167" s="210"/>
      <c r="WSD167" s="209"/>
      <c r="WSE167" s="204"/>
      <c r="WSF167" s="204"/>
      <c r="WSG167" s="204"/>
      <c r="WSH167" s="199"/>
      <c r="WSI167" s="167"/>
      <c r="WSJ167" s="199"/>
      <c r="WSK167" s="200"/>
      <c r="WSL167" s="201"/>
      <c r="WSM167" s="202"/>
      <c r="WSN167" s="202"/>
      <c r="WSO167" s="202"/>
      <c r="WSP167" s="202"/>
      <c r="WSQ167" s="203"/>
      <c r="WSR167" s="204"/>
      <c r="WSS167" s="204"/>
      <c r="WST167" s="204"/>
      <c r="WSU167" s="205"/>
      <c r="WSV167" s="206"/>
      <c r="WSW167" s="207"/>
      <c r="WSX167" s="207"/>
      <c r="WSY167" s="208"/>
      <c r="WSZ167" s="209"/>
      <c r="WTA167" s="207"/>
      <c r="WTB167" s="210"/>
      <c r="WTC167" s="209"/>
      <c r="WTD167" s="204"/>
      <c r="WTE167" s="204"/>
      <c r="WTF167" s="204"/>
      <c r="WTG167" s="199"/>
      <c r="WTH167" s="167"/>
      <c r="WTI167" s="199"/>
      <c r="WTJ167" s="200"/>
      <c r="WTK167" s="201"/>
      <c r="WTL167" s="202"/>
      <c r="WTM167" s="202"/>
      <c r="WTN167" s="202"/>
      <c r="WTO167" s="202"/>
      <c r="WTP167" s="203"/>
      <c r="WTQ167" s="204"/>
      <c r="WTR167" s="204"/>
      <c r="WTS167" s="204"/>
      <c r="WTT167" s="205"/>
      <c r="WTU167" s="206"/>
      <c r="WTV167" s="207"/>
      <c r="WTW167" s="207"/>
      <c r="WTX167" s="208"/>
      <c r="WTY167" s="209"/>
      <c r="WTZ167" s="207"/>
      <c r="WUA167" s="210"/>
      <c r="WUB167" s="209"/>
      <c r="WUC167" s="204"/>
      <c r="WUD167" s="204"/>
      <c r="WUE167" s="204"/>
      <c r="WUF167" s="199"/>
      <c r="WUG167" s="167"/>
      <c r="WUH167" s="199"/>
      <c r="WUI167" s="200"/>
      <c r="WUJ167" s="201"/>
      <c r="WUK167" s="202"/>
      <c r="WUL167" s="202"/>
      <c r="WUM167" s="202"/>
      <c r="WUN167" s="202"/>
      <c r="WUO167" s="203"/>
      <c r="WUP167" s="204"/>
      <c r="WUQ167" s="204"/>
      <c r="WUR167" s="204"/>
      <c r="WUS167" s="205"/>
      <c r="WUT167" s="206"/>
      <c r="WUU167" s="207"/>
      <c r="WUV167" s="207"/>
      <c r="WUW167" s="208"/>
      <c r="WUX167" s="209"/>
      <c r="WUY167" s="207"/>
      <c r="WUZ167" s="210"/>
      <c r="WVA167" s="209"/>
      <c r="WVB167" s="204"/>
      <c r="WVC167" s="204"/>
      <c r="WVD167" s="204"/>
      <c r="WVE167" s="199"/>
      <c r="WVF167" s="167"/>
      <c r="WVG167" s="199"/>
      <c r="WVH167" s="200"/>
      <c r="WVI167" s="201"/>
      <c r="WVJ167" s="202"/>
      <c r="WVK167" s="202"/>
      <c r="WVL167" s="202"/>
      <c r="WVM167" s="202"/>
      <c r="WVN167" s="203"/>
      <c r="WVO167" s="204"/>
      <c r="WVP167" s="204"/>
      <c r="WVQ167" s="204"/>
      <c r="WVR167" s="205"/>
      <c r="WVS167" s="206"/>
      <c r="WVT167" s="207"/>
      <c r="WVU167" s="207"/>
      <c r="WVV167" s="208"/>
      <c r="WVW167" s="209"/>
      <c r="WVX167" s="207"/>
      <c r="WVY167" s="210"/>
      <c r="WVZ167" s="209"/>
      <c r="WWA167" s="204"/>
      <c r="WWB167" s="204"/>
      <c r="WWC167" s="204"/>
      <c r="WWD167" s="199"/>
      <c r="WWE167" s="167"/>
      <c r="WWF167" s="199"/>
      <c r="WWG167" s="200"/>
      <c r="WWH167" s="201"/>
      <c r="WWI167" s="202"/>
      <c r="WWJ167" s="202"/>
      <c r="WWK167" s="202"/>
      <c r="WWL167" s="202"/>
      <c r="WWM167" s="203"/>
      <c r="WWN167" s="204"/>
      <c r="WWO167" s="204"/>
      <c r="WWP167" s="204"/>
      <c r="WWQ167" s="205"/>
      <c r="WWR167" s="206"/>
      <c r="WWS167" s="207"/>
      <c r="WWT167" s="207"/>
      <c r="WWU167" s="208"/>
      <c r="WWV167" s="209"/>
      <c r="WWW167" s="207"/>
      <c r="WWX167" s="210"/>
      <c r="WWY167" s="209"/>
      <c r="WWZ167" s="204"/>
      <c r="WXA167" s="204"/>
      <c r="WXB167" s="204"/>
      <c r="WXC167" s="199"/>
      <c r="WXD167" s="167"/>
      <c r="WXE167" s="199"/>
      <c r="WXF167" s="200"/>
      <c r="WXG167" s="201"/>
      <c r="WXH167" s="202"/>
      <c r="WXI167" s="202"/>
      <c r="WXJ167" s="202"/>
      <c r="WXK167" s="202"/>
      <c r="WXL167" s="203"/>
      <c r="WXM167" s="204"/>
      <c r="WXN167" s="204"/>
      <c r="WXO167" s="204"/>
      <c r="WXP167" s="205"/>
      <c r="WXQ167" s="206"/>
      <c r="WXR167" s="207"/>
      <c r="WXS167" s="207"/>
      <c r="WXT167" s="208"/>
      <c r="WXU167" s="209"/>
      <c r="WXV167" s="207"/>
      <c r="WXW167" s="210"/>
      <c r="WXX167" s="209"/>
      <c r="WXY167" s="204"/>
      <c r="WXZ167" s="204"/>
      <c r="WYA167" s="204"/>
      <c r="WYB167" s="199"/>
      <c r="WYC167" s="167"/>
      <c r="WYD167" s="199"/>
      <c r="WYE167" s="200"/>
      <c r="WYF167" s="201"/>
      <c r="WYG167" s="202"/>
      <c r="WYH167" s="202"/>
      <c r="WYI167" s="202"/>
      <c r="WYJ167" s="202"/>
      <c r="WYK167" s="203"/>
      <c r="WYL167" s="204"/>
      <c r="WYM167" s="204"/>
      <c r="WYN167" s="204"/>
      <c r="WYO167" s="205"/>
      <c r="WYP167" s="206"/>
      <c r="WYQ167" s="207"/>
      <c r="WYR167" s="207"/>
      <c r="WYS167" s="208"/>
      <c r="WYT167" s="209"/>
      <c r="WYU167" s="207"/>
      <c r="WYV167" s="210"/>
      <c r="WYW167" s="209"/>
      <c r="WYX167" s="204"/>
      <c r="WYY167" s="204"/>
      <c r="WYZ167" s="204"/>
      <c r="WZA167" s="199"/>
      <c r="WZB167" s="167"/>
      <c r="WZC167" s="199"/>
      <c r="WZD167" s="200"/>
      <c r="WZE167" s="201"/>
      <c r="WZF167" s="202"/>
      <c r="WZG167" s="202"/>
      <c r="WZH167" s="202"/>
      <c r="WZI167" s="202"/>
      <c r="WZJ167" s="203"/>
      <c r="WZK167" s="204"/>
      <c r="WZL167" s="204"/>
      <c r="WZM167" s="204"/>
      <c r="WZN167" s="205"/>
      <c r="WZO167" s="206"/>
      <c r="WZP167" s="207"/>
      <c r="WZQ167" s="207"/>
      <c r="WZR167" s="208"/>
      <c r="WZS167" s="209"/>
      <c r="WZT167" s="207"/>
      <c r="WZU167" s="210"/>
      <c r="WZV167" s="209"/>
      <c r="WZW167" s="204"/>
      <c r="WZX167" s="204"/>
      <c r="WZY167" s="204"/>
      <c r="WZZ167" s="199"/>
      <c r="XAA167" s="167"/>
      <c r="XAB167" s="199"/>
      <c r="XAC167" s="200"/>
      <c r="XAD167" s="201"/>
      <c r="XAE167" s="202"/>
      <c r="XAF167" s="202"/>
      <c r="XAG167" s="202"/>
      <c r="XAH167" s="202"/>
      <c r="XAI167" s="203"/>
      <c r="XAJ167" s="204"/>
      <c r="XAK167" s="204"/>
      <c r="XAL167" s="204"/>
      <c r="XAM167" s="205"/>
      <c r="XAN167" s="206"/>
      <c r="XAO167" s="207"/>
      <c r="XAP167" s="207"/>
      <c r="XAQ167" s="208"/>
      <c r="XAR167" s="209"/>
      <c r="XAS167" s="207"/>
      <c r="XAT167" s="210"/>
      <c r="XAU167" s="209"/>
      <c r="XAV167" s="204"/>
      <c r="XAW167" s="204"/>
      <c r="XAX167" s="204"/>
      <c r="XAY167" s="199"/>
      <c r="XAZ167" s="167"/>
      <c r="XBA167" s="199"/>
      <c r="XBB167" s="200"/>
      <c r="XBC167" s="201"/>
      <c r="XBD167" s="202"/>
      <c r="XBE167" s="202"/>
      <c r="XBF167" s="202"/>
      <c r="XBG167" s="202"/>
      <c r="XBH167" s="203"/>
      <c r="XBI167" s="204"/>
      <c r="XBJ167" s="204"/>
      <c r="XBK167" s="204"/>
      <c r="XBL167" s="205"/>
      <c r="XBM167" s="206"/>
      <c r="XBN167" s="207"/>
      <c r="XBO167" s="207"/>
      <c r="XBP167" s="208"/>
      <c r="XBQ167" s="209"/>
      <c r="XBR167" s="207"/>
      <c r="XBS167" s="210"/>
      <c r="XBT167" s="209"/>
      <c r="XBU167" s="204"/>
      <c r="XBV167" s="204"/>
      <c r="XBW167" s="204"/>
      <c r="XBX167" s="199"/>
      <c r="XBY167" s="167"/>
      <c r="XBZ167" s="199"/>
      <c r="XCA167" s="200"/>
      <c r="XCB167" s="201"/>
      <c r="XCC167" s="202"/>
      <c r="XCD167" s="202"/>
      <c r="XCE167" s="202"/>
      <c r="XCF167" s="202"/>
      <c r="XCG167" s="203"/>
      <c r="XCH167" s="204"/>
      <c r="XCI167" s="204"/>
      <c r="XCJ167" s="204"/>
      <c r="XCK167" s="205"/>
      <c r="XCL167" s="206"/>
      <c r="XCM167" s="207"/>
      <c r="XCN167" s="207"/>
      <c r="XCO167" s="208"/>
      <c r="XCP167" s="209"/>
      <c r="XCQ167" s="207"/>
      <c r="XCR167" s="210"/>
      <c r="XCS167" s="209"/>
      <c r="XCT167" s="204"/>
      <c r="XCU167" s="204"/>
      <c r="XCV167" s="204"/>
      <c r="XCW167" s="199"/>
      <c r="XCX167" s="167"/>
      <c r="XCY167" s="199"/>
      <c r="XCZ167" s="200"/>
      <c r="XDA167" s="201"/>
      <c r="XDB167" s="202"/>
      <c r="XDC167" s="202"/>
      <c r="XDD167" s="202"/>
      <c r="XDE167" s="202"/>
      <c r="XDF167" s="203"/>
      <c r="XDG167" s="204"/>
      <c r="XDH167" s="204"/>
      <c r="XDI167" s="204"/>
      <c r="XDJ167" s="205"/>
      <c r="XDK167" s="206"/>
      <c r="XDL167" s="207"/>
      <c r="XDM167" s="207"/>
      <c r="XDN167" s="208"/>
      <c r="XDO167" s="209"/>
      <c r="XDP167" s="207"/>
      <c r="XDQ167" s="210"/>
      <c r="XDR167" s="209"/>
      <c r="XDS167" s="204"/>
      <c r="XDT167" s="204"/>
      <c r="XDU167" s="204"/>
      <c r="XDV167" s="199"/>
      <c r="XDW167" s="167"/>
      <c r="XDX167" s="199"/>
      <c r="XDY167" s="200"/>
      <c r="XDZ167" s="201"/>
      <c r="XEA167" s="202"/>
      <c r="XEB167" s="202"/>
      <c r="XEC167" s="202"/>
      <c r="XED167" s="202"/>
      <c r="XEE167" s="203"/>
      <c r="XEF167" s="204"/>
      <c r="XEG167" s="204"/>
      <c r="XEH167" s="204"/>
      <c r="XEI167" s="205"/>
      <c r="XEJ167" s="206"/>
      <c r="XEK167" s="207"/>
      <c r="XEL167" s="207"/>
      <c r="XEM167" s="208"/>
      <c r="XEN167" s="209"/>
      <c r="XEO167" s="207"/>
      <c r="XEP167" s="210"/>
      <c r="XEQ167" s="209"/>
      <c r="XER167" s="204"/>
      <c r="XES167" s="204"/>
      <c r="XET167" s="204"/>
      <c r="XEU167" s="199"/>
      <c r="XEV167" s="167"/>
      <c r="XEW167" s="199"/>
      <c r="XEX167" s="200"/>
      <c r="XEY167" s="201"/>
      <c r="XEZ167" s="202"/>
      <c r="XFA167" s="202"/>
      <c r="XFB167" s="202"/>
      <c r="XFC167" s="202"/>
    </row>
    <row r="168" spans="1:16383" ht="105" x14ac:dyDescent="0.2">
      <c r="A168" s="38" t="s">
        <v>54</v>
      </c>
      <c r="B168" s="66">
        <f t="shared" si="137"/>
        <v>3</v>
      </c>
      <c r="C168" s="66">
        <v>146</v>
      </c>
      <c r="D168" s="70">
        <v>151</v>
      </c>
      <c r="E168" s="51" t="s">
        <v>847</v>
      </c>
      <c r="F168" s="7" t="s">
        <v>372</v>
      </c>
      <c r="G168" s="15">
        <v>80</v>
      </c>
      <c r="H168" s="14" t="s">
        <v>57</v>
      </c>
      <c r="I168" s="10"/>
      <c r="J168" s="11"/>
      <c r="K168" s="105">
        <f>+(1035300*100)/119</f>
        <v>870000</v>
      </c>
      <c r="L168" s="121">
        <f>K168*G168</f>
        <v>69600000</v>
      </c>
      <c r="M168" s="105">
        <v>1100000</v>
      </c>
      <c r="N168" s="121">
        <f>G168*M168</f>
        <v>88000000</v>
      </c>
      <c r="O168" s="105">
        <v>480000</v>
      </c>
      <c r="P168" s="121">
        <f>G168*O168</f>
        <v>38400000</v>
      </c>
      <c r="Q168" s="165">
        <f t="shared" si="170"/>
        <v>816666.66666666663</v>
      </c>
      <c r="R168" s="166">
        <f>+Q168*G168</f>
        <v>65333333.333333328</v>
      </c>
      <c r="S168" s="222">
        <f t="shared" si="172"/>
        <v>255907.96956892312</v>
      </c>
      <c r="T168" s="223">
        <f t="shared" si="165"/>
        <v>0.31335669743133443</v>
      </c>
      <c r="U168" s="224">
        <f t="shared" si="173"/>
        <v>870000</v>
      </c>
      <c r="V168" s="225">
        <f>+U168*G168</f>
        <v>69600000</v>
      </c>
      <c r="W168" s="149">
        <f t="shared" si="166"/>
        <v>0.29414709145853229</v>
      </c>
      <c r="X168" s="139" t="s">
        <v>889</v>
      </c>
      <c r="Y168" s="137" t="s">
        <v>759</v>
      </c>
      <c r="Z168" s="138" t="s">
        <v>752</v>
      </c>
    </row>
    <row r="169" spans="1:16383" ht="150" x14ac:dyDescent="0.2">
      <c r="A169" s="38" t="s">
        <v>20</v>
      </c>
      <c r="B169" s="66">
        <f t="shared" si="137"/>
        <v>1</v>
      </c>
      <c r="C169" s="66">
        <v>147</v>
      </c>
      <c r="D169" s="70">
        <v>152</v>
      </c>
      <c r="E169" s="51" t="s">
        <v>373</v>
      </c>
      <c r="F169" s="7" t="s">
        <v>374</v>
      </c>
      <c r="G169" s="15">
        <v>1</v>
      </c>
      <c r="H169" s="12" t="s">
        <v>23</v>
      </c>
      <c r="I169" s="10">
        <v>3</v>
      </c>
      <c r="J169" s="16" t="s">
        <v>67</v>
      </c>
      <c r="K169" s="105">
        <f>5114001/30</f>
        <v>170466.7</v>
      </c>
      <c r="L169" s="106">
        <f>+K169*G169*I169</f>
        <v>511400.10000000003</v>
      </c>
      <c r="M169" s="122"/>
      <c r="N169" s="123"/>
      <c r="O169" s="122"/>
      <c r="P169" s="123"/>
      <c r="Q169" s="165">
        <f>+AVERAGE(K169,M169,O169)</f>
        <v>170466.7</v>
      </c>
      <c r="R169" s="166">
        <f>+Q169*G169*I169</f>
        <v>511400.10000000003</v>
      </c>
      <c r="S169" s="222">
        <f>_xlfn.STDEV.P(K169,M169,O169)</f>
        <v>0</v>
      </c>
      <c r="T169" s="223">
        <f t="shared" ref="T169:T173" si="178">+S169/Q169</f>
        <v>0</v>
      </c>
      <c r="U169" s="224">
        <f>+MEDIAN(K169,M169,O169)</f>
        <v>170466.7</v>
      </c>
      <c r="V169" s="225">
        <f>+U169*G169*I169</f>
        <v>511400.10000000003</v>
      </c>
      <c r="W169" s="149">
        <f t="shared" ref="W169:W173" si="179">+S169/U169</f>
        <v>0</v>
      </c>
      <c r="X169" s="316" t="s">
        <v>819</v>
      </c>
      <c r="Y169" s="137"/>
      <c r="Z169" s="138"/>
    </row>
    <row r="170" spans="1:16383" ht="105" x14ac:dyDescent="0.2">
      <c r="A170" s="38" t="s">
        <v>54</v>
      </c>
      <c r="B170" s="66">
        <f t="shared" si="137"/>
        <v>3</v>
      </c>
      <c r="C170" s="66">
        <v>148</v>
      </c>
      <c r="D170" s="70">
        <v>153</v>
      </c>
      <c r="E170" s="51" t="s">
        <v>375</v>
      </c>
      <c r="F170" s="7" t="s">
        <v>376</v>
      </c>
      <c r="G170" s="15">
        <v>20</v>
      </c>
      <c r="H170" s="14" t="s">
        <v>57</v>
      </c>
      <c r="I170" s="10"/>
      <c r="J170" s="11"/>
      <c r="K170" s="105">
        <f>+(1335894*100)/119</f>
        <v>1122600</v>
      </c>
      <c r="L170" s="121">
        <f>K170*G170</f>
        <v>22452000</v>
      </c>
      <c r="M170" s="105">
        <f>+(1199900*100)/119</f>
        <v>1008319.3277310925</v>
      </c>
      <c r="N170" s="121">
        <f>G170*M170</f>
        <v>20166386.554621849</v>
      </c>
      <c r="O170" s="105">
        <f>+(1899900*100)/119</f>
        <v>1596554.6218487395</v>
      </c>
      <c r="P170" s="121">
        <f>G170*O170</f>
        <v>31931092.43697479</v>
      </c>
      <c r="Q170" s="165">
        <f t="shared" ref="Q170" si="180">+AVERAGE(K170,M170,O170)</f>
        <v>1242491.3165266106</v>
      </c>
      <c r="R170" s="166">
        <f>+Q170*G170</f>
        <v>24849826.330532212</v>
      </c>
      <c r="S170" s="222">
        <f t="shared" ref="S170:S171" si="181">_xlfn.STDEV.P(K170,M170,O170)</f>
        <v>254670.55338912041</v>
      </c>
      <c r="T170" s="223">
        <f t="shared" si="178"/>
        <v>0.20496767261203316</v>
      </c>
      <c r="U170" s="224">
        <f t="shared" ref="U170:U171" si="182">+MEDIAN(K170,M170,O170)</f>
        <v>1122600</v>
      </c>
      <c r="V170" s="225">
        <f>+U170*G170</f>
        <v>22452000</v>
      </c>
      <c r="W170" s="149">
        <f t="shared" si="179"/>
        <v>0.22685778851694319</v>
      </c>
      <c r="X170" s="570" t="s">
        <v>742</v>
      </c>
      <c r="Y170" s="576" t="s">
        <v>743</v>
      </c>
      <c r="Z170" s="571" t="s">
        <v>261</v>
      </c>
    </row>
    <row r="171" spans="1:16383" ht="60" x14ac:dyDescent="0.2">
      <c r="A171" s="38" t="s">
        <v>54</v>
      </c>
      <c r="B171" s="66">
        <f t="shared" si="137"/>
        <v>2</v>
      </c>
      <c r="C171" s="66">
        <v>149</v>
      </c>
      <c r="D171" s="70">
        <v>154</v>
      </c>
      <c r="E171" s="51" t="s">
        <v>377</v>
      </c>
      <c r="F171" s="7" t="s">
        <v>120</v>
      </c>
      <c r="G171" s="15">
        <v>1</v>
      </c>
      <c r="H171" s="12" t="s">
        <v>57</v>
      </c>
      <c r="I171" s="10">
        <v>5</v>
      </c>
      <c r="J171" s="11" t="s">
        <v>64</v>
      </c>
      <c r="K171" s="105"/>
      <c r="L171" s="146"/>
      <c r="M171" s="105">
        <v>400000</v>
      </c>
      <c r="N171" s="148">
        <f>+M171*I171*G171</f>
        <v>2000000</v>
      </c>
      <c r="O171" s="105">
        <v>700000</v>
      </c>
      <c r="P171" s="148">
        <f>+O171*I171*G171</f>
        <v>3500000</v>
      </c>
      <c r="Q171" s="165">
        <f>+AVERAGE(M171,O171)</f>
        <v>550000</v>
      </c>
      <c r="R171" s="166">
        <f>+Q171*G171*I171</f>
        <v>2750000</v>
      </c>
      <c r="S171" s="222">
        <f t="shared" si="181"/>
        <v>150000</v>
      </c>
      <c r="T171" s="223">
        <f t="shared" si="178"/>
        <v>0.27272727272727271</v>
      </c>
      <c r="U171" s="224">
        <f t="shared" si="182"/>
        <v>550000</v>
      </c>
      <c r="V171" s="225">
        <f t="shared" ref="V171" si="183">+U171*G171*I171</f>
        <v>2750000</v>
      </c>
      <c r="W171" s="149">
        <f t="shared" si="179"/>
        <v>0.27272727272727271</v>
      </c>
      <c r="X171" s="139"/>
      <c r="Y171" s="137" t="s">
        <v>759</v>
      </c>
      <c r="Z171" s="138" t="s">
        <v>752</v>
      </c>
    </row>
    <row r="172" spans="1:16383" ht="90" x14ac:dyDescent="0.2">
      <c r="A172" s="38" t="s">
        <v>20</v>
      </c>
      <c r="B172" s="66">
        <f t="shared" si="137"/>
        <v>1</v>
      </c>
      <c r="C172" s="66">
        <v>150</v>
      </c>
      <c r="D172" s="70">
        <v>155</v>
      </c>
      <c r="E172" s="51" t="s">
        <v>78</v>
      </c>
      <c r="F172" s="398" t="s">
        <v>79</v>
      </c>
      <c r="G172" s="15">
        <v>3</v>
      </c>
      <c r="H172" s="28" t="s">
        <v>23</v>
      </c>
      <c r="I172" s="10">
        <v>1</v>
      </c>
      <c r="J172" s="57" t="s">
        <v>73</v>
      </c>
      <c r="K172" s="105">
        <f>1602000/30</f>
        <v>53400</v>
      </c>
      <c r="L172" s="106">
        <f>+K172*G172*I172</f>
        <v>160200</v>
      </c>
      <c r="M172" s="122"/>
      <c r="N172" s="123"/>
      <c r="O172" s="122"/>
      <c r="P172" s="123"/>
      <c r="Q172" s="165">
        <f>+AVERAGE(K172,M172,O172)</f>
        <v>53400</v>
      </c>
      <c r="R172" s="166">
        <f>+Q172*G172*I172</f>
        <v>160200</v>
      </c>
      <c r="S172" s="222">
        <f>_xlfn.STDEV.P(K172,M172,O172)</f>
        <v>0</v>
      </c>
      <c r="T172" s="223">
        <f t="shared" si="178"/>
        <v>0</v>
      </c>
      <c r="U172" s="224">
        <f>+MEDIAN(K172,M172,O172)</f>
        <v>53400</v>
      </c>
      <c r="V172" s="225">
        <f>+U172*G172*I172</f>
        <v>160200</v>
      </c>
      <c r="W172" s="149">
        <f t="shared" si="179"/>
        <v>0</v>
      </c>
      <c r="X172" s="316" t="s">
        <v>819</v>
      </c>
      <c r="Y172" s="137"/>
      <c r="Z172" s="138"/>
    </row>
    <row r="173" spans="1:16383" ht="256" thickBot="1" x14ac:dyDescent="0.25">
      <c r="A173" s="38" t="s">
        <v>54</v>
      </c>
      <c r="B173" s="66">
        <f t="shared" si="137"/>
        <v>3</v>
      </c>
      <c r="C173" s="66">
        <v>151</v>
      </c>
      <c r="D173" s="70">
        <v>156</v>
      </c>
      <c r="E173" s="51" t="s">
        <v>334</v>
      </c>
      <c r="F173" s="7" t="s">
        <v>848</v>
      </c>
      <c r="G173" s="15">
        <v>80</v>
      </c>
      <c r="H173" s="14" t="s">
        <v>57</v>
      </c>
      <c r="I173" s="10"/>
      <c r="J173" s="11"/>
      <c r="K173" s="105">
        <f>+(18000*100)/119</f>
        <v>15126.050420168067</v>
      </c>
      <c r="L173" s="121">
        <f>K173*G173</f>
        <v>1210084.0336134452</v>
      </c>
      <c r="M173" s="105">
        <f>+(19500*100)/119</f>
        <v>16386.55462184874</v>
      </c>
      <c r="N173" s="121">
        <f>G173*M173</f>
        <v>1310924.3697478992</v>
      </c>
      <c r="O173" s="105">
        <f>+(18500*100)/119</f>
        <v>15546.218487394957</v>
      </c>
      <c r="P173" s="121">
        <f>G173*O173</f>
        <v>1243697.4789915965</v>
      </c>
      <c r="Q173" s="165">
        <f t="shared" ref="Q173" si="184">+AVERAGE(K173,M173,O173)</f>
        <v>15686.274509803921</v>
      </c>
      <c r="R173" s="166">
        <f>+Q173*G173</f>
        <v>1254901.9607843137</v>
      </c>
      <c r="S173" s="222">
        <f t="shared" ref="S173" si="185">_xlfn.STDEV.P(K173,M173,O173)</f>
        <v>524.04165080867563</v>
      </c>
      <c r="T173" s="223">
        <f t="shared" si="178"/>
        <v>3.340765523905307E-2</v>
      </c>
      <c r="U173" s="224">
        <f t="shared" ref="U173" si="186">+MEDIAN(K173,M173,O173)</f>
        <v>15546.218487394957</v>
      </c>
      <c r="V173" s="225">
        <f>+U173*G173</f>
        <v>1243697.4789915965</v>
      </c>
      <c r="W173" s="149">
        <f t="shared" si="179"/>
        <v>3.3708625106071567E-2</v>
      </c>
      <c r="X173" s="139" t="s">
        <v>772</v>
      </c>
      <c r="Y173" s="137" t="s">
        <v>773</v>
      </c>
      <c r="Z173" s="138" t="s">
        <v>774</v>
      </c>
    </row>
    <row r="174" spans="1:16383" ht="58" thickBot="1" x14ac:dyDescent="0.25">
      <c r="A174" s="49">
        <v>1</v>
      </c>
      <c r="B174" s="193"/>
      <c r="C174" s="193"/>
      <c r="D174" s="69"/>
      <c r="E174" s="50"/>
      <c r="F174" s="400" t="s">
        <v>378</v>
      </c>
      <c r="G174" s="30"/>
      <c r="H174" s="30"/>
      <c r="I174" s="30"/>
      <c r="J174" s="30"/>
      <c r="K174" s="109"/>
      <c r="L174" s="110"/>
      <c r="M174" s="110"/>
      <c r="N174" s="110"/>
      <c r="O174" s="109"/>
      <c r="P174" s="110"/>
      <c r="Q174" s="194"/>
      <c r="R174" s="194"/>
      <c r="S174" s="195"/>
      <c r="T174" s="196"/>
      <c r="U174" s="194"/>
      <c r="V174" s="197"/>
      <c r="W174" s="196"/>
      <c r="X174" s="593"/>
      <c r="Y174" s="593"/>
      <c r="Z174" s="594"/>
      <c r="AA174" s="199"/>
      <c r="AB174" s="200"/>
      <c r="AC174" s="201"/>
      <c r="AD174" s="202"/>
      <c r="AE174" s="202"/>
      <c r="AF174" s="202"/>
      <c r="AG174" s="202"/>
      <c r="AH174" s="203"/>
      <c r="AI174" s="204"/>
      <c r="AJ174" s="204"/>
      <c r="AK174" s="204"/>
      <c r="AL174" s="205"/>
      <c r="AM174" s="206"/>
      <c r="AN174" s="207"/>
      <c r="AO174" s="207"/>
      <c r="AP174" s="208"/>
      <c r="AQ174" s="209"/>
      <c r="AR174" s="207"/>
      <c r="AS174" s="210"/>
      <c r="AT174" s="209"/>
      <c r="AU174" s="204"/>
      <c r="AV174" s="204"/>
      <c r="AW174" s="204"/>
      <c r="AX174" s="199"/>
      <c r="AY174" s="167"/>
      <c r="AZ174" s="199"/>
      <c r="BA174" s="200"/>
      <c r="BB174" s="201"/>
      <c r="BC174" s="202"/>
      <c r="BD174" s="202"/>
      <c r="BE174" s="202"/>
      <c r="BF174" s="202"/>
      <c r="BG174" s="203"/>
      <c r="BH174" s="204"/>
      <c r="BI174" s="204"/>
      <c r="BJ174" s="204"/>
      <c r="BK174" s="205"/>
      <c r="BL174" s="206"/>
      <c r="BM174" s="207"/>
      <c r="BN174" s="207"/>
      <c r="BO174" s="208"/>
      <c r="BP174" s="209"/>
      <c r="BQ174" s="207"/>
      <c r="BR174" s="210"/>
      <c r="BS174" s="209"/>
      <c r="BT174" s="204"/>
      <c r="BU174" s="204"/>
      <c r="BV174" s="204"/>
      <c r="BW174" s="199"/>
      <c r="BX174" s="167"/>
      <c r="BY174" s="199"/>
      <c r="BZ174" s="200"/>
      <c r="CA174" s="201"/>
      <c r="CB174" s="202"/>
      <c r="CC174" s="202"/>
      <c r="CD174" s="202"/>
      <c r="CE174" s="202"/>
      <c r="CF174" s="203"/>
      <c r="CG174" s="204"/>
      <c r="CH174" s="204"/>
      <c r="CI174" s="204"/>
      <c r="CJ174" s="205"/>
      <c r="CK174" s="206"/>
      <c r="CL174" s="207"/>
      <c r="CM174" s="207"/>
      <c r="CN174" s="208"/>
      <c r="CO174" s="209"/>
      <c r="CP174" s="207"/>
      <c r="CQ174" s="210"/>
      <c r="CR174" s="209"/>
      <c r="CS174" s="204"/>
      <c r="CT174" s="204"/>
      <c r="CU174" s="204"/>
      <c r="CV174" s="199"/>
      <c r="CW174" s="167"/>
      <c r="CX174" s="199"/>
      <c r="CY174" s="200"/>
      <c r="CZ174" s="201"/>
      <c r="DA174" s="202"/>
      <c r="DB174" s="202"/>
      <c r="DC174" s="202"/>
      <c r="DD174" s="202"/>
      <c r="DE174" s="203"/>
      <c r="DF174" s="204"/>
      <c r="DG174" s="204"/>
      <c r="DH174" s="204"/>
      <c r="DI174" s="205"/>
      <c r="DJ174" s="206"/>
      <c r="DK174" s="207"/>
      <c r="DL174" s="207"/>
      <c r="DM174" s="208"/>
      <c r="DN174" s="209"/>
      <c r="DO174" s="207"/>
      <c r="DP174" s="210"/>
      <c r="DQ174" s="209"/>
      <c r="DR174" s="204"/>
      <c r="DS174" s="204"/>
      <c r="DT174" s="204"/>
      <c r="DU174" s="199"/>
      <c r="DV174" s="167"/>
      <c r="DW174" s="199"/>
      <c r="DX174" s="200"/>
      <c r="DY174" s="201"/>
      <c r="DZ174" s="202"/>
      <c r="EA174" s="202"/>
      <c r="EB174" s="202"/>
      <c r="EC174" s="202"/>
      <c r="ED174" s="203"/>
      <c r="EE174" s="204"/>
      <c r="EF174" s="204"/>
      <c r="EG174" s="204"/>
      <c r="EH174" s="205"/>
      <c r="EI174" s="206"/>
      <c r="EJ174" s="207"/>
      <c r="EK174" s="207"/>
      <c r="EL174" s="208"/>
      <c r="EM174" s="209"/>
      <c r="EN174" s="207"/>
      <c r="EO174" s="210"/>
      <c r="EP174" s="209"/>
      <c r="EQ174" s="204"/>
      <c r="ER174" s="204"/>
      <c r="ES174" s="204"/>
      <c r="ET174" s="199"/>
      <c r="EU174" s="167"/>
      <c r="EV174" s="199"/>
      <c r="EW174" s="200"/>
      <c r="EX174" s="201"/>
      <c r="EY174" s="202"/>
      <c r="EZ174" s="202"/>
      <c r="FA174" s="202"/>
      <c r="FB174" s="202"/>
      <c r="FC174" s="203"/>
      <c r="FD174" s="204"/>
      <c r="FE174" s="204"/>
      <c r="FF174" s="204"/>
      <c r="FG174" s="205"/>
      <c r="FH174" s="206"/>
      <c r="FI174" s="207"/>
      <c r="FJ174" s="207"/>
      <c r="FK174" s="208"/>
      <c r="FL174" s="209"/>
      <c r="FM174" s="207"/>
      <c r="FN174" s="210"/>
      <c r="FO174" s="209"/>
      <c r="FP174" s="204"/>
      <c r="FQ174" s="204"/>
      <c r="FR174" s="204"/>
      <c r="FS174" s="199"/>
      <c r="FT174" s="167"/>
      <c r="FU174" s="199"/>
      <c r="FV174" s="200"/>
      <c r="FW174" s="201"/>
      <c r="FX174" s="202"/>
      <c r="FY174" s="202"/>
      <c r="FZ174" s="202"/>
      <c r="GA174" s="202"/>
      <c r="GB174" s="203"/>
      <c r="GC174" s="204"/>
      <c r="GD174" s="204"/>
      <c r="GE174" s="204"/>
      <c r="GF174" s="205"/>
      <c r="GG174" s="206"/>
      <c r="GH174" s="207"/>
      <c r="GI174" s="207"/>
      <c r="GJ174" s="208"/>
      <c r="GK174" s="209"/>
      <c r="GL174" s="207"/>
      <c r="GM174" s="210"/>
      <c r="GN174" s="209"/>
      <c r="GO174" s="204"/>
      <c r="GP174" s="204"/>
      <c r="GQ174" s="204"/>
      <c r="GR174" s="199"/>
      <c r="GS174" s="167"/>
      <c r="GT174" s="199"/>
      <c r="GU174" s="200"/>
      <c r="GV174" s="201"/>
      <c r="GW174" s="202"/>
      <c r="GX174" s="202"/>
      <c r="GY174" s="202"/>
      <c r="GZ174" s="202"/>
      <c r="HA174" s="203"/>
      <c r="HB174" s="204"/>
      <c r="HC174" s="204"/>
      <c r="HD174" s="204"/>
      <c r="HE174" s="205"/>
      <c r="HF174" s="206"/>
      <c r="HG174" s="207"/>
      <c r="HH174" s="207"/>
      <c r="HI174" s="208"/>
      <c r="HJ174" s="209"/>
      <c r="HK174" s="207"/>
      <c r="HL174" s="210"/>
      <c r="HM174" s="209"/>
      <c r="HN174" s="204"/>
      <c r="HO174" s="204"/>
      <c r="HP174" s="204"/>
      <c r="HQ174" s="199"/>
      <c r="HR174" s="167"/>
      <c r="HS174" s="199"/>
      <c r="HT174" s="200"/>
      <c r="HU174" s="201"/>
      <c r="HV174" s="202"/>
      <c r="HW174" s="202"/>
      <c r="HX174" s="202"/>
      <c r="HY174" s="202"/>
      <c r="HZ174" s="203"/>
      <c r="IA174" s="204"/>
      <c r="IB174" s="204"/>
      <c r="IC174" s="204"/>
      <c r="ID174" s="205"/>
      <c r="IE174" s="206"/>
      <c r="IF174" s="207"/>
      <c r="IG174" s="207"/>
      <c r="IH174" s="208"/>
      <c r="II174" s="209"/>
      <c r="IJ174" s="207"/>
      <c r="IK174" s="210"/>
      <c r="IL174" s="209"/>
      <c r="IM174" s="204"/>
      <c r="IN174" s="204"/>
      <c r="IO174" s="204"/>
      <c r="IP174" s="199"/>
      <c r="IQ174" s="167"/>
      <c r="IR174" s="199"/>
      <c r="IS174" s="200"/>
      <c r="IT174" s="201"/>
      <c r="IU174" s="202"/>
      <c r="IV174" s="202"/>
      <c r="IW174" s="202"/>
      <c r="IX174" s="202"/>
      <c r="IY174" s="203"/>
      <c r="IZ174" s="204"/>
      <c r="JA174" s="204"/>
      <c r="JB174" s="204"/>
      <c r="JC174" s="205"/>
      <c r="JD174" s="206"/>
      <c r="JE174" s="207"/>
      <c r="JF174" s="207"/>
      <c r="JG174" s="208"/>
      <c r="JH174" s="209"/>
      <c r="JI174" s="207"/>
      <c r="JJ174" s="210"/>
      <c r="JK174" s="209"/>
      <c r="JL174" s="204"/>
      <c r="JM174" s="204"/>
      <c r="JN174" s="204"/>
      <c r="JO174" s="199"/>
      <c r="JP174" s="167"/>
      <c r="JQ174" s="199"/>
      <c r="JR174" s="200"/>
      <c r="JS174" s="201"/>
      <c r="JT174" s="202"/>
      <c r="JU174" s="202"/>
      <c r="JV174" s="202"/>
      <c r="JW174" s="202"/>
      <c r="JX174" s="203"/>
      <c r="JY174" s="204"/>
      <c r="JZ174" s="204"/>
      <c r="KA174" s="204"/>
      <c r="KB174" s="205"/>
      <c r="KC174" s="206"/>
      <c r="KD174" s="207"/>
      <c r="KE174" s="207"/>
      <c r="KF174" s="208"/>
      <c r="KG174" s="209"/>
      <c r="KH174" s="207"/>
      <c r="KI174" s="210"/>
      <c r="KJ174" s="209"/>
      <c r="KK174" s="204"/>
      <c r="KL174" s="204"/>
      <c r="KM174" s="204"/>
      <c r="KN174" s="199"/>
      <c r="KO174" s="167"/>
      <c r="KP174" s="199"/>
      <c r="KQ174" s="200"/>
      <c r="KR174" s="201"/>
      <c r="KS174" s="202"/>
      <c r="KT174" s="202"/>
      <c r="KU174" s="202"/>
      <c r="KV174" s="202"/>
      <c r="KW174" s="203"/>
      <c r="KX174" s="204"/>
      <c r="KY174" s="204"/>
      <c r="KZ174" s="204"/>
      <c r="LA174" s="205"/>
      <c r="LB174" s="206"/>
      <c r="LC174" s="207"/>
      <c r="LD174" s="207"/>
      <c r="LE174" s="208"/>
      <c r="LF174" s="209"/>
      <c r="LG174" s="207"/>
      <c r="LH174" s="210"/>
      <c r="LI174" s="209"/>
      <c r="LJ174" s="204"/>
      <c r="LK174" s="204"/>
      <c r="LL174" s="204"/>
      <c r="LM174" s="199"/>
      <c r="LN174" s="167"/>
      <c r="LO174" s="199"/>
      <c r="LP174" s="200"/>
      <c r="LQ174" s="201"/>
      <c r="LR174" s="202"/>
      <c r="LS174" s="202"/>
      <c r="LT174" s="202"/>
      <c r="LU174" s="202"/>
      <c r="LV174" s="203"/>
      <c r="LW174" s="204"/>
      <c r="LX174" s="204"/>
      <c r="LY174" s="204"/>
      <c r="LZ174" s="205"/>
      <c r="MA174" s="206"/>
      <c r="MB174" s="207"/>
      <c r="MC174" s="207"/>
      <c r="MD174" s="208"/>
      <c r="ME174" s="209"/>
      <c r="MF174" s="207"/>
      <c r="MG174" s="210"/>
      <c r="MH174" s="209"/>
      <c r="MI174" s="204"/>
      <c r="MJ174" s="204"/>
      <c r="MK174" s="204"/>
      <c r="ML174" s="199"/>
      <c r="MM174" s="167"/>
      <c r="MN174" s="199"/>
      <c r="MO174" s="200"/>
      <c r="MP174" s="201"/>
      <c r="MQ174" s="202"/>
      <c r="MR174" s="202"/>
      <c r="MS174" s="202"/>
      <c r="MT174" s="202"/>
      <c r="MU174" s="203"/>
      <c r="MV174" s="204"/>
      <c r="MW174" s="204"/>
      <c r="MX174" s="204"/>
      <c r="MY174" s="205"/>
      <c r="MZ174" s="206"/>
      <c r="NA174" s="207"/>
      <c r="NB174" s="207"/>
      <c r="NC174" s="208"/>
      <c r="ND174" s="209"/>
      <c r="NE174" s="207"/>
      <c r="NF174" s="210"/>
      <c r="NG174" s="209"/>
      <c r="NH174" s="204"/>
      <c r="NI174" s="204"/>
      <c r="NJ174" s="204"/>
      <c r="NK174" s="199"/>
      <c r="NL174" s="167"/>
      <c r="NM174" s="199"/>
      <c r="NN174" s="200"/>
      <c r="NO174" s="201"/>
      <c r="NP174" s="202"/>
      <c r="NQ174" s="202"/>
      <c r="NR174" s="202"/>
      <c r="NS174" s="202"/>
      <c r="NT174" s="203"/>
      <c r="NU174" s="204"/>
      <c r="NV174" s="204"/>
      <c r="NW174" s="204"/>
      <c r="NX174" s="205"/>
      <c r="NY174" s="206"/>
      <c r="NZ174" s="207"/>
      <c r="OA174" s="207"/>
      <c r="OB174" s="208"/>
      <c r="OC174" s="209"/>
      <c r="OD174" s="207"/>
      <c r="OE174" s="210"/>
      <c r="OF174" s="209"/>
      <c r="OG174" s="204"/>
      <c r="OH174" s="204"/>
      <c r="OI174" s="204"/>
      <c r="OJ174" s="199"/>
      <c r="OK174" s="167"/>
      <c r="OL174" s="199"/>
      <c r="OM174" s="200"/>
      <c r="ON174" s="201"/>
      <c r="OO174" s="202"/>
      <c r="OP174" s="202"/>
      <c r="OQ174" s="202"/>
      <c r="OR174" s="202"/>
      <c r="OS174" s="203"/>
      <c r="OT174" s="204"/>
      <c r="OU174" s="204"/>
      <c r="OV174" s="204"/>
      <c r="OW174" s="205"/>
      <c r="OX174" s="206"/>
      <c r="OY174" s="207"/>
      <c r="OZ174" s="207"/>
      <c r="PA174" s="208"/>
      <c r="PB174" s="209"/>
      <c r="PC174" s="207"/>
      <c r="PD174" s="210"/>
      <c r="PE174" s="209"/>
      <c r="PF174" s="204"/>
      <c r="PG174" s="204"/>
      <c r="PH174" s="204"/>
      <c r="PI174" s="199"/>
      <c r="PJ174" s="167"/>
      <c r="PK174" s="199"/>
      <c r="PL174" s="200"/>
      <c r="PM174" s="201"/>
      <c r="PN174" s="202"/>
      <c r="PO174" s="202"/>
      <c r="PP174" s="202"/>
      <c r="PQ174" s="202"/>
      <c r="PR174" s="203"/>
      <c r="PS174" s="204"/>
      <c r="PT174" s="204"/>
      <c r="PU174" s="204"/>
      <c r="PV174" s="205"/>
      <c r="PW174" s="206"/>
      <c r="PX174" s="207"/>
      <c r="PY174" s="207"/>
      <c r="PZ174" s="208"/>
      <c r="QA174" s="209"/>
      <c r="QB174" s="207"/>
      <c r="QC174" s="210"/>
      <c r="QD174" s="209"/>
      <c r="QE174" s="204"/>
      <c r="QF174" s="204"/>
      <c r="QG174" s="204"/>
      <c r="QH174" s="199"/>
      <c r="QI174" s="167"/>
      <c r="QJ174" s="199"/>
      <c r="QK174" s="200"/>
      <c r="QL174" s="201"/>
      <c r="QM174" s="202"/>
      <c r="QN174" s="202"/>
      <c r="QO174" s="202"/>
      <c r="QP174" s="202"/>
      <c r="QQ174" s="203"/>
      <c r="QR174" s="204"/>
      <c r="QS174" s="204"/>
      <c r="QT174" s="204"/>
      <c r="QU174" s="205"/>
      <c r="QV174" s="206"/>
      <c r="QW174" s="207"/>
      <c r="QX174" s="207"/>
      <c r="QY174" s="208"/>
      <c r="QZ174" s="209"/>
      <c r="RA174" s="207"/>
      <c r="RB174" s="210"/>
      <c r="RC174" s="209"/>
      <c r="RD174" s="204"/>
      <c r="RE174" s="204"/>
      <c r="RF174" s="204"/>
      <c r="RG174" s="199"/>
      <c r="RH174" s="167"/>
      <c r="RI174" s="199"/>
      <c r="RJ174" s="200"/>
      <c r="RK174" s="201"/>
      <c r="RL174" s="202"/>
      <c r="RM174" s="202"/>
      <c r="RN174" s="202"/>
      <c r="RO174" s="202"/>
      <c r="RP174" s="203"/>
      <c r="RQ174" s="204"/>
      <c r="RR174" s="204"/>
      <c r="RS174" s="204"/>
      <c r="RT174" s="205"/>
      <c r="RU174" s="206"/>
      <c r="RV174" s="207"/>
      <c r="RW174" s="207"/>
      <c r="RX174" s="208"/>
      <c r="RY174" s="209"/>
      <c r="RZ174" s="207"/>
      <c r="SA174" s="210"/>
      <c r="SB174" s="209"/>
      <c r="SC174" s="204"/>
      <c r="SD174" s="204"/>
      <c r="SE174" s="204"/>
      <c r="SF174" s="199"/>
      <c r="SG174" s="167"/>
      <c r="SH174" s="199"/>
      <c r="SI174" s="200"/>
      <c r="SJ174" s="201"/>
      <c r="SK174" s="202"/>
      <c r="SL174" s="202"/>
      <c r="SM174" s="202"/>
      <c r="SN174" s="202"/>
      <c r="SO174" s="203"/>
      <c r="SP174" s="204"/>
      <c r="SQ174" s="204"/>
      <c r="SR174" s="204"/>
      <c r="SS174" s="205"/>
      <c r="ST174" s="206"/>
      <c r="SU174" s="207"/>
      <c r="SV174" s="207"/>
      <c r="SW174" s="208"/>
      <c r="SX174" s="209"/>
      <c r="SY174" s="207"/>
      <c r="SZ174" s="210"/>
      <c r="TA174" s="209"/>
      <c r="TB174" s="204"/>
      <c r="TC174" s="204"/>
      <c r="TD174" s="204"/>
      <c r="TE174" s="199"/>
      <c r="TF174" s="167"/>
      <c r="TG174" s="199"/>
      <c r="TH174" s="200"/>
      <c r="TI174" s="201"/>
      <c r="TJ174" s="202"/>
      <c r="TK174" s="202"/>
      <c r="TL174" s="202"/>
      <c r="TM174" s="202"/>
      <c r="TN174" s="203"/>
      <c r="TO174" s="204"/>
      <c r="TP174" s="204"/>
      <c r="TQ174" s="204"/>
      <c r="TR174" s="205"/>
      <c r="TS174" s="206"/>
      <c r="TT174" s="207"/>
      <c r="TU174" s="207"/>
      <c r="TV174" s="208"/>
      <c r="TW174" s="209"/>
      <c r="TX174" s="207"/>
      <c r="TY174" s="210"/>
      <c r="TZ174" s="209"/>
      <c r="UA174" s="204"/>
      <c r="UB174" s="204"/>
      <c r="UC174" s="204"/>
      <c r="UD174" s="199"/>
      <c r="UE174" s="167"/>
      <c r="UF174" s="199"/>
      <c r="UG174" s="200"/>
      <c r="UH174" s="201"/>
      <c r="UI174" s="202"/>
      <c r="UJ174" s="202"/>
      <c r="UK174" s="202"/>
      <c r="UL174" s="202"/>
      <c r="UM174" s="203"/>
      <c r="UN174" s="204"/>
      <c r="UO174" s="204"/>
      <c r="UP174" s="204"/>
      <c r="UQ174" s="205"/>
      <c r="UR174" s="206"/>
      <c r="US174" s="207"/>
      <c r="UT174" s="207"/>
      <c r="UU174" s="208"/>
      <c r="UV174" s="209"/>
      <c r="UW174" s="207"/>
      <c r="UX174" s="210"/>
      <c r="UY174" s="209"/>
      <c r="UZ174" s="204"/>
      <c r="VA174" s="204"/>
      <c r="VB174" s="204"/>
      <c r="VC174" s="199"/>
      <c r="VD174" s="167"/>
      <c r="VE174" s="199"/>
      <c r="VF174" s="200"/>
      <c r="VG174" s="201"/>
      <c r="VH174" s="202"/>
      <c r="VI174" s="202"/>
      <c r="VJ174" s="202"/>
      <c r="VK174" s="202"/>
      <c r="VL174" s="203"/>
      <c r="VM174" s="204"/>
      <c r="VN174" s="204"/>
      <c r="VO174" s="204"/>
      <c r="VP174" s="205"/>
      <c r="VQ174" s="206"/>
      <c r="VR174" s="207"/>
      <c r="VS174" s="207"/>
      <c r="VT174" s="208"/>
      <c r="VU174" s="209"/>
      <c r="VV174" s="207"/>
      <c r="VW174" s="210"/>
      <c r="VX174" s="209"/>
      <c r="VY174" s="204"/>
      <c r="VZ174" s="204"/>
      <c r="WA174" s="204"/>
      <c r="WB174" s="199"/>
      <c r="WC174" s="167"/>
      <c r="WD174" s="199"/>
      <c r="WE174" s="200"/>
      <c r="WF174" s="201"/>
      <c r="WG174" s="202"/>
      <c r="WH174" s="202"/>
      <c r="WI174" s="202"/>
      <c r="WJ174" s="202"/>
      <c r="WK174" s="203"/>
      <c r="WL174" s="204"/>
      <c r="WM174" s="204"/>
      <c r="WN174" s="204"/>
      <c r="WO174" s="205"/>
      <c r="WP174" s="206"/>
      <c r="WQ174" s="207"/>
      <c r="WR174" s="207"/>
      <c r="WS174" s="208"/>
      <c r="WT174" s="209"/>
      <c r="WU174" s="207"/>
      <c r="WV174" s="210"/>
      <c r="WW174" s="209"/>
      <c r="WX174" s="204"/>
      <c r="WY174" s="204"/>
      <c r="WZ174" s="204"/>
      <c r="XA174" s="199"/>
      <c r="XB174" s="167"/>
      <c r="XC174" s="199"/>
      <c r="XD174" s="200"/>
      <c r="XE174" s="201"/>
      <c r="XF174" s="202"/>
      <c r="XG174" s="202"/>
      <c r="XH174" s="202"/>
      <c r="XI174" s="202"/>
      <c r="XJ174" s="203"/>
      <c r="XK174" s="204"/>
      <c r="XL174" s="204"/>
      <c r="XM174" s="204"/>
      <c r="XN174" s="205"/>
      <c r="XO174" s="206"/>
      <c r="XP174" s="207"/>
      <c r="XQ174" s="207"/>
      <c r="XR174" s="208"/>
      <c r="XS174" s="209"/>
      <c r="XT174" s="207"/>
      <c r="XU174" s="210"/>
      <c r="XV174" s="209"/>
      <c r="XW174" s="204"/>
      <c r="XX174" s="204"/>
      <c r="XY174" s="204"/>
      <c r="XZ174" s="199"/>
      <c r="YA174" s="167"/>
      <c r="YB174" s="199"/>
      <c r="YC174" s="200"/>
      <c r="YD174" s="201"/>
      <c r="YE174" s="202"/>
      <c r="YF174" s="202"/>
      <c r="YG174" s="202"/>
      <c r="YH174" s="202"/>
      <c r="YI174" s="203"/>
      <c r="YJ174" s="204"/>
      <c r="YK174" s="204"/>
      <c r="YL174" s="204"/>
      <c r="YM174" s="205"/>
      <c r="YN174" s="206"/>
      <c r="YO174" s="207"/>
      <c r="YP174" s="207"/>
      <c r="YQ174" s="208"/>
      <c r="YR174" s="209"/>
      <c r="YS174" s="207"/>
      <c r="YT174" s="210"/>
      <c r="YU174" s="209"/>
      <c r="YV174" s="204"/>
      <c r="YW174" s="204"/>
      <c r="YX174" s="204"/>
      <c r="YY174" s="199"/>
      <c r="YZ174" s="167"/>
      <c r="ZA174" s="199"/>
      <c r="ZB174" s="200"/>
      <c r="ZC174" s="201"/>
      <c r="ZD174" s="202"/>
      <c r="ZE174" s="202"/>
      <c r="ZF174" s="202"/>
      <c r="ZG174" s="202"/>
      <c r="ZH174" s="203"/>
      <c r="ZI174" s="204"/>
      <c r="ZJ174" s="204"/>
      <c r="ZK174" s="204"/>
      <c r="ZL174" s="205"/>
      <c r="ZM174" s="206"/>
      <c r="ZN174" s="207"/>
      <c r="ZO174" s="207"/>
      <c r="ZP174" s="208"/>
      <c r="ZQ174" s="209"/>
      <c r="ZR174" s="207"/>
      <c r="ZS174" s="210"/>
      <c r="ZT174" s="209"/>
      <c r="ZU174" s="204"/>
      <c r="ZV174" s="204"/>
      <c r="ZW174" s="204"/>
      <c r="ZX174" s="199"/>
      <c r="ZY174" s="167"/>
      <c r="ZZ174" s="199"/>
      <c r="AAA174" s="200"/>
      <c r="AAB174" s="201"/>
      <c r="AAC174" s="202"/>
      <c r="AAD174" s="202"/>
      <c r="AAE174" s="202"/>
      <c r="AAF174" s="202"/>
      <c r="AAG174" s="203"/>
      <c r="AAH174" s="204"/>
      <c r="AAI174" s="204"/>
      <c r="AAJ174" s="204"/>
      <c r="AAK174" s="205"/>
      <c r="AAL174" s="206"/>
      <c r="AAM174" s="207"/>
      <c r="AAN174" s="207"/>
      <c r="AAO174" s="208"/>
      <c r="AAP174" s="209"/>
      <c r="AAQ174" s="207"/>
      <c r="AAR174" s="210"/>
      <c r="AAS174" s="209"/>
      <c r="AAT174" s="204"/>
      <c r="AAU174" s="204"/>
      <c r="AAV174" s="204"/>
      <c r="AAW174" s="199"/>
      <c r="AAX174" s="167"/>
      <c r="AAY174" s="199"/>
      <c r="AAZ174" s="200"/>
      <c r="ABA174" s="201"/>
      <c r="ABB174" s="202"/>
      <c r="ABC174" s="202"/>
      <c r="ABD174" s="202"/>
      <c r="ABE174" s="202"/>
      <c r="ABF174" s="203"/>
      <c r="ABG174" s="204"/>
      <c r="ABH174" s="204"/>
      <c r="ABI174" s="204"/>
      <c r="ABJ174" s="205"/>
      <c r="ABK174" s="206"/>
      <c r="ABL174" s="207"/>
      <c r="ABM174" s="207"/>
      <c r="ABN174" s="208"/>
      <c r="ABO174" s="209"/>
      <c r="ABP174" s="207"/>
      <c r="ABQ174" s="210"/>
      <c r="ABR174" s="209"/>
      <c r="ABS174" s="204"/>
      <c r="ABT174" s="204"/>
      <c r="ABU174" s="204"/>
      <c r="ABV174" s="199"/>
      <c r="ABW174" s="167"/>
      <c r="ABX174" s="199"/>
      <c r="ABY174" s="200"/>
      <c r="ABZ174" s="201"/>
      <c r="ACA174" s="202"/>
      <c r="ACB174" s="202"/>
      <c r="ACC174" s="202"/>
      <c r="ACD174" s="202"/>
      <c r="ACE174" s="203"/>
      <c r="ACF174" s="204"/>
      <c r="ACG174" s="204"/>
      <c r="ACH174" s="204"/>
      <c r="ACI174" s="205"/>
      <c r="ACJ174" s="206"/>
      <c r="ACK174" s="207"/>
      <c r="ACL174" s="207"/>
      <c r="ACM174" s="208"/>
      <c r="ACN174" s="209"/>
      <c r="ACO174" s="207"/>
      <c r="ACP174" s="210"/>
      <c r="ACQ174" s="209"/>
      <c r="ACR174" s="204"/>
      <c r="ACS174" s="204"/>
      <c r="ACT174" s="204"/>
      <c r="ACU174" s="199"/>
      <c r="ACV174" s="167"/>
      <c r="ACW174" s="199"/>
      <c r="ACX174" s="200"/>
      <c r="ACY174" s="201"/>
      <c r="ACZ174" s="202"/>
      <c r="ADA174" s="202"/>
      <c r="ADB174" s="202"/>
      <c r="ADC174" s="202"/>
      <c r="ADD174" s="203"/>
      <c r="ADE174" s="204"/>
      <c r="ADF174" s="204"/>
      <c r="ADG174" s="204"/>
      <c r="ADH174" s="205"/>
      <c r="ADI174" s="206"/>
      <c r="ADJ174" s="207"/>
      <c r="ADK174" s="207"/>
      <c r="ADL174" s="208"/>
      <c r="ADM174" s="209"/>
      <c r="ADN174" s="207"/>
      <c r="ADO174" s="210"/>
      <c r="ADP174" s="209"/>
      <c r="ADQ174" s="204"/>
      <c r="ADR174" s="204"/>
      <c r="ADS174" s="204"/>
      <c r="ADT174" s="199"/>
      <c r="ADU174" s="167"/>
      <c r="ADV174" s="199"/>
      <c r="ADW174" s="200"/>
      <c r="ADX174" s="201"/>
      <c r="ADY174" s="202"/>
      <c r="ADZ174" s="202"/>
      <c r="AEA174" s="202"/>
      <c r="AEB174" s="202"/>
      <c r="AEC174" s="203"/>
      <c r="AED174" s="204"/>
      <c r="AEE174" s="204"/>
      <c r="AEF174" s="204"/>
      <c r="AEG174" s="205"/>
      <c r="AEH174" s="206"/>
      <c r="AEI174" s="207"/>
      <c r="AEJ174" s="207"/>
      <c r="AEK174" s="208"/>
      <c r="AEL174" s="209"/>
      <c r="AEM174" s="207"/>
      <c r="AEN174" s="210"/>
      <c r="AEO174" s="209"/>
      <c r="AEP174" s="204"/>
      <c r="AEQ174" s="204"/>
      <c r="AER174" s="204"/>
      <c r="AES174" s="199"/>
      <c r="AET174" s="167"/>
      <c r="AEU174" s="199"/>
      <c r="AEV174" s="200"/>
      <c r="AEW174" s="201"/>
      <c r="AEX174" s="202"/>
      <c r="AEY174" s="202"/>
      <c r="AEZ174" s="202"/>
      <c r="AFA174" s="202"/>
      <c r="AFB174" s="203"/>
      <c r="AFC174" s="204"/>
      <c r="AFD174" s="204"/>
      <c r="AFE174" s="204"/>
      <c r="AFF174" s="205"/>
      <c r="AFG174" s="206"/>
      <c r="AFH174" s="207"/>
      <c r="AFI174" s="207"/>
      <c r="AFJ174" s="208"/>
      <c r="AFK174" s="209"/>
      <c r="AFL174" s="207"/>
      <c r="AFM174" s="210"/>
      <c r="AFN174" s="209"/>
      <c r="AFO174" s="204"/>
      <c r="AFP174" s="204"/>
      <c r="AFQ174" s="204"/>
      <c r="AFR174" s="199"/>
      <c r="AFS174" s="167"/>
      <c r="AFT174" s="199"/>
      <c r="AFU174" s="200"/>
      <c r="AFV174" s="201"/>
      <c r="AFW174" s="202"/>
      <c r="AFX174" s="202"/>
      <c r="AFY174" s="202"/>
      <c r="AFZ174" s="202"/>
      <c r="AGA174" s="203"/>
      <c r="AGB174" s="204"/>
      <c r="AGC174" s="204"/>
      <c r="AGD174" s="204"/>
      <c r="AGE174" s="205"/>
      <c r="AGF174" s="206"/>
      <c r="AGG174" s="207"/>
      <c r="AGH174" s="207"/>
      <c r="AGI174" s="208"/>
      <c r="AGJ174" s="209"/>
      <c r="AGK174" s="207"/>
      <c r="AGL174" s="210"/>
      <c r="AGM174" s="209"/>
      <c r="AGN174" s="204"/>
      <c r="AGO174" s="204"/>
      <c r="AGP174" s="204"/>
      <c r="AGQ174" s="199"/>
      <c r="AGR174" s="167"/>
      <c r="AGS174" s="199"/>
      <c r="AGT174" s="200"/>
      <c r="AGU174" s="201"/>
      <c r="AGV174" s="202"/>
      <c r="AGW174" s="202"/>
      <c r="AGX174" s="202"/>
      <c r="AGY174" s="202"/>
      <c r="AGZ174" s="203"/>
      <c r="AHA174" s="204"/>
      <c r="AHB174" s="204"/>
      <c r="AHC174" s="204"/>
      <c r="AHD174" s="205"/>
      <c r="AHE174" s="206"/>
      <c r="AHF174" s="207"/>
      <c r="AHG174" s="207"/>
      <c r="AHH174" s="208"/>
      <c r="AHI174" s="209"/>
      <c r="AHJ174" s="207"/>
      <c r="AHK174" s="210"/>
      <c r="AHL174" s="209"/>
      <c r="AHM174" s="204"/>
      <c r="AHN174" s="204"/>
      <c r="AHO174" s="204"/>
      <c r="AHP174" s="199"/>
      <c r="AHQ174" s="167"/>
      <c r="AHR174" s="199"/>
      <c r="AHS174" s="200"/>
      <c r="AHT174" s="201"/>
      <c r="AHU174" s="202"/>
      <c r="AHV174" s="202"/>
      <c r="AHW174" s="202"/>
      <c r="AHX174" s="202"/>
      <c r="AHY174" s="203"/>
      <c r="AHZ174" s="204"/>
      <c r="AIA174" s="204"/>
      <c r="AIB174" s="204"/>
      <c r="AIC174" s="205"/>
      <c r="AID174" s="206"/>
      <c r="AIE174" s="207"/>
      <c r="AIF174" s="207"/>
      <c r="AIG174" s="208"/>
      <c r="AIH174" s="209"/>
      <c r="AII174" s="207"/>
      <c r="AIJ174" s="210"/>
      <c r="AIK174" s="209"/>
      <c r="AIL174" s="204"/>
      <c r="AIM174" s="204"/>
      <c r="AIN174" s="204"/>
      <c r="AIO174" s="199"/>
      <c r="AIP174" s="167"/>
      <c r="AIQ174" s="199"/>
      <c r="AIR174" s="200"/>
      <c r="AIS174" s="201"/>
      <c r="AIT174" s="202"/>
      <c r="AIU174" s="202"/>
      <c r="AIV174" s="202"/>
      <c r="AIW174" s="202"/>
      <c r="AIX174" s="203"/>
      <c r="AIY174" s="204"/>
      <c r="AIZ174" s="204"/>
      <c r="AJA174" s="204"/>
      <c r="AJB174" s="205"/>
      <c r="AJC174" s="206"/>
      <c r="AJD174" s="207"/>
      <c r="AJE174" s="207"/>
      <c r="AJF174" s="208"/>
      <c r="AJG174" s="209"/>
      <c r="AJH174" s="207"/>
      <c r="AJI174" s="210"/>
      <c r="AJJ174" s="209"/>
      <c r="AJK174" s="204"/>
      <c r="AJL174" s="204"/>
      <c r="AJM174" s="204"/>
      <c r="AJN174" s="199"/>
      <c r="AJO174" s="167"/>
      <c r="AJP174" s="199"/>
      <c r="AJQ174" s="200"/>
      <c r="AJR174" s="201"/>
      <c r="AJS174" s="202"/>
      <c r="AJT174" s="202"/>
      <c r="AJU174" s="202"/>
      <c r="AJV174" s="202"/>
      <c r="AJW174" s="203"/>
      <c r="AJX174" s="204"/>
      <c r="AJY174" s="204"/>
      <c r="AJZ174" s="204"/>
      <c r="AKA174" s="205"/>
      <c r="AKB174" s="206"/>
      <c r="AKC174" s="207"/>
      <c r="AKD174" s="207"/>
      <c r="AKE174" s="208"/>
      <c r="AKF174" s="209"/>
      <c r="AKG174" s="207"/>
      <c r="AKH174" s="210"/>
      <c r="AKI174" s="209"/>
      <c r="AKJ174" s="204"/>
      <c r="AKK174" s="204"/>
      <c r="AKL174" s="204"/>
      <c r="AKM174" s="199"/>
      <c r="AKN174" s="167"/>
      <c r="AKO174" s="199"/>
      <c r="AKP174" s="200"/>
      <c r="AKQ174" s="201"/>
      <c r="AKR174" s="202"/>
      <c r="AKS174" s="202"/>
      <c r="AKT174" s="202"/>
      <c r="AKU174" s="202"/>
      <c r="AKV174" s="203"/>
      <c r="AKW174" s="204"/>
      <c r="AKX174" s="204"/>
      <c r="AKY174" s="204"/>
      <c r="AKZ174" s="205"/>
      <c r="ALA174" s="206"/>
      <c r="ALB174" s="207"/>
      <c r="ALC174" s="207"/>
      <c r="ALD174" s="208"/>
      <c r="ALE174" s="209"/>
      <c r="ALF174" s="207"/>
      <c r="ALG174" s="210"/>
      <c r="ALH174" s="209"/>
      <c r="ALI174" s="204"/>
      <c r="ALJ174" s="204"/>
      <c r="ALK174" s="204"/>
      <c r="ALL174" s="199"/>
      <c r="ALM174" s="167"/>
      <c r="ALN174" s="199"/>
      <c r="ALO174" s="200"/>
      <c r="ALP174" s="201"/>
      <c r="ALQ174" s="202"/>
      <c r="ALR174" s="202"/>
      <c r="ALS174" s="202"/>
      <c r="ALT174" s="202"/>
      <c r="ALU174" s="203"/>
      <c r="ALV174" s="204"/>
      <c r="ALW174" s="204"/>
      <c r="ALX174" s="204"/>
      <c r="ALY174" s="205"/>
      <c r="ALZ174" s="206"/>
      <c r="AMA174" s="207"/>
      <c r="AMB174" s="207"/>
      <c r="AMC174" s="208"/>
      <c r="AMD174" s="209"/>
      <c r="AME174" s="207"/>
      <c r="AMF174" s="210"/>
      <c r="AMG174" s="209"/>
      <c r="AMH174" s="204"/>
      <c r="AMI174" s="204"/>
      <c r="AMJ174" s="204"/>
      <c r="AMK174" s="199"/>
      <c r="AML174" s="167"/>
      <c r="AMM174" s="199"/>
      <c r="AMN174" s="200"/>
      <c r="AMO174" s="201"/>
      <c r="AMP174" s="202"/>
      <c r="AMQ174" s="202"/>
      <c r="AMR174" s="202"/>
      <c r="AMS174" s="202"/>
      <c r="AMT174" s="203"/>
      <c r="AMU174" s="204"/>
      <c r="AMV174" s="204"/>
      <c r="AMW174" s="204"/>
      <c r="AMX174" s="205"/>
      <c r="AMY174" s="206"/>
      <c r="AMZ174" s="207"/>
      <c r="ANA174" s="207"/>
      <c r="ANB174" s="208"/>
      <c r="ANC174" s="209"/>
      <c r="AND174" s="207"/>
      <c r="ANE174" s="210"/>
      <c r="ANF174" s="209"/>
      <c r="ANG174" s="204"/>
      <c r="ANH174" s="204"/>
      <c r="ANI174" s="204"/>
      <c r="ANJ174" s="199"/>
      <c r="ANK174" s="167"/>
      <c r="ANL174" s="199"/>
      <c r="ANM174" s="200"/>
      <c r="ANN174" s="201"/>
      <c r="ANO174" s="202"/>
      <c r="ANP174" s="202"/>
      <c r="ANQ174" s="202"/>
      <c r="ANR174" s="202"/>
      <c r="ANS174" s="203"/>
      <c r="ANT174" s="204"/>
      <c r="ANU174" s="204"/>
      <c r="ANV174" s="204"/>
      <c r="ANW174" s="205"/>
      <c r="ANX174" s="206"/>
      <c r="ANY174" s="207"/>
      <c r="ANZ174" s="207"/>
      <c r="AOA174" s="208"/>
      <c r="AOB174" s="209"/>
      <c r="AOC174" s="207"/>
      <c r="AOD174" s="210"/>
      <c r="AOE174" s="209"/>
      <c r="AOF174" s="204"/>
      <c r="AOG174" s="204"/>
      <c r="AOH174" s="204"/>
      <c r="AOI174" s="199"/>
      <c r="AOJ174" s="167"/>
      <c r="AOK174" s="199"/>
      <c r="AOL174" s="200"/>
      <c r="AOM174" s="201"/>
      <c r="AON174" s="202"/>
      <c r="AOO174" s="202"/>
      <c r="AOP174" s="202"/>
      <c r="AOQ174" s="202"/>
      <c r="AOR174" s="203"/>
      <c r="AOS174" s="204"/>
      <c r="AOT174" s="204"/>
      <c r="AOU174" s="204"/>
      <c r="AOV174" s="205"/>
      <c r="AOW174" s="206"/>
      <c r="AOX174" s="207"/>
      <c r="AOY174" s="207"/>
      <c r="AOZ174" s="208"/>
      <c r="APA174" s="209"/>
      <c r="APB174" s="207"/>
      <c r="APC174" s="210"/>
      <c r="APD174" s="209"/>
      <c r="APE174" s="204"/>
      <c r="APF174" s="204"/>
      <c r="APG174" s="204"/>
      <c r="APH174" s="199"/>
      <c r="API174" s="167"/>
      <c r="APJ174" s="199"/>
      <c r="APK174" s="200"/>
      <c r="APL174" s="201"/>
      <c r="APM174" s="202"/>
      <c r="APN174" s="202"/>
      <c r="APO174" s="202"/>
      <c r="APP174" s="202"/>
      <c r="APQ174" s="203"/>
      <c r="APR174" s="204"/>
      <c r="APS174" s="204"/>
      <c r="APT174" s="204"/>
      <c r="APU174" s="205"/>
      <c r="APV174" s="206"/>
      <c r="APW174" s="207"/>
      <c r="APX174" s="207"/>
      <c r="APY174" s="208"/>
      <c r="APZ174" s="209"/>
      <c r="AQA174" s="207"/>
      <c r="AQB174" s="210"/>
      <c r="AQC174" s="209"/>
      <c r="AQD174" s="204"/>
      <c r="AQE174" s="204"/>
      <c r="AQF174" s="204"/>
      <c r="AQG174" s="199"/>
      <c r="AQH174" s="167"/>
      <c r="AQI174" s="199"/>
      <c r="AQJ174" s="200"/>
      <c r="AQK174" s="201"/>
      <c r="AQL174" s="202"/>
      <c r="AQM174" s="202"/>
      <c r="AQN174" s="202"/>
      <c r="AQO174" s="202"/>
      <c r="AQP174" s="203"/>
      <c r="AQQ174" s="204"/>
      <c r="AQR174" s="204"/>
      <c r="AQS174" s="204"/>
      <c r="AQT174" s="205"/>
      <c r="AQU174" s="206"/>
      <c r="AQV174" s="207"/>
      <c r="AQW174" s="207"/>
      <c r="AQX174" s="208"/>
      <c r="AQY174" s="209"/>
      <c r="AQZ174" s="207"/>
      <c r="ARA174" s="210"/>
      <c r="ARB174" s="209"/>
      <c r="ARC174" s="204"/>
      <c r="ARD174" s="204"/>
      <c r="ARE174" s="204"/>
      <c r="ARF174" s="199"/>
      <c r="ARG174" s="167"/>
      <c r="ARH174" s="199"/>
      <c r="ARI174" s="200"/>
      <c r="ARJ174" s="201"/>
      <c r="ARK174" s="202"/>
      <c r="ARL174" s="202"/>
      <c r="ARM174" s="202"/>
      <c r="ARN174" s="202"/>
      <c r="ARO174" s="203"/>
      <c r="ARP174" s="204"/>
      <c r="ARQ174" s="204"/>
      <c r="ARR174" s="204"/>
      <c r="ARS174" s="205"/>
      <c r="ART174" s="206"/>
      <c r="ARU174" s="207"/>
      <c r="ARV174" s="207"/>
      <c r="ARW174" s="208"/>
      <c r="ARX174" s="209"/>
      <c r="ARY174" s="207"/>
      <c r="ARZ174" s="210"/>
      <c r="ASA174" s="209"/>
      <c r="ASB174" s="204"/>
      <c r="ASC174" s="204"/>
      <c r="ASD174" s="204"/>
      <c r="ASE174" s="199"/>
      <c r="ASF174" s="167"/>
      <c r="ASG174" s="199"/>
      <c r="ASH174" s="200"/>
      <c r="ASI174" s="201"/>
      <c r="ASJ174" s="202"/>
      <c r="ASK174" s="202"/>
      <c r="ASL174" s="202"/>
      <c r="ASM174" s="202"/>
      <c r="ASN174" s="203"/>
      <c r="ASO174" s="204"/>
      <c r="ASP174" s="204"/>
      <c r="ASQ174" s="204"/>
      <c r="ASR174" s="205"/>
      <c r="ASS174" s="206"/>
      <c r="AST174" s="207"/>
      <c r="ASU174" s="207"/>
      <c r="ASV174" s="208"/>
      <c r="ASW174" s="209"/>
      <c r="ASX174" s="207"/>
      <c r="ASY174" s="210"/>
      <c r="ASZ174" s="209"/>
      <c r="ATA174" s="204"/>
      <c r="ATB174" s="204"/>
      <c r="ATC174" s="204"/>
      <c r="ATD174" s="199"/>
      <c r="ATE174" s="167"/>
      <c r="ATF174" s="199"/>
      <c r="ATG174" s="200"/>
      <c r="ATH174" s="201"/>
      <c r="ATI174" s="202"/>
      <c r="ATJ174" s="202"/>
      <c r="ATK174" s="202"/>
      <c r="ATL174" s="202"/>
      <c r="ATM174" s="203"/>
      <c r="ATN174" s="204"/>
      <c r="ATO174" s="204"/>
      <c r="ATP174" s="204"/>
      <c r="ATQ174" s="205"/>
      <c r="ATR174" s="206"/>
      <c r="ATS174" s="207"/>
      <c r="ATT174" s="207"/>
      <c r="ATU174" s="208"/>
      <c r="ATV174" s="209"/>
      <c r="ATW174" s="207"/>
      <c r="ATX174" s="210"/>
      <c r="ATY174" s="209"/>
      <c r="ATZ174" s="204"/>
      <c r="AUA174" s="204"/>
      <c r="AUB174" s="204"/>
      <c r="AUC174" s="199"/>
      <c r="AUD174" s="167"/>
      <c r="AUE174" s="199"/>
      <c r="AUF174" s="200"/>
      <c r="AUG174" s="201"/>
      <c r="AUH174" s="202"/>
      <c r="AUI174" s="202"/>
      <c r="AUJ174" s="202"/>
      <c r="AUK174" s="202"/>
      <c r="AUL174" s="203"/>
      <c r="AUM174" s="204"/>
      <c r="AUN174" s="204"/>
      <c r="AUO174" s="204"/>
      <c r="AUP174" s="205"/>
      <c r="AUQ174" s="206"/>
      <c r="AUR174" s="207"/>
      <c r="AUS174" s="207"/>
      <c r="AUT174" s="208"/>
      <c r="AUU174" s="209"/>
      <c r="AUV174" s="207"/>
      <c r="AUW174" s="210"/>
      <c r="AUX174" s="209"/>
      <c r="AUY174" s="204"/>
      <c r="AUZ174" s="204"/>
      <c r="AVA174" s="204"/>
      <c r="AVB174" s="199"/>
      <c r="AVC174" s="167"/>
      <c r="AVD174" s="199"/>
      <c r="AVE174" s="200"/>
      <c r="AVF174" s="201"/>
      <c r="AVG174" s="202"/>
      <c r="AVH174" s="202"/>
      <c r="AVI174" s="202"/>
      <c r="AVJ174" s="202"/>
      <c r="AVK174" s="203"/>
      <c r="AVL174" s="204"/>
      <c r="AVM174" s="204"/>
      <c r="AVN174" s="204"/>
      <c r="AVO174" s="205"/>
      <c r="AVP174" s="206"/>
      <c r="AVQ174" s="207"/>
      <c r="AVR174" s="207"/>
      <c r="AVS174" s="208"/>
      <c r="AVT174" s="209"/>
      <c r="AVU174" s="207"/>
      <c r="AVV174" s="210"/>
      <c r="AVW174" s="209"/>
      <c r="AVX174" s="204"/>
      <c r="AVY174" s="204"/>
      <c r="AVZ174" s="204"/>
      <c r="AWA174" s="199"/>
      <c r="AWB174" s="167"/>
      <c r="AWC174" s="199"/>
      <c r="AWD174" s="200"/>
      <c r="AWE174" s="201"/>
      <c r="AWF174" s="202"/>
      <c r="AWG174" s="202"/>
      <c r="AWH174" s="202"/>
      <c r="AWI174" s="202"/>
      <c r="AWJ174" s="203"/>
      <c r="AWK174" s="204"/>
      <c r="AWL174" s="204"/>
      <c r="AWM174" s="204"/>
      <c r="AWN174" s="205"/>
      <c r="AWO174" s="206"/>
      <c r="AWP174" s="207"/>
      <c r="AWQ174" s="207"/>
      <c r="AWR174" s="208"/>
      <c r="AWS174" s="209"/>
      <c r="AWT174" s="207"/>
      <c r="AWU174" s="210"/>
      <c r="AWV174" s="209"/>
      <c r="AWW174" s="204"/>
      <c r="AWX174" s="204"/>
      <c r="AWY174" s="204"/>
      <c r="AWZ174" s="199"/>
      <c r="AXA174" s="167"/>
      <c r="AXB174" s="199"/>
      <c r="AXC174" s="200"/>
      <c r="AXD174" s="201"/>
      <c r="AXE174" s="202"/>
      <c r="AXF174" s="202"/>
      <c r="AXG174" s="202"/>
      <c r="AXH174" s="202"/>
      <c r="AXI174" s="203"/>
      <c r="AXJ174" s="204"/>
      <c r="AXK174" s="204"/>
      <c r="AXL174" s="204"/>
      <c r="AXM174" s="205"/>
      <c r="AXN174" s="206"/>
      <c r="AXO174" s="207"/>
      <c r="AXP174" s="207"/>
      <c r="AXQ174" s="208"/>
      <c r="AXR174" s="209"/>
      <c r="AXS174" s="207"/>
      <c r="AXT174" s="210"/>
      <c r="AXU174" s="209"/>
      <c r="AXV174" s="204"/>
      <c r="AXW174" s="204"/>
      <c r="AXX174" s="204"/>
      <c r="AXY174" s="199"/>
      <c r="AXZ174" s="167"/>
      <c r="AYA174" s="199"/>
      <c r="AYB174" s="200"/>
      <c r="AYC174" s="201"/>
      <c r="AYD174" s="202"/>
      <c r="AYE174" s="202"/>
      <c r="AYF174" s="202"/>
      <c r="AYG174" s="202"/>
      <c r="AYH174" s="203"/>
      <c r="AYI174" s="204"/>
      <c r="AYJ174" s="204"/>
      <c r="AYK174" s="204"/>
      <c r="AYL174" s="205"/>
      <c r="AYM174" s="206"/>
      <c r="AYN174" s="207"/>
      <c r="AYO174" s="207"/>
      <c r="AYP174" s="208"/>
      <c r="AYQ174" s="209"/>
      <c r="AYR174" s="207"/>
      <c r="AYS174" s="210"/>
      <c r="AYT174" s="209"/>
      <c r="AYU174" s="204"/>
      <c r="AYV174" s="204"/>
      <c r="AYW174" s="204"/>
      <c r="AYX174" s="199"/>
      <c r="AYY174" s="167"/>
      <c r="AYZ174" s="199"/>
      <c r="AZA174" s="200"/>
      <c r="AZB174" s="201"/>
      <c r="AZC174" s="202"/>
      <c r="AZD174" s="202"/>
      <c r="AZE174" s="202"/>
      <c r="AZF174" s="202"/>
      <c r="AZG174" s="203"/>
      <c r="AZH174" s="204"/>
      <c r="AZI174" s="204"/>
      <c r="AZJ174" s="204"/>
      <c r="AZK174" s="205"/>
      <c r="AZL174" s="206"/>
      <c r="AZM174" s="207"/>
      <c r="AZN174" s="207"/>
      <c r="AZO174" s="208"/>
      <c r="AZP174" s="209"/>
      <c r="AZQ174" s="207"/>
      <c r="AZR174" s="210"/>
      <c r="AZS174" s="209"/>
      <c r="AZT174" s="204"/>
      <c r="AZU174" s="204"/>
      <c r="AZV174" s="204"/>
      <c r="AZW174" s="199"/>
      <c r="AZX174" s="167"/>
      <c r="AZY174" s="199"/>
      <c r="AZZ174" s="200"/>
      <c r="BAA174" s="201"/>
      <c r="BAB174" s="202"/>
      <c r="BAC174" s="202"/>
      <c r="BAD174" s="202"/>
      <c r="BAE174" s="202"/>
      <c r="BAF174" s="203"/>
      <c r="BAG174" s="204"/>
      <c r="BAH174" s="204"/>
      <c r="BAI174" s="204"/>
      <c r="BAJ174" s="205"/>
      <c r="BAK174" s="206"/>
      <c r="BAL174" s="207"/>
      <c r="BAM174" s="207"/>
      <c r="BAN174" s="208"/>
      <c r="BAO174" s="209"/>
      <c r="BAP174" s="207"/>
      <c r="BAQ174" s="210"/>
      <c r="BAR174" s="209"/>
      <c r="BAS174" s="204"/>
      <c r="BAT174" s="204"/>
      <c r="BAU174" s="204"/>
      <c r="BAV174" s="199"/>
      <c r="BAW174" s="167"/>
      <c r="BAX174" s="199"/>
      <c r="BAY174" s="200"/>
      <c r="BAZ174" s="201"/>
      <c r="BBA174" s="202"/>
      <c r="BBB174" s="202"/>
      <c r="BBC174" s="202"/>
      <c r="BBD174" s="202"/>
      <c r="BBE174" s="203"/>
      <c r="BBF174" s="204"/>
      <c r="BBG174" s="204"/>
      <c r="BBH174" s="204"/>
      <c r="BBI174" s="205"/>
      <c r="BBJ174" s="206"/>
      <c r="BBK174" s="207"/>
      <c r="BBL174" s="207"/>
      <c r="BBM174" s="208"/>
      <c r="BBN174" s="209"/>
      <c r="BBO174" s="207"/>
      <c r="BBP174" s="210"/>
      <c r="BBQ174" s="209"/>
      <c r="BBR174" s="204"/>
      <c r="BBS174" s="204"/>
      <c r="BBT174" s="204"/>
      <c r="BBU174" s="199"/>
      <c r="BBV174" s="167"/>
      <c r="BBW174" s="199"/>
      <c r="BBX174" s="200"/>
      <c r="BBY174" s="201"/>
      <c r="BBZ174" s="202"/>
      <c r="BCA174" s="202"/>
      <c r="BCB174" s="202"/>
      <c r="BCC174" s="202"/>
      <c r="BCD174" s="203"/>
      <c r="BCE174" s="204"/>
      <c r="BCF174" s="204"/>
      <c r="BCG174" s="204"/>
      <c r="BCH174" s="205"/>
      <c r="BCI174" s="206"/>
      <c r="BCJ174" s="207"/>
      <c r="BCK174" s="207"/>
      <c r="BCL174" s="208"/>
      <c r="BCM174" s="209"/>
      <c r="BCN174" s="207"/>
      <c r="BCO174" s="210"/>
      <c r="BCP174" s="209"/>
      <c r="BCQ174" s="204"/>
      <c r="BCR174" s="204"/>
      <c r="BCS174" s="204"/>
      <c r="BCT174" s="199"/>
      <c r="BCU174" s="167"/>
      <c r="BCV174" s="199"/>
      <c r="BCW174" s="200"/>
      <c r="BCX174" s="201"/>
      <c r="BCY174" s="202"/>
      <c r="BCZ174" s="202"/>
      <c r="BDA174" s="202"/>
      <c r="BDB174" s="202"/>
      <c r="BDC174" s="203"/>
      <c r="BDD174" s="204"/>
      <c r="BDE174" s="204"/>
      <c r="BDF174" s="204"/>
      <c r="BDG174" s="205"/>
      <c r="BDH174" s="206"/>
      <c r="BDI174" s="207"/>
      <c r="BDJ174" s="207"/>
      <c r="BDK174" s="208"/>
      <c r="BDL174" s="209"/>
      <c r="BDM174" s="207"/>
      <c r="BDN174" s="210"/>
      <c r="BDO174" s="209"/>
      <c r="BDP174" s="204"/>
      <c r="BDQ174" s="204"/>
      <c r="BDR174" s="204"/>
      <c r="BDS174" s="199"/>
      <c r="BDT174" s="167"/>
      <c r="BDU174" s="199"/>
      <c r="BDV174" s="200"/>
      <c r="BDW174" s="201"/>
      <c r="BDX174" s="202"/>
      <c r="BDY174" s="202"/>
      <c r="BDZ174" s="202"/>
      <c r="BEA174" s="202"/>
      <c r="BEB174" s="203"/>
      <c r="BEC174" s="204"/>
      <c r="BED174" s="204"/>
      <c r="BEE174" s="204"/>
      <c r="BEF174" s="205"/>
      <c r="BEG174" s="206"/>
      <c r="BEH174" s="207"/>
      <c r="BEI174" s="207"/>
      <c r="BEJ174" s="208"/>
      <c r="BEK174" s="209"/>
      <c r="BEL174" s="207"/>
      <c r="BEM174" s="210"/>
      <c r="BEN174" s="209"/>
      <c r="BEO174" s="204"/>
      <c r="BEP174" s="204"/>
      <c r="BEQ174" s="204"/>
      <c r="BER174" s="199"/>
      <c r="BES174" s="167"/>
      <c r="BET174" s="199"/>
      <c r="BEU174" s="200"/>
      <c r="BEV174" s="201"/>
      <c r="BEW174" s="202"/>
      <c r="BEX174" s="202"/>
      <c r="BEY174" s="202"/>
      <c r="BEZ174" s="202"/>
      <c r="BFA174" s="203"/>
      <c r="BFB174" s="204"/>
      <c r="BFC174" s="204"/>
      <c r="BFD174" s="204"/>
      <c r="BFE174" s="205"/>
      <c r="BFF174" s="206"/>
      <c r="BFG174" s="207"/>
      <c r="BFH174" s="207"/>
      <c r="BFI174" s="208"/>
      <c r="BFJ174" s="209"/>
      <c r="BFK174" s="207"/>
      <c r="BFL174" s="210"/>
      <c r="BFM174" s="209"/>
      <c r="BFN174" s="204"/>
      <c r="BFO174" s="204"/>
      <c r="BFP174" s="204"/>
      <c r="BFQ174" s="199"/>
      <c r="BFR174" s="167"/>
      <c r="BFS174" s="199"/>
      <c r="BFT174" s="200"/>
      <c r="BFU174" s="201"/>
      <c r="BFV174" s="202"/>
      <c r="BFW174" s="202"/>
      <c r="BFX174" s="202"/>
      <c r="BFY174" s="202"/>
      <c r="BFZ174" s="203"/>
      <c r="BGA174" s="204"/>
      <c r="BGB174" s="204"/>
      <c r="BGC174" s="204"/>
      <c r="BGD174" s="205"/>
      <c r="BGE174" s="206"/>
      <c r="BGF174" s="207"/>
      <c r="BGG174" s="207"/>
      <c r="BGH174" s="208"/>
      <c r="BGI174" s="209"/>
      <c r="BGJ174" s="207"/>
      <c r="BGK174" s="210"/>
      <c r="BGL174" s="209"/>
      <c r="BGM174" s="204"/>
      <c r="BGN174" s="204"/>
      <c r="BGO174" s="204"/>
      <c r="BGP174" s="199"/>
      <c r="BGQ174" s="167"/>
      <c r="BGR174" s="199"/>
      <c r="BGS174" s="200"/>
      <c r="BGT174" s="201"/>
      <c r="BGU174" s="202"/>
      <c r="BGV174" s="202"/>
      <c r="BGW174" s="202"/>
      <c r="BGX174" s="202"/>
      <c r="BGY174" s="203"/>
      <c r="BGZ174" s="204"/>
      <c r="BHA174" s="204"/>
      <c r="BHB174" s="204"/>
      <c r="BHC174" s="205"/>
      <c r="BHD174" s="206"/>
      <c r="BHE174" s="207"/>
      <c r="BHF174" s="207"/>
      <c r="BHG174" s="208"/>
      <c r="BHH174" s="209"/>
      <c r="BHI174" s="207"/>
      <c r="BHJ174" s="210"/>
      <c r="BHK174" s="209"/>
      <c r="BHL174" s="204"/>
      <c r="BHM174" s="204"/>
      <c r="BHN174" s="204"/>
      <c r="BHO174" s="199"/>
      <c r="BHP174" s="167"/>
      <c r="BHQ174" s="199"/>
      <c r="BHR174" s="200"/>
      <c r="BHS174" s="201"/>
      <c r="BHT174" s="202"/>
      <c r="BHU174" s="202"/>
      <c r="BHV174" s="202"/>
      <c r="BHW174" s="202"/>
      <c r="BHX174" s="203"/>
      <c r="BHY174" s="204"/>
      <c r="BHZ174" s="204"/>
      <c r="BIA174" s="204"/>
      <c r="BIB174" s="205"/>
      <c r="BIC174" s="206"/>
      <c r="BID174" s="207"/>
      <c r="BIE174" s="207"/>
      <c r="BIF174" s="208"/>
      <c r="BIG174" s="209"/>
      <c r="BIH174" s="207"/>
      <c r="BII174" s="210"/>
      <c r="BIJ174" s="209"/>
      <c r="BIK174" s="204"/>
      <c r="BIL174" s="204"/>
      <c r="BIM174" s="204"/>
      <c r="BIN174" s="199"/>
      <c r="BIO174" s="167"/>
      <c r="BIP174" s="199"/>
      <c r="BIQ174" s="200"/>
      <c r="BIR174" s="201"/>
      <c r="BIS174" s="202"/>
      <c r="BIT174" s="202"/>
      <c r="BIU174" s="202"/>
      <c r="BIV174" s="202"/>
      <c r="BIW174" s="203"/>
      <c r="BIX174" s="204"/>
      <c r="BIY174" s="204"/>
      <c r="BIZ174" s="204"/>
      <c r="BJA174" s="205"/>
      <c r="BJB174" s="206"/>
      <c r="BJC174" s="207"/>
      <c r="BJD174" s="207"/>
      <c r="BJE174" s="208"/>
      <c r="BJF174" s="209"/>
      <c r="BJG174" s="207"/>
      <c r="BJH174" s="210"/>
      <c r="BJI174" s="209"/>
      <c r="BJJ174" s="204"/>
      <c r="BJK174" s="204"/>
      <c r="BJL174" s="204"/>
      <c r="BJM174" s="199"/>
      <c r="BJN174" s="167"/>
      <c r="BJO174" s="199"/>
      <c r="BJP174" s="200"/>
      <c r="BJQ174" s="201"/>
      <c r="BJR174" s="202"/>
      <c r="BJS174" s="202"/>
      <c r="BJT174" s="202"/>
      <c r="BJU174" s="202"/>
      <c r="BJV174" s="203"/>
      <c r="BJW174" s="204"/>
      <c r="BJX174" s="204"/>
      <c r="BJY174" s="204"/>
      <c r="BJZ174" s="205"/>
      <c r="BKA174" s="206"/>
      <c r="BKB174" s="207"/>
      <c r="BKC174" s="207"/>
      <c r="BKD174" s="208"/>
      <c r="BKE174" s="209"/>
      <c r="BKF174" s="207"/>
      <c r="BKG174" s="210"/>
      <c r="BKH174" s="209"/>
      <c r="BKI174" s="204"/>
      <c r="BKJ174" s="204"/>
      <c r="BKK174" s="204"/>
      <c r="BKL174" s="199"/>
      <c r="BKM174" s="167"/>
      <c r="BKN174" s="199"/>
      <c r="BKO174" s="200"/>
      <c r="BKP174" s="201"/>
      <c r="BKQ174" s="202"/>
      <c r="BKR174" s="202"/>
      <c r="BKS174" s="202"/>
      <c r="BKT174" s="202"/>
      <c r="BKU174" s="203"/>
      <c r="BKV174" s="204"/>
      <c r="BKW174" s="204"/>
      <c r="BKX174" s="204"/>
      <c r="BKY174" s="205"/>
      <c r="BKZ174" s="206"/>
      <c r="BLA174" s="207"/>
      <c r="BLB174" s="207"/>
      <c r="BLC174" s="208"/>
      <c r="BLD174" s="209"/>
      <c r="BLE174" s="207"/>
      <c r="BLF174" s="210"/>
      <c r="BLG174" s="209"/>
      <c r="BLH174" s="204"/>
      <c r="BLI174" s="204"/>
      <c r="BLJ174" s="204"/>
      <c r="BLK174" s="199"/>
      <c r="BLL174" s="167"/>
      <c r="BLM174" s="199"/>
      <c r="BLN174" s="200"/>
      <c r="BLO174" s="201"/>
      <c r="BLP174" s="202"/>
      <c r="BLQ174" s="202"/>
      <c r="BLR174" s="202"/>
      <c r="BLS174" s="202"/>
      <c r="BLT174" s="203"/>
      <c r="BLU174" s="204"/>
      <c r="BLV174" s="204"/>
      <c r="BLW174" s="204"/>
      <c r="BLX174" s="205"/>
      <c r="BLY174" s="206"/>
      <c r="BLZ174" s="207"/>
      <c r="BMA174" s="207"/>
      <c r="BMB174" s="208"/>
      <c r="BMC174" s="209"/>
      <c r="BMD174" s="207"/>
      <c r="BME174" s="210"/>
      <c r="BMF174" s="209"/>
      <c r="BMG174" s="204"/>
      <c r="BMH174" s="204"/>
      <c r="BMI174" s="204"/>
      <c r="BMJ174" s="199"/>
      <c r="BMK174" s="167"/>
      <c r="BML174" s="199"/>
      <c r="BMM174" s="200"/>
      <c r="BMN174" s="201"/>
      <c r="BMO174" s="202"/>
      <c r="BMP174" s="202"/>
      <c r="BMQ174" s="202"/>
      <c r="BMR174" s="202"/>
      <c r="BMS174" s="203"/>
      <c r="BMT174" s="204"/>
      <c r="BMU174" s="204"/>
      <c r="BMV174" s="204"/>
      <c r="BMW174" s="205"/>
      <c r="BMX174" s="206"/>
      <c r="BMY174" s="207"/>
      <c r="BMZ174" s="207"/>
      <c r="BNA174" s="208"/>
      <c r="BNB174" s="209"/>
      <c r="BNC174" s="207"/>
      <c r="BND174" s="210"/>
      <c r="BNE174" s="209"/>
      <c r="BNF174" s="204"/>
      <c r="BNG174" s="204"/>
      <c r="BNH174" s="204"/>
      <c r="BNI174" s="199"/>
      <c r="BNJ174" s="167"/>
      <c r="BNK174" s="199"/>
      <c r="BNL174" s="200"/>
      <c r="BNM174" s="201"/>
      <c r="BNN174" s="202"/>
      <c r="BNO174" s="202"/>
      <c r="BNP174" s="202"/>
      <c r="BNQ174" s="202"/>
      <c r="BNR174" s="203"/>
      <c r="BNS174" s="204"/>
      <c r="BNT174" s="204"/>
      <c r="BNU174" s="204"/>
      <c r="BNV174" s="205"/>
      <c r="BNW174" s="206"/>
      <c r="BNX174" s="207"/>
      <c r="BNY174" s="207"/>
      <c r="BNZ174" s="208"/>
      <c r="BOA174" s="209"/>
      <c r="BOB174" s="207"/>
      <c r="BOC174" s="210"/>
      <c r="BOD174" s="209"/>
      <c r="BOE174" s="204"/>
      <c r="BOF174" s="204"/>
      <c r="BOG174" s="204"/>
      <c r="BOH174" s="199"/>
      <c r="BOI174" s="167"/>
      <c r="BOJ174" s="199"/>
      <c r="BOK174" s="200"/>
      <c r="BOL174" s="201"/>
      <c r="BOM174" s="202"/>
      <c r="BON174" s="202"/>
      <c r="BOO174" s="202"/>
      <c r="BOP174" s="202"/>
      <c r="BOQ174" s="203"/>
      <c r="BOR174" s="204"/>
      <c r="BOS174" s="204"/>
      <c r="BOT174" s="204"/>
      <c r="BOU174" s="205"/>
      <c r="BOV174" s="206"/>
      <c r="BOW174" s="207"/>
      <c r="BOX174" s="207"/>
      <c r="BOY174" s="208"/>
      <c r="BOZ174" s="209"/>
      <c r="BPA174" s="207"/>
      <c r="BPB174" s="210"/>
      <c r="BPC174" s="209"/>
      <c r="BPD174" s="204"/>
      <c r="BPE174" s="204"/>
      <c r="BPF174" s="204"/>
      <c r="BPG174" s="199"/>
      <c r="BPH174" s="167"/>
      <c r="BPI174" s="199"/>
      <c r="BPJ174" s="200"/>
      <c r="BPK174" s="201"/>
      <c r="BPL174" s="202"/>
      <c r="BPM174" s="202"/>
      <c r="BPN174" s="202"/>
      <c r="BPO174" s="202"/>
      <c r="BPP174" s="203"/>
      <c r="BPQ174" s="204"/>
      <c r="BPR174" s="204"/>
      <c r="BPS174" s="204"/>
      <c r="BPT174" s="205"/>
      <c r="BPU174" s="206"/>
      <c r="BPV174" s="207"/>
      <c r="BPW174" s="207"/>
      <c r="BPX174" s="208"/>
      <c r="BPY174" s="209"/>
      <c r="BPZ174" s="207"/>
      <c r="BQA174" s="210"/>
      <c r="BQB174" s="209"/>
      <c r="BQC174" s="204"/>
      <c r="BQD174" s="204"/>
      <c r="BQE174" s="204"/>
      <c r="BQF174" s="199"/>
      <c r="BQG174" s="167"/>
      <c r="BQH174" s="199"/>
      <c r="BQI174" s="200"/>
      <c r="BQJ174" s="201"/>
      <c r="BQK174" s="202"/>
      <c r="BQL174" s="202"/>
      <c r="BQM174" s="202"/>
      <c r="BQN174" s="202"/>
      <c r="BQO174" s="203"/>
      <c r="BQP174" s="204"/>
      <c r="BQQ174" s="204"/>
      <c r="BQR174" s="204"/>
      <c r="BQS174" s="205"/>
      <c r="BQT174" s="206"/>
      <c r="BQU174" s="207"/>
      <c r="BQV174" s="207"/>
      <c r="BQW174" s="208"/>
      <c r="BQX174" s="209"/>
      <c r="BQY174" s="207"/>
      <c r="BQZ174" s="210"/>
      <c r="BRA174" s="209"/>
      <c r="BRB174" s="204"/>
      <c r="BRC174" s="204"/>
      <c r="BRD174" s="204"/>
      <c r="BRE174" s="199"/>
      <c r="BRF174" s="167"/>
      <c r="BRG174" s="199"/>
      <c r="BRH174" s="200"/>
      <c r="BRI174" s="201"/>
      <c r="BRJ174" s="202"/>
      <c r="BRK174" s="202"/>
      <c r="BRL174" s="202"/>
      <c r="BRM174" s="202"/>
      <c r="BRN174" s="203"/>
      <c r="BRO174" s="204"/>
      <c r="BRP174" s="204"/>
      <c r="BRQ174" s="204"/>
      <c r="BRR174" s="205"/>
      <c r="BRS174" s="206"/>
      <c r="BRT174" s="207"/>
      <c r="BRU174" s="207"/>
      <c r="BRV174" s="208"/>
      <c r="BRW174" s="209"/>
      <c r="BRX174" s="207"/>
      <c r="BRY174" s="210"/>
      <c r="BRZ174" s="209"/>
      <c r="BSA174" s="204"/>
      <c r="BSB174" s="204"/>
      <c r="BSC174" s="204"/>
      <c r="BSD174" s="199"/>
      <c r="BSE174" s="167"/>
      <c r="BSF174" s="199"/>
      <c r="BSG174" s="200"/>
      <c r="BSH174" s="201"/>
      <c r="BSI174" s="202"/>
      <c r="BSJ174" s="202"/>
      <c r="BSK174" s="202"/>
      <c r="BSL174" s="202"/>
      <c r="BSM174" s="203"/>
      <c r="BSN174" s="204"/>
      <c r="BSO174" s="204"/>
      <c r="BSP174" s="204"/>
      <c r="BSQ174" s="205"/>
      <c r="BSR174" s="206"/>
      <c r="BSS174" s="207"/>
      <c r="BST174" s="207"/>
      <c r="BSU174" s="208"/>
      <c r="BSV174" s="209"/>
      <c r="BSW174" s="207"/>
      <c r="BSX174" s="210"/>
      <c r="BSY174" s="209"/>
      <c r="BSZ174" s="204"/>
      <c r="BTA174" s="204"/>
      <c r="BTB174" s="204"/>
      <c r="BTC174" s="199"/>
      <c r="BTD174" s="167"/>
      <c r="BTE174" s="199"/>
      <c r="BTF174" s="200"/>
      <c r="BTG174" s="201"/>
      <c r="BTH174" s="202"/>
      <c r="BTI174" s="202"/>
      <c r="BTJ174" s="202"/>
      <c r="BTK174" s="202"/>
      <c r="BTL174" s="203"/>
      <c r="BTM174" s="204"/>
      <c r="BTN174" s="204"/>
      <c r="BTO174" s="204"/>
      <c r="BTP174" s="205"/>
      <c r="BTQ174" s="206"/>
      <c r="BTR174" s="207"/>
      <c r="BTS174" s="207"/>
      <c r="BTT174" s="208"/>
      <c r="BTU174" s="209"/>
      <c r="BTV174" s="207"/>
      <c r="BTW174" s="210"/>
      <c r="BTX174" s="209"/>
      <c r="BTY174" s="204"/>
      <c r="BTZ174" s="204"/>
      <c r="BUA174" s="204"/>
      <c r="BUB174" s="199"/>
      <c r="BUC174" s="167"/>
      <c r="BUD174" s="199"/>
      <c r="BUE174" s="200"/>
      <c r="BUF174" s="201"/>
      <c r="BUG174" s="202"/>
      <c r="BUH174" s="202"/>
      <c r="BUI174" s="202"/>
      <c r="BUJ174" s="202"/>
      <c r="BUK174" s="203"/>
      <c r="BUL174" s="204"/>
      <c r="BUM174" s="204"/>
      <c r="BUN174" s="204"/>
      <c r="BUO174" s="205"/>
      <c r="BUP174" s="206"/>
      <c r="BUQ174" s="207"/>
      <c r="BUR174" s="207"/>
      <c r="BUS174" s="208"/>
      <c r="BUT174" s="209"/>
      <c r="BUU174" s="207"/>
      <c r="BUV174" s="210"/>
      <c r="BUW174" s="209"/>
      <c r="BUX174" s="204"/>
      <c r="BUY174" s="204"/>
      <c r="BUZ174" s="204"/>
      <c r="BVA174" s="199"/>
      <c r="BVB174" s="167"/>
      <c r="BVC174" s="199"/>
      <c r="BVD174" s="200"/>
      <c r="BVE174" s="201"/>
      <c r="BVF174" s="202"/>
      <c r="BVG174" s="202"/>
      <c r="BVH174" s="202"/>
      <c r="BVI174" s="202"/>
      <c r="BVJ174" s="203"/>
      <c r="BVK174" s="204"/>
      <c r="BVL174" s="204"/>
      <c r="BVM174" s="204"/>
      <c r="BVN174" s="205"/>
      <c r="BVO174" s="206"/>
      <c r="BVP174" s="207"/>
      <c r="BVQ174" s="207"/>
      <c r="BVR174" s="208"/>
      <c r="BVS174" s="209"/>
      <c r="BVT174" s="207"/>
      <c r="BVU174" s="210"/>
      <c r="BVV174" s="209"/>
      <c r="BVW174" s="204"/>
      <c r="BVX174" s="204"/>
      <c r="BVY174" s="204"/>
      <c r="BVZ174" s="199"/>
      <c r="BWA174" s="167"/>
      <c r="BWB174" s="199"/>
      <c r="BWC174" s="200"/>
      <c r="BWD174" s="201"/>
      <c r="BWE174" s="202"/>
      <c r="BWF174" s="202"/>
      <c r="BWG174" s="202"/>
      <c r="BWH174" s="202"/>
      <c r="BWI174" s="203"/>
      <c r="BWJ174" s="204"/>
      <c r="BWK174" s="204"/>
      <c r="BWL174" s="204"/>
      <c r="BWM174" s="205"/>
      <c r="BWN174" s="206"/>
      <c r="BWO174" s="207"/>
      <c r="BWP174" s="207"/>
      <c r="BWQ174" s="208"/>
      <c r="BWR174" s="209"/>
      <c r="BWS174" s="207"/>
      <c r="BWT174" s="210"/>
      <c r="BWU174" s="209"/>
      <c r="BWV174" s="204"/>
      <c r="BWW174" s="204"/>
      <c r="BWX174" s="204"/>
      <c r="BWY174" s="199"/>
      <c r="BWZ174" s="167"/>
      <c r="BXA174" s="199"/>
      <c r="BXB174" s="200"/>
      <c r="BXC174" s="201"/>
      <c r="BXD174" s="202"/>
      <c r="BXE174" s="202"/>
      <c r="BXF174" s="202"/>
      <c r="BXG174" s="202"/>
      <c r="BXH174" s="203"/>
      <c r="BXI174" s="204"/>
      <c r="BXJ174" s="204"/>
      <c r="BXK174" s="204"/>
      <c r="BXL174" s="205"/>
      <c r="BXM174" s="206"/>
      <c r="BXN174" s="207"/>
      <c r="BXO174" s="207"/>
      <c r="BXP174" s="208"/>
      <c r="BXQ174" s="209"/>
      <c r="BXR174" s="207"/>
      <c r="BXS174" s="210"/>
      <c r="BXT174" s="209"/>
      <c r="BXU174" s="204"/>
      <c r="BXV174" s="204"/>
      <c r="BXW174" s="204"/>
      <c r="BXX174" s="199"/>
      <c r="BXY174" s="167"/>
      <c r="BXZ174" s="199"/>
      <c r="BYA174" s="200"/>
      <c r="BYB174" s="201"/>
      <c r="BYC174" s="202"/>
      <c r="BYD174" s="202"/>
      <c r="BYE174" s="202"/>
      <c r="BYF174" s="202"/>
      <c r="BYG174" s="203"/>
      <c r="BYH174" s="204"/>
      <c r="BYI174" s="204"/>
      <c r="BYJ174" s="204"/>
      <c r="BYK174" s="205"/>
      <c r="BYL174" s="206"/>
      <c r="BYM174" s="207"/>
      <c r="BYN174" s="207"/>
      <c r="BYO174" s="208"/>
      <c r="BYP174" s="209"/>
      <c r="BYQ174" s="207"/>
      <c r="BYR174" s="210"/>
      <c r="BYS174" s="209"/>
      <c r="BYT174" s="204"/>
      <c r="BYU174" s="204"/>
      <c r="BYV174" s="204"/>
      <c r="BYW174" s="199"/>
      <c r="BYX174" s="167"/>
      <c r="BYY174" s="199"/>
      <c r="BYZ174" s="200"/>
      <c r="BZA174" s="201"/>
      <c r="BZB174" s="202"/>
      <c r="BZC174" s="202"/>
      <c r="BZD174" s="202"/>
      <c r="BZE174" s="202"/>
      <c r="BZF174" s="203"/>
      <c r="BZG174" s="204"/>
      <c r="BZH174" s="204"/>
      <c r="BZI174" s="204"/>
      <c r="BZJ174" s="205"/>
      <c r="BZK174" s="206"/>
      <c r="BZL174" s="207"/>
      <c r="BZM174" s="207"/>
      <c r="BZN174" s="208"/>
      <c r="BZO174" s="209"/>
      <c r="BZP174" s="207"/>
      <c r="BZQ174" s="210"/>
      <c r="BZR174" s="209"/>
      <c r="BZS174" s="204"/>
      <c r="BZT174" s="204"/>
      <c r="BZU174" s="204"/>
      <c r="BZV174" s="199"/>
      <c r="BZW174" s="167"/>
      <c r="BZX174" s="199"/>
      <c r="BZY174" s="200"/>
      <c r="BZZ174" s="201"/>
      <c r="CAA174" s="202"/>
      <c r="CAB174" s="202"/>
      <c r="CAC174" s="202"/>
      <c r="CAD174" s="202"/>
      <c r="CAE174" s="203"/>
      <c r="CAF174" s="204"/>
      <c r="CAG174" s="204"/>
      <c r="CAH174" s="204"/>
      <c r="CAI174" s="205"/>
      <c r="CAJ174" s="206"/>
      <c r="CAK174" s="207"/>
      <c r="CAL174" s="207"/>
      <c r="CAM174" s="208"/>
      <c r="CAN174" s="209"/>
      <c r="CAO174" s="207"/>
      <c r="CAP174" s="210"/>
      <c r="CAQ174" s="209"/>
      <c r="CAR174" s="204"/>
      <c r="CAS174" s="204"/>
      <c r="CAT174" s="204"/>
      <c r="CAU174" s="199"/>
      <c r="CAV174" s="167"/>
      <c r="CAW174" s="199"/>
      <c r="CAX174" s="200"/>
      <c r="CAY174" s="201"/>
      <c r="CAZ174" s="202"/>
      <c r="CBA174" s="202"/>
      <c r="CBB174" s="202"/>
      <c r="CBC174" s="202"/>
      <c r="CBD174" s="203"/>
      <c r="CBE174" s="204"/>
      <c r="CBF174" s="204"/>
      <c r="CBG174" s="204"/>
      <c r="CBH174" s="205"/>
      <c r="CBI174" s="206"/>
      <c r="CBJ174" s="207"/>
      <c r="CBK174" s="207"/>
      <c r="CBL174" s="208"/>
      <c r="CBM174" s="209"/>
      <c r="CBN174" s="207"/>
      <c r="CBO174" s="210"/>
      <c r="CBP174" s="209"/>
      <c r="CBQ174" s="204"/>
      <c r="CBR174" s="204"/>
      <c r="CBS174" s="204"/>
      <c r="CBT174" s="199"/>
      <c r="CBU174" s="167"/>
      <c r="CBV174" s="199"/>
      <c r="CBW174" s="200"/>
      <c r="CBX174" s="201"/>
      <c r="CBY174" s="202"/>
      <c r="CBZ174" s="202"/>
      <c r="CCA174" s="202"/>
      <c r="CCB174" s="202"/>
      <c r="CCC174" s="203"/>
      <c r="CCD174" s="204"/>
      <c r="CCE174" s="204"/>
      <c r="CCF174" s="204"/>
      <c r="CCG174" s="205"/>
      <c r="CCH174" s="206"/>
      <c r="CCI174" s="207"/>
      <c r="CCJ174" s="207"/>
      <c r="CCK174" s="208"/>
      <c r="CCL174" s="209"/>
      <c r="CCM174" s="207"/>
      <c r="CCN174" s="210"/>
      <c r="CCO174" s="209"/>
      <c r="CCP174" s="204"/>
      <c r="CCQ174" s="204"/>
      <c r="CCR174" s="204"/>
      <c r="CCS174" s="199"/>
      <c r="CCT174" s="167"/>
      <c r="CCU174" s="199"/>
      <c r="CCV174" s="200"/>
      <c r="CCW174" s="201"/>
      <c r="CCX174" s="202"/>
      <c r="CCY174" s="202"/>
      <c r="CCZ174" s="202"/>
      <c r="CDA174" s="202"/>
      <c r="CDB174" s="203"/>
      <c r="CDC174" s="204"/>
      <c r="CDD174" s="204"/>
      <c r="CDE174" s="204"/>
      <c r="CDF174" s="205"/>
      <c r="CDG174" s="206"/>
      <c r="CDH174" s="207"/>
      <c r="CDI174" s="207"/>
      <c r="CDJ174" s="208"/>
      <c r="CDK174" s="209"/>
      <c r="CDL174" s="207"/>
      <c r="CDM174" s="210"/>
      <c r="CDN174" s="209"/>
      <c r="CDO174" s="204"/>
      <c r="CDP174" s="204"/>
      <c r="CDQ174" s="204"/>
      <c r="CDR174" s="199"/>
      <c r="CDS174" s="167"/>
      <c r="CDT174" s="199"/>
      <c r="CDU174" s="200"/>
      <c r="CDV174" s="201"/>
      <c r="CDW174" s="202"/>
      <c r="CDX174" s="202"/>
      <c r="CDY174" s="202"/>
      <c r="CDZ174" s="202"/>
      <c r="CEA174" s="203"/>
      <c r="CEB174" s="204"/>
      <c r="CEC174" s="204"/>
      <c r="CED174" s="204"/>
      <c r="CEE174" s="205"/>
      <c r="CEF174" s="206"/>
      <c r="CEG174" s="207"/>
      <c r="CEH174" s="207"/>
      <c r="CEI174" s="208"/>
      <c r="CEJ174" s="209"/>
      <c r="CEK174" s="207"/>
      <c r="CEL174" s="210"/>
      <c r="CEM174" s="209"/>
      <c r="CEN174" s="204"/>
      <c r="CEO174" s="204"/>
      <c r="CEP174" s="204"/>
      <c r="CEQ174" s="199"/>
      <c r="CER174" s="167"/>
      <c r="CES174" s="199"/>
      <c r="CET174" s="200"/>
      <c r="CEU174" s="201"/>
      <c r="CEV174" s="202"/>
      <c r="CEW174" s="202"/>
      <c r="CEX174" s="202"/>
      <c r="CEY174" s="202"/>
      <c r="CEZ174" s="203"/>
      <c r="CFA174" s="204"/>
      <c r="CFB174" s="204"/>
      <c r="CFC174" s="204"/>
      <c r="CFD174" s="205"/>
      <c r="CFE174" s="206"/>
      <c r="CFF174" s="207"/>
      <c r="CFG174" s="207"/>
      <c r="CFH174" s="208"/>
      <c r="CFI174" s="209"/>
      <c r="CFJ174" s="207"/>
      <c r="CFK174" s="210"/>
      <c r="CFL174" s="209"/>
      <c r="CFM174" s="204"/>
      <c r="CFN174" s="204"/>
      <c r="CFO174" s="204"/>
      <c r="CFP174" s="199"/>
      <c r="CFQ174" s="167"/>
      <c r="CFR174" s="199"/>
      <c r="CFS174" s="200"/>
      <c r="CFT174" s="201"/>
      <c r="CFU174" s="202"/>
      <c r="CFV174" s="202"/>
      <c r="CFW174" s="202"/>
      <c r="CFX174" s="202"/>
      <c r="CFY174" s="203"/>
      <c r="CFZ174" s="204"/>
      <c r="CGA174" s="204"/>
      <c r="CGB174" s="204"/>
      <c r="CGC174" s="205"/>
      <c r="CGD174" s="206"/>
      <c r="CGE174" s="207"/>
      <c r="CGF174" s="207"/>
      <c r="CGG174" s="208"/>
      <c r="CGH174" s="209"/>
      <c r="CGI174" s="207"/>
      <c r="CGJ174" s="210"/>
      <c r="CGK174" s="209"/>
      <c r="CGL174" s="204"/>
      <c r="CGM174" s="204"/>
      <c r="CGN174" s="204"/>
      <c r="CGO174" s="199"/>
      <c r="CGP174" s="167"/>
      <c r="CGQ174" s="199"/>
      <c r="CGR174" s="200"/>
      <c r="CGS174" s="201"/>
      <c r="CGT174" s="202"/>
      <c r="CGU174" s="202"/>
      <c r="CGV174" s="202"/>
      <c r="CGW174" s="202"/>
      <c r="CGX174" s="203"/>
      <c r="CGY174" s="204"/>
      <c r="CGZ174" s="204"/>
      <c r="CHA174" s="204"/>
      <c r="CHB174" s="205"/>
      <c r="CHC174" s="206"/>
      <c r="CHD174" s="207"/>
      <c r="CHE174" s="207"/>
      <c r="CHF174" s="208"/>
      <c r="CHG174" s="209"/>
      <c r="CHH174" s="207"/>
      <c r="CHI174" s="210"/>
      <c r="CHJ174" s="209"/>
      <c r="CHK174" s="204"/>
      <c r="CHL174" s="204"/>
      <c r="CHM174" s="204"/>
      <c r="CHN174" s="199"/>
      <c r="CHO174" s="167"/>
      <c r="CHP174" s="199"/>
      <c r="CHQ174" s="200"/>
      <c r="CHR174" s="201"/>
      <c r="CHS174" s="202"/>
      <c r="CHT174" s="202"/>
      <c r="CHU174" s="202"/>
      <c r="CHV174" s="202"/>
      <c r="CHW174" s="203"/>
      <c r="CHX174" s="204"/>
      <c r="CHY174" s="204"/>
      <c r="CHZ174" s="204"/>
      <c r="CIA174" s="205"/>
      <c r="CIB174" s="206"/>
      <c r="CIC174" s="207"/>
      <c r="CID174" s="207"/>
      <c r="CIE174" s="208"/>
      <c r="CIF174" s="209"/>
      <c r="CIG174" s="207"/>
      <c r="CIH174" s="210"/>
      <c r="CII174" s="209"/>
      <c r="CIJ174" s="204"/>
      <c r="CIK174" s="204"/>
      <c r="CIL174" s="204"/>
      <c r="CIM174" s="199"/>
      <c r="CIN174" s="167"/>
      <c r="CIO174" s="199"/>
      <c r="CIP174" s="200"/>
      <c r="CIQ174" s="201"/>
      <c r="CIR174" s="202"/>
      <c r="CIS174" s="202"/>
      <c r="CIT174" s="202"/>
      <c r="CIU174" s="202"/>
      <c r="CIV174" s="203"/>
      <c r="CIW174" s="204"/>
      <c r="CIX174" s="204"/>
      <c r="CIY174" s="204"/>
      <c r="CIZ174" s="205"/>
      <c r="CJA174" s="206"/>
      <c r="CJB174" s="207"/>
      <c r="CJC174" s="207"/>
      <c r="CJD174" s="208"/>
      <c r="CJE174" s="209"/>
      <c r="CJF174" s="207"/>
      <c r="CJG174" s="210"/>
      <c r="CJH174" s="209"/>
      <c r="CJI174" s="204"/>
      <c r="CJJ174" s="204"/>
      <c r="CJK174" s="204"/>
      <c r="CJL174" s="199"/>
      <c r="CJM174" s="167"/>
      <c r="CJN174" s="199"/>
      <c r="CJO174" s="200"/>
      <c r="CJP174" s="201"/>
      <c r="CJQ174" s="202"/>
      <c r="CJR174" s="202"/>
      <c r="CJS174" s="202"/>
      <c r="CJT174" s="202"/>
      <c r="CJU174" s="203"/>
      <c r="CJV174" s="204"/>
      <c r="CJW174" s="204"/>
      <c r="CJX174" s="204"/>
      <c r="CJY174" s="205"/>
      <c r="CJZ174" s="206"/>
      <c r="CKA174" s="207"/>
      <c r="CKB174" s="207"/>
      <c r="CKC174" s="208"/>
      <c r="CKD174" s="209"/>
      <c r="CKE174" s="207"/>
      <c r="CKF174" s="210"/>
      <c r="CKG174" s="209"/>
      <c r="CKH174" s="204"/>
      <c r="CKI174" s="204"/>
      <c r="CKJ174" s="204"/>
      <c r="CKK174" s="199"/>
      <c r="CKL174" s="167"/>
      <c r="CKM174" s="199"/>
      <c r="CKN174" s="200"/>
      <c r="CKO174" s="201"/>
      <c r="CKP174" s="202"/>
      <c r="CKQ174" s="202"/>
      <c r="CKR174" s="202"/>
      <c r="CKS174" s="202"/>
      <c r="CKT174" s="203"/>
      <c r="CKU174" s="204"/>
      <c r="CKV174" s="204"/>
      <c r="CKW174" s="204"/>
      <c r="CKX174" s="205"/>
      <c r="CKY174" s="206"/>
      <c r="CKZ174" s="207"/>
      <c r="CLA174" s="207"/>
      <c r="CLB174" s="208"/>
      <c r="CLC174" s="209"/>
      <c r="CLD174" s="207"/>
      <c r="CLE174" s="210"/>
      <c r="CLF174" s="209"/>
      <c r="CLG174" s="204"/>
      <c r="CLH174" s="204"/>
      <c r="CLI174" s="204"/>
      <c r="CLJ174" s="199"/>
      <c r="CLK174" s="167"/>
      <c r="CLL174" s="199"/>
      <c r="CLM174" s="200"/>
      <c r="CLN174" s="201"/>
      <c r="CLO174" s="202"/>
      <c r="CLP174" s="202"/>
      <c r="CLQ174" s="202"/>
      <c r="CLR174" s="202"/>
      <c r="CLS174" s="203"/>
      <c r="CLT174" s="204"/>
      <c r="CLU174" s="204"/>
      <c r="CLV174" s="204"/>
      <c r="CLW174" s="205"/>
      <c r="CLX174" s="206"/>
      <c r="CLY174" s="207"/>
      <c r="CLZ174" s="207"/>
      <c r="CMA174" s="208"/>
      <c r="CMB174" s="209"/>
      <c r="CMC174" s="207"/>
      <c r="CMD174" s="210"/>
      <c r="CME174" s="209"/>
      <c r="CMF174" s="204"/>
      <c r="CMG174" s="204"/>
      <c r="CMH174" s="204"/>
      <c r="CMI174" s="199"/>
      <c r="CMJ174" s="167"/>
      <c r="CMK174" s="199"/>
      <c r="CML174" s="200"/>
      <c r="CMM174" s="201"/>
      <c r="CMN174" s="202"/>
      <c r="CMO174" s="202"/>
      <c r="CMP174" s="202"/>
      <c r="CMQ174" s="202"/>
      <c r="CMR174" s="203"/>
      <c r="CMS174" s="204"/>
      <c r="CMT174" s="204"/>
      <c r="CMU174" s="204"/>
      <c r="CMV174" s="205"/>
      <c r="CMW174" s="206"/>
      <c r="CMX174" s="207"/>
      <c r="CMY174" s="207"/>
      <c r="CMZ174" s="208"/>
      <c r="CNA174" s="209"/>
      <c r="CNB174" s="207"/>
      <c r="CNC174" s="210"/>
      <c r="CND174" s="209"/>
      <c r="CNE174" s="204"/>
      <c r="CNF174" s="204"/>
      <c r="CNG174" s="204"/>
      <c r="CNH174" s="199"/>
      <c r="CNI174" s="167"/>
      <c r="CNJ174" s="199"/>
      <c r="CNK174" s="200"/>
      <c r="CNL174" s="201"/>
      <c r="CNM174" s="202"/>
      <c r="CNN174" s="202"/>
      <c r="CNO174" s="202"/>
      <c r="CNP174" s="202"/>
      <c r="CNQ174" s="203"/>
      <c r="CNR174" s="204"/>
      <c r="CNS174" s="204"/>
      <c r="CNT174" s="204"/>
      <c r="CNU174" s="205"/>
      <c r="CNV174" s="206"/>
      <c r="CNW174" s="207"/>
      <c r="CNX174" s="207"/>
      <c r="CNY174" s="208"/>
      <c r="CNZ174" s="209"/>
      <c r="COA174" s="207"/>
      <c r="COB174" s="210"/>
      <c r="COC174" s="209"/>
      <c r="COD174" s="204"/>
      <c r="COE174" s="204"/>
      <c r="COF174" s="204"/>
      <c r="COG174" s="199"/>
      <c r="COH174" s="167"/>
      <c r="COI174" s="199"/>
      <c r="COJ174" s="200"/>
      <c r="COK174" s="201"/>
      <c r="COL174" s="202"/>
      <c r="COM174" s="202"/>
      <c r="CON174" s="202"/>
      <c r="COO174" s="202"/>
      <c r="COP174" s="203"/>
      <c r="COQ174" s="204"/>
      <c r="COR174" s="204"/>
      <c r="COS174" s="204"/>
      <c r="COT174" s="205"/>
      <c r="COU174" s="206"/>
      <c r="COV174" s="207"/>
      <c r="COW174" s="207"/>
      <c r="COX174" s="208"/>
      <c r="COY174" s="209"/>
      <c r="COZ174" s="207"/>
      <c r="CPA174" s="210"/>
      <c r="CPB174" s="209"/>
      <c r="CPC174" s="204"/>
      <c r="CPD174" s="204"/>
      <c r="CPE174" s="204"/>
      <c r="CPF174" s="199"/>
      <c r="CPG174" s="167"/>
      <c r="CPH174" s="199"/>
      <c r="CPI174" s="200"/>
      <c r="CPJ174" s="201"/>
      <c r="CPK174" s="202"/>
      <c r="CPL174" s="202"/>
      <c r="CPM174" s="202"/>
      <c r="CPN174" s="202"/>
      <c r="CPO174" s="203"/>
      <c r="CPP174" s="204"/>
      <c r="CPQ174" s="204"/>
      <c r="CPR174" s="204"/>
      <c r="CPS174" s="205"/>
      <c r="CPT174" s="206"/>
      <c r="CPU174" s="207"/>
      <c r="CPV174" s="207"/>
      <c r="CPW174" s="208"/>
      <c r="CPX174" s="209"/>
      <c r="CPY174" s="207"/>
      <c r="CPZ174" s="210"/>
      <c r="CQA174" s="209"/>
      <c r="CQB174" s="204"/>
      <c r="CQC174" s="204"/>
      <c r="CQD174" s="204"/>
      <c r="CQE174" s="199"/>
      <c r="CQF174" s="167"/>
      <c r="CQG174" s="199"/>
      <c r="CQH174" s="200"/>
      <c r="CQI174" s="201"/>
      <c r="CQJ174" s="202"/>
      <c r="CQK174" s="202"/>
      <c r="CQL174" s="202"/>
      <c r="CQM174" s="202"/>
      <c r="CQN174" s="203"/>
      <c r="CQO174" s="204"/>
      <c r="CQP174" s="204"/>
      <c r="CQQ174" s="204"/>
      <c r="CQR174" s="205"/>
      <c r="CQS174" s="206"/>
      <c r="CQT174" s="207"/>
      <c r="CQU174" s="207"/>
      <c r="CQV174" s="208"/>
      <c r="CQW174" s="209"/>
      <c r="CQX174" s="207"/>
      <c r="CQY174" s="210"/>
      <c r="CQZ174" s="209"/>
      <c r="CRA174" s="204"/>
      <c r="CRB174" s="204"/>
      <c r="CRC174" s="204"/>
      <c r="CRD174" s="199"/>
      <c r="CRE174" s="167"/>
      <c r="CRF174" s="199"/>
      <c r="CRG174" s="200"/>
      <c r="CRH174" s="201"/>
      <c r="CRI174" s="202"/>
      <c r="CRJ174" s="202"/>
      <c r="CRK174" s="202"/>
      <c r="CRL174" s="202"/>
      <c r="CRM174" s="203"/>
      <c r="CRN174" s="204"/>
      <c r="CRO174" s="204"/>
      <c r="CRP174" s="204"/>
      <c r="CRQ174" s="205"/>
      <c r="CRR174" s="206"/>
      <c r="CRS174" s="207"/>
      <c r="CRT174" s="207"/>
      <c r="CRU174" s="208"/>
      <c r="CRV174" s="209"/>
      <c r="CRW174" s="207"/>
      <c r="CRX174" s="210"/>
      <c r="CRY174" s="209"/>
      <c r="CRZ174" s="204"/>
      <c r="CSA174" s="204"/>
      <c r="CSB174" s="204"/>
      <c r="CSC174" s="199"/>
      <c r="CSD174" s="167"/>
      <c r="CSE174" s="199"/>
      <c r="CSF174" s="200"/>
      <c r="CSG174" s="201"/>
      <c r="CSH174" s="202"/>
      <c r="CSI174" s="202"/>
      <c r="CSJ174" s="202"/>
      <c r="CSK174" s="202"/>
      <c r="CSL174" s="203"/>
      <c r="CSM174" s="204"/>
      <c r="CSN174" s="204"/>
      <c r="CSO174" s="204"/>
      <c r="CSP174" s="205"/>
      <c r="CSQ174" s="206"/>
      <c r="CSR174" s="207"/>
      <c r="CSS174" s="207"/>
      <c r="CST174" s="208"/>
      <c r="CSU174" s="209"/>
      <c r="CSV174" s="207"/>
      <c r="CSW174" s="210"/>
      <c r="CSX174" s="209"/>
      <c r="CSY174" s="204"/>
      <c r="CSZ174" s="204"/>
      <c r="CTA174" s="204"/>
      <c r="CTB174" s="199"/>
      <c r="CTC174" s="167"/>
      <c r="CTD174" s="199"/>
      <c r="CTE174" s="200"/>
      <c r="CTF174" s="201"/>
      <c r="CTG174" s="202"/>
      <c r="CTH174" s="202"/>
      <c r="CTI174" s="202"/>
      <c r="CTJ174" s="202"/>
      <c r="CTK174" s="203"/>
      <c r="CTL174" s="204"/>
      <c r="CTM174" s="204"/>
      <c r="CTN174" s="204"/>
      <c r="CTO174" s="205"/>
      <c r="CTP174" s="206"/>
      <c r="CTQ174" s="207"/>
      <c r="CTR174" s="207"/>
      <c r="CTS174" s="208"/>
      <c r="CTT174" s="209"/>
      <c r="CTU174" s="207"/>
      <c r="CTV174" s="210"/>
      <c r="CTW174" s="209"/>
      <c r="CTX174" s="204"/>
      <c r="CTY174" s="204"/>
      <c r="CTZ174" s="204"/>
      <c r="CUA174" s="199"/>
      <c r="CUB174" s="167"/>
      <c r="CUC174" s="199"/>
      <c r="CUD174" s="200"/>
      <c r="CUE174" s="201"/>
      <c r="CUF174" s="202"/>
      <c r="CUG174" s="202"/>
      <c r="CUH174" s="202"/>
      <c r="CUI174" s="202"/>
      <c r="CUJ174" s="203"/>
      <c r="CUK174" s="204"/>
      <c r="CUL174" s="204"/>
      <c r="CUM174" s="204"/>
      <c r="CUN174" s="205"/>
      <c r="CUO174" s="206"/>
      <c r="CUP174" s="207"/>
      <c r="CUQ174" s="207"/>
      <c r="CUR174" s="208"/>
      <c r="CUS174" s="209"/>
      <c r="CUT174" s="207"/>
      <c r="CUU174" s="210"/>
      <c r="CUV174" s="209"/>
      <c r="CUW174" s="204"/>
      <c r="CUX174" s="204"/>
      <c r="CUY174" s="204"/>
      <c r="CUZ174" s="199"/>
      <c r="CVA174" s="167"/>
      <c r="CVB174" s="199"/>
      <c r="CVC174" s="200"/>
      <c r="CVD174" s="201"/>
      <c r="CVE174" s="202"/>
      <c r="CVF174" s="202"/>
      <c r="CVG174" s="202"/>
      <c r="CVH174" s="202"/>
      <c r="CVI174" s="203"/>
      <c r="CVJ174" s="204"/>
      <c r="CVK174" s="204"/>
      <c r="CVL174" s="204"/>
      <c r="CVM174" s="205"/>
      <c r="CVN174" s="206"/>
      <c r="CVO174" s="207"/>
      <c r="CVP174" s="207"/>
      <c r="CVQ174" s="208"/>
      <c r="CVR174" s="209"/>
      <c r="CVS174" s="207"/>
      <c r="CVT174" s="210"/>
      <c r="CVU174" s="209"/>
      <c r="CVV174" s="204"/>
      <c r="CVW174" s="204"/>
      <c r="CVX174" s="204"/>
      <c r="CVY174" s="199"/>
      <c r="CVZ174" s="167"/>
      <c r="CWA174" s="199"/>
      <c r="CWB174" s="200"/>
      <c r="CWC174" s="201"/>
      <c r="CWD174" s="202"/>
      <c r="CWE174" s="202"/>
      <c r="CWF174" s="202"/>
      <c r="CWG174" s="202"/>
      <c r="CWH174" s="203"/>
      <c r="CWI174" s="204"/>
      <c r="CWJ174" s="204"/>
      <c r="CWK174" s="204"/>
      <c r="CWL174" s="205"/>
      <c r="CWM174" s="206"/>
      <c r="CWN174" s="207"/>
      <c r="CWO174" s="207"/>
      <c r="CWP174" s="208"/>
      <c r="CWQ174" s="209"/>
      <c r="CWR174" s="207"/>
      <c r="CWS174" s="210"/>
      <c r="CWT174" s="209"/>
      <c r="CWU174" s="204"/>
      <c r="CWV174" s="204"/>
      <c r="CWW174" s="204"/>
      <c r="CWX174" s="199"/>
      <c r="CWY174" s="167"/>
      <c r="CWZ174" s="199"/>
      <c r="CXA174" s="200"/>
      <c r="CXB174" s="201"/>
      <c r="CXC174" s="202"/>
      <c r="CXD174" s="202"/>
      <c r="CXE174" s="202"/>
      <c r="CXF174" s="202"/>
      <c r="CXG174" s="203"/>
      <c r="CXH174" s="204"/>
      <c r="CXI174" s="204"/>
      <c r="CXJ174" s="204"/>
      <c r="CXK174" s="205"/>
      <c r="CXL174" s="206"/>
      <c r="CXM174" s="207"/>
      <c r="CXN174" s="207"/>
      <c r="CXO174" s="208"/>
      <c r="CXP174" s="209"/>
      <c r="CXQ174" s="207"/>
      <c r="CXR174" s="210"/>
      <c r="CXS174" s="209"/>
      <c r="CXT174" s="204"/>
      <c r="CXU174" s="204"/>
      <c r="CXV174" s="204"/>
      <c r="CXW174" s="199"/>
      <c r="CXX174" s="167"/>
      <c r="CXY174" s="199"/>
      <c r="CXZ174" s="200"/>
      <c r="CYA174" s="201"/>
      <c r="CYB174" s="202"/>
      <c r="CYC174" s="202"/>
      <c r="CYD174" s="202"/>
      <c r="CYE174" s="202"/>
      <c r="CYF174" s="203"/>
      <c r="CYG174" s="204"/>
      <c r="CYH174" s="204"/>
      <c r="CYI174" s="204"/>
      <c r="CYJ174" s="205"/>
      <c r="CYK174" s="206"/>
      <c r="CYL174" s="207"/>
      <c r="CYM174" s="207"/>
      <c r="CYN174" s="208"/>
      <c r="CYO174" s="209"/>
      <c r="CYP174" s="207"/>
      <c r="CYQ174" s="210"/>
      <c r="CYR174" s="209"/>
      <c r="CYS174" s="204"/>
      <c r="CYT174" s="204"/>
      <c r="CYU174" s="204"/>
      <c r="CYV174" s="199"/>
      <c r="CYW174" s="167"/>
      <c r="CYX174" s="199"/>
      <c r="CYY174" s="200"/>
      <c r="CYZ174" s="201"/>
      <c r="CZA174" s="202"/>
      <c r="CZB174" s="202"/>
      <c r="CZC174" s="202"/>
      <c r="CZD174" s="202"/>
      <c r="CZE174" s="203"/>
      <c r="CZF174" s="204"/>
      <c r="CZG174" s="204"/>
      <c r="CZH174" s="204"/>
      <c r="CZI174" s="205"/>
      <c r="CZJ174" s="206"/>
      <c r="CZK174" s="207"/>
      <c r="CZL174" s="207"/>
      <c r="CZM174" s="208"/>
      <c r="CZN174" s="209"/>
      <c r="CZO174" s="207"/>
      <c r="CZP174" s="210"/>
      <c r="CZQ174" s="209"/>
      <c r="CZR174" s="204"/>
      <c r="CZS174" s="204"/>
      <c r="CZT174" s="204"/>
      <c r="CZU174" s="199"/>
      <c r="CZV174" s="167"/>
      <c r="CZW174" s="199"/>
      <c r="CZX174" s="200"/>
      <c r="CZY174" s="201"/>
      <c r="CZZ174" s="202"/>
      <c r="DAA174" s="202"/>
      <c r="DAB174" s="202"/>
      <c r="DAC174" s="202"/>
      <c r="DAD174" s="203"/>
      <c r="DAE174" s="204"/>
      <c r="DAF174" s="204"/>
      <c r="DAG174" s="204"/>
      <c r="DAH174" s="205"/>
      <c r="DAI174" s="206"/>
      <c r="DAJ174" s="207"/>
      <c r="DAK174" s="207"/>
      <c r="DAL174" s="208"/>
      <c r="DAM174" s="209"/>
      <c r="DAN174" s="207"/>
      <c r="DAO174" s="210"/>
      <c r="DAP174" s="209"/>
      <c r="DAQ174" s="204"/>
      <c r="DAR174" s="204"/>
      <c r="DAS174" s="204"/>
      <c r="DAT174" s="199"/>
      <c r="DAU174" s="167"/>
      <c r="DAV174" s="199"/>
      <c r="DAW174" s="200"/>
      <c r="DAX174" s="201"/>
      <c r="DAY174" s="202"/>
      <c r="DAZ174" s="202"/>
      <c r="DBA174" s="202"/>
      <c r="DBB174" s="202"/>
      <c r="DBC174" s="203"/>
      <c r="DBD174" s="204"/>
      <c r="DBE174" s="204"/>
      <c r="DBF174" s="204"/>
      <c r="DBG174" s="205"/>
      <c r="DBH174" s="206"/>
      <c r="DBI174" s="207"/>
      <c r="DBJ174" s="207"/>
      <c r="DBK174" s="208"/>
      <c r="DBL174" s="209"/>
      <c r="DBM174" s="207"/>
      <c r="DBN174" s="210"/>
      <c r="DBO174" s="209"/>
      <c r="DBP174" s="204"/>
      <c r="DBQ174" s="204"/>
      <c r="DBR174" s="204"/>
      <c r="DBS174" s="199"/>
      <c r="DBT174" s="167"/>
      <c r="DBU174" s="199"/>
      <c r="DBV174" s="200"/>
      <c r="DBW174" s="201"/>
      <c r="DBX174" s="202"/>
      <c r="DBY174" s="202"/>
      <c r="DBZ174" s="202"/>
      <c r="DCA174" s="202"/>
      <c r="DCB174" s="203"/>
      <c r="DCC174" s="204"/>
      <c r="DCD174" s="204"/>
      <c r="DCE174" s="204"/>
      <c r="DCF174" s="205"/>
      <c r="DCG174" s="206"/>
      <c r="DCH174" s="207"/>
      <c r="DCI174" s="207"/>
      <c r="DCJ174" s="208"/>
      <c r="DCK174" s="209"/>
      <c r="DCL174" s="207"/>
      <c r="DCM174" s="210"/>
      <c r="DCN174" s="209"/>
      <c r="DCO174" s="204"/>
      <c r="DCP174" s="204"/>
      <c r="DCQ174" s="204"/>
      <c r="DCR174" s="199"/>
      <c r="DCS174" s="167"/>
      <c r="DCT174" s="199"/>
      <c r="DCU174" s="200"/>
      <c r="DCV174" s="201"/>
      <c r="DCW174" s="202"/>
      <c r="DCX174" s="202"/>
      <c r="DCY174" s="202"/>
      <c r="DCZ174" s="202"/>
      <c r="DDA174" s="203"/>
      <c r="DDB174" s="204"/>
      <c r="DDC174" s="204"/>
      <c r="DDD174" s="204"/>
      <c r="DDE174" s="205"/>
      <c r="DDF174" s="206"/>
      <c r="DDG174" s="207"/>
      <c r="DDH174" s="207"/>
      <c r="DDI174" s="208"/>
      <c r="DDJ174" s="209"/>
      <c r="DDK174" s="207"/>
      <c r="DDL174" s="210"/>
      <c r="DDM174" s="209"/>
      <c r="DDN174" s="204"/>
      <c r="DDO174" s="204"/>
      <c r="DDP174" s="204"/>
      <c r="DDQ174" s="199"/>
      <c r="DDR174" s="167"/>
      <c r="DDS174" s="199"/>
      <c r="DDT174" s="200"/>
      <c r="DDU174" s="201"/>
      <c r="DDV174" s="202"/>
      <c r="DDW174" s="202"/>
      <c r="DDX174" s="202"/>
      <c r="DDY174" s="202"/>
      <c r="DDZ174" s="203"/>
      <c r="DEA174" s="204"/>
      <c r="DEB174" s="204"/>
      <c r="DEC174" s="204"/>
      <c r="DED174" s="205"/>
      <c r="DEE174" s="206"/>
      <c r="DEF174" s="207"/>
      <c r="DEG174" s="207"/>
      <c r="DEH174" s="208"/>
      <c r="DEI174" s="209"/>
      <c r="DEJ174" s="207"/>
      <c r="DEK174" s="210"/>
      <c r="DEL174" s="209"/>
      <c r="DEM174" s="204"/>
      <c r="DEN174" s="204"/>
      <c r="DEO174" s="204"/>
      <c r="DEP174" s="199"/>
      <c r="DEQ174" s="167"/>
      <c r="DER174" s="199"/>
      <c r="DES174" s="200"/>
      <c r="DET174" s="201"/>
      <c r="DEU174" s="202"/>
      <c r="DEV174" s="202"/>
      <c r="DEW174" s="202"/>
      <c r="DEX174" s="202"/>
      <c r="DEY174" s="203"/>
      <c r="DEZ174" s="204"/>
      <c r="DFA174" s="204"/>
      <c r="DFB174" s="204"/>
      <c r="DFC174" s="205"/>
      <c r="DFD174" s="206"/>
      <c r="DFE174" s="207"/>
      <c r="DFF174" s="207"/>
      <c r="DFG174" s="208"/>
      <c r="DFH174" s="209"/>
      <c r="DFI174" s="207"/>
      <c r="DFJ174" s="210"/>
      <c r="DFK174" s="209"/>
      <c r="DFL174" s="204"/>
      <c r="DFM174" s="204"/>
      <c r="DFN174" s="204"/>
      <c r="DFO174" s="199"/>
      <c r="DFP174" s="167"/>
      <c r="DFQ174" s="199"/>
      <c r="DFR174" s="200"/>
      <c r="DFS174" s="201"/>
      <c r="DFT174" s="202"/>
      <c r="DFU174" s="202"/>
      <c r="DFV174" s="202"/>
      <c r="DFW174" s="202"/>
      <c r="DFX174" s="203"/>
      <c r="DFY174" s="204"/>
      <c r="DFZ174" s="204"/>
      <c r="DGA174" s="204"/>
      <c r="DGB174" s="205"/>
      <c r="DGC174" s="206"/>
      <c r="DGD174" s="207"/>
      <c r="DGE174" s="207"/>
      <c r="DGF174" s="208"/>
      <c r="DGG174" s="209"/>
      <c r="DGH174" s="207"/>
      <c r="DGI174" s="210"/>
      <c r="DGJ174" s="209"/>
      <c r="DGK174" s="204"/>
      <c r="DGL174" s="204"/>
      <c r="DGM174" s="204"/>
      <c r="DGN174" s="199"/>
      <c r="DGO174" s="167"/>
      <c r="DGP174" s="199"/>
      <c r="DGQ174" s="200"/>
      <c r="DGR174" s="201"/>
      <c r="DGS174" s="202"/>
      <c r="DGT174" s="202"/>
      <c r="DGU174" s="202"/>
      <c r="DGV174" s="202"/>
      <c r="DGW174" s="203"/>
      <c r="DGX174" s="204"/>
      <c r="DGY174" s="204"/>
      <c r="DGZ174" s="204"/>
      <c r="DHA174" s="205"/>
      <c r="DHB174" s="206"/>
      <c r="DHC174" s="207"/>
      <c r="DHD174" s="207"/>
      <c r="DHE174" s="208"/>
      <c r="DHF174" s="209"/>
      <c r="DHG174" s="207"/>
      <c r="DHH174" s="210"/>
      <c r="DHI174" s="209"/>
      <c r="DHJ174" s="204"/>
      <c r="DHK174" s="204"/>
      <c r="DHL174" s="204"/>
      <c r="DHM174" s="199"/>
      <c r="DHN174" s="167"/>
      <c r="DHO174" s="199"/>
      <c r="DHP174" s="200"/>
      <c r="DHQ174" s="201"/>
      <c r="DHR174" s="202"/>
      <c r="DHS174" s="202"/>
      <c r="DHT174" s="202"/>
      <c r="DHU174" s="202"/>
      <c r="DHV174" s="203"/>
      <c r="DHW174" s="204"/>
      <c r="DHX174" s="204"/>
      <c r="DHY174" s="204"/>
      <c r="DHZ174" s="205"/>
      <c r="DIA174" s="206"/>
      <c r="DIB174" s="207"/>
      <c r="DIC174" s="207"/>
      <c r="DID174" s="208"/>
      <c r="DIE174" s="209"/>
      <c r="DIF174" s="207"/>
      <c r="DIG174" s="210"/>
      <c r="DIH174" s="209"/>
      <c r="DII174" s="204"/>
      <c r="DIJ174" s="204"/>
      <c r="DIK174" s="204"/>
      <c r="DIL174" s="199"/>
      <c r="DIM174" s="167"/>
      <c r="DIN174" s="199"/>
      <c r="DIO174" s="200"/>
      <c r="DIP174" s="201"/>
      <c r="DIQ174" s="202"/>
      <c r="DIR174" s="202"/>
      <c r="DIS174" s="202"/>
      <c r="DIT174" s="202"/>
      <c r="DIU174" s="203"/>
      <c r="DIV174" s="204"/>
      <c r="DIW174" s="204"/>
      <c r="DIX174" s="204"/>
      <c r="DIY174" s="205"/>
      <c r="DIZ174" s="206"/>
      <c r="DJA174" s="207"/>
      <c r="DJB174" s="207"/>
      <c r="DJC174" s="208"/>
      <c r="DJD174" s="209"/>
      <c r="DJE174" s="207"/>
      <c r="DJF174" s="210"/>
      <c r="DJG174" s="209"/>
      <c r="DJH174" s="204"/>
      <c r="DJI174" s="204"/>
      <c r="DJJ174" s="204"/>
      <c r="DJK174" s="199"/>
      <c r="DJL174" s="167"/>
      <c r="DJM174" s="199"/>
      <c r="DJN174" s="200"/>
      <c r="DJO174" s="201"/>
      <c r="DJP174" s="202"/>
      <c r="DJQ174" s="202"/>
      <c r="DJR174" s="202"/>
      <c r="DJS174" s="202"/>
      <c r="DJT174" s="203"/>
      <c r="DJU174" s="204"/>
      <c r="DJV174" s="204"/>
      <c r="DJW174" s="204"/>
      <c r="DJX174" s="205"/>
      <c r="DJY174" s="206"/>
      <c r="DJZ174" s="207"/>
      <c r="DKA174" s="207"/>
      <c r="DKB174" s="208"/>
      <c r="DKC174" s="209"/>
      <c r="DKD174" s="207"/>
      <c r="DKE174" s="210"/>
      <c r="DKF174" s="209"/>
      <c r="DKG174" s="204"/>
      <c r="DKH174" s="204"/>
      <c r="DKI174" s="204"/>
      <c r="DKJ174" s="199"/>
      <c r="DKK174" s="167"/>
      <c r="DKL174" s="199"/>
      <c r="DKM174" s="200"/>
      <c r="DKN174" s="201"/>
      <c r="DKO174" s="202"/>
      <c r="DKP174" s="202"/>
      <c r="DKQ174" s="202"/>
      <c r="DKR174" s="202"/>
      <c r="DKS174" s="203"/>
      <c r="DKT174" s="204"/>
      <c r="DKU174" s="204"/>
      <c r="DKV174" s="204"/>
      <c r="DKW174" s="205"/>
      <c r="DKX174" s="206"/>
      <c r="DKY174" s="207"/>
      <c r="DKZ174" s="207"/>
      <c r="DLA174" s="208"/>
      <c r="DLB174" s="209"/>
      <c r="DLC174" s="207"/>
      <c r="DLD174" s="210"/>
      <c r="DLE174" s="209"/>
      <c r="DLF174" s="204"/>
      <c r="DLG174" s="204"/>
      <c r="DLH174" s="204"/>
      <c r="DLI174" s="199"/>
      <c r="DLJ174" s="167"/>
      <c r="DLK174" s="199"/>
      <c r="DLL174" s="200"/>
      <c r="DLM174" s="201"/>
      <c r="DLN174" s="202"/>
      <c r="DLO174" s="202"/>
      <c r="DLP174" s="202"/>
      <c r="DLQ174" s="202"/>
      <c r="DLR174" s="203"/>
      <c r="DLS174" s="204"/>
      <c r="DLT174" s="204"/>
      <c r="DLU174" s="204"/>
      <c r="DLV174" s="205"/>
      <c r="DLW174" s="206"/>
      <c r="DLX174" s="207"/>
      <c r="DLY174" s="207"/>
      <c r="DLZ174" s="208"/>
      <c r="DMA174" s="209"/>
      <c r="DMB174" s="207"/>
      <c r="DMC174" s="210"/>
      <c r="DMD174" s="209"/>
      <c r="DME174" s="204"/>
      <c r="DMF174" s="204"/>
      <c r="DMG174" s="204"/>
      <c r="DMH174" s="199"/>
      <c r="DMI174" s="167"/>
      <c r="DMJ174" s="199"/>
      <c r="DMK174" s="200"/>
      <c r="DML174" s="201"/>
      <c r="DMM174" s="202"/>
      <c r="DMN174" s="202"/>
      <c r="DMO174" s="202"/>
      <c r="DMP174" s="202"/>
      <c r="DMQ174" s="203"/>
      <c r="DMR174" s="204"/>
      <c r="DMS174" s="204"/>
      <c r="DMT174" s="204"/>
      <c r="DMU174" s="205"/>
      <c r="DMV174" s="206"/>
      <c r="DMW174" s="207"/>
      <c r="DMX174" s="207"/>
      <c r="DMY174" s="208"/>
      <c r="DMZ174" s="209"/>
      <c r="DNA174" s="207"/>
      <c r="DNB174" s="210"/>
      <c r="DNC174" s="209"/>
      <c r="DND174" s="204"/>
      <c r="DNE174" s="204"/>
      <c r="DNF174" s="204"/>
      <c r="DNG174" s="199"/>
      <c r="DNH174" s="167"/>
      <c r="DNI174" s="199"/>
      <c r="DNJ174" s="200"/>
      <c r="DNK174" s="201"/>
      <c r="DNL174" s="202"/>
      <c r="DNM174" s="202"/>
      <c r="DNN174" s="202"/>
      <c r="DNO174" s="202"/>
      <c r="DNP174" s="203"/>
      <c r="DNQ174" s="204"/>
      <c r="DNR174" s="204"/>
      <c r="DNS174" s="204"/>
      <c r="DNT174" s="205"/>
      <c r="DNU174" s="206"/>
      <c r="DNV174" s="207"/>
      <c r="DNW174" s="207"/>
      <c r="DNX174" s="208"/>
      <c r="DNY174" s="209"/>
      <c r="DNZ174" s="207"/>
      <c r="DOA174" s="210"/>
      <c r="DOB174" s="209"/>
      <c r="DOC174" s="204"/>
      <c r="DOD174" s="204"/>
      <c r="DOE174" s="204"/>
      <c r="DOF174" s="199"/>
      <c r="DOG174" s="167"/>
      <c r="DOH174" s="199"/>
      <c r="DOI174" s="200"/>
      <c r="DOJ174" s="201"/>
      <c r="DOK174" s="202"/>
      <c r="DOL174" s="202"/>
      <c r="DOM174" s="202"/>
      <c r="DON174" s="202"/>
      <c r="DOO174" s="203"/>
      <c r="DOP174" s="204"/>
      <c r="DOQ174" s="204"/>
      <c r="DOR174" s="204"/>
      <c r="DOS174" s="205"/>
      <c r="DOT174" s="206"/>
      <c r="DOU174" s="207"/>
      <c r="DOV174" s="207"/>
      <c r="DOW174" s="208"/>
      <c r="DOX174" s="209"/>
      <c r="DOY174" s="207"/>
      <c r="DOZ174" s="210"/>
      <c r="DPA174" s="209"/>
      <c r="DPB174" s="204"/>
      <c r="DPC174" s="204"/>
      <c r="DPD174" s="204"/>
      <c r="DPE174" s="199"/>
      <c r="DPF174" s="167"/>
      <c r="DPG174" s="199"/>
      <c r="DPH174" s="200"/>
      <c r="DPI174" s="201"/>
      <c r="DPJ174" s="202"/>
      <c r="DPK174" s="202"/>
      <c r="DPL174" s="202"/>
      <c r="DPM174" s="202"/>
      <c r="DPN174" s="203"/>
      <c r="DPO174" s="204"/>
      <c r="DPP174" s="204"/>
      <c r="DPQ174" s="204"/>
      <c r="DPR174" s="205"/>
      <c r="DPS174" s="206"/>
      <c r="DPT174" s="207"/>
      <c r="DPU174" s="207"/>
      <c r="DPV174" s="208"/>
      <c r="DPW174" s="209"/>
      <c r="DPX174" s="207"/>
      <c r="DPY174" s="210"/>
      <c r="DPZ174" s="209"/>
      <c r="DQA174" s="204"/>
      <c r="DQB174" s="204"/>
      <c r="DQC174" s="204"/>
      <c r="DQD174" s="199"/>
      <c r="DQE174" s="167"/>
      <c r="DQF174" s="199"/>
      <c r="DQG174" s="200"/>
      <c r="DQH174" s="201"/>
      <c r="DQI174" s="202"/>
      <c r="DQJ174" s="202"/>
      <c r="DQK174" s="202"/>
      <c r="DQL174" s="202"/>
      <c r="DQM174" s="203"/>
      <c r="DQN174" s="204"/>
      <c r="DQO174" s="204"/>
      <c r="DQP174" s="204"/>
      <c r="DQQ174" s="205"/>
      <c r="DQR174" s="206"/>
      <c r="DQS174" s="207"/>
      <c r="DQT174" s="207"/>
      <c r="DQU174" s="208"/>
      <c r="DQV174" s="209"/>
      <c r="DQW174" s="207"/>
      <c r="DQX174" s="210"/>
      <c r="DQY174" s="209"/>
      <c r="DQZ174" s="204"/>
      <c r="DRA174" s="204"/>
      <c r="DRB174" s="204"/>
      <c r="DRC174" s="199"/>
      <c r="DRD174" s="167"/>
      <c r="DRE174" s="199"/>
      <c r="DRF174" s="200"/>
      <c r="DRG174" s="201"/>
      <c r="DRH174" s="202"/>
      <c r="DRI174" s="202"/>
      <c r="DRJ174" s="202"/>
      <c r="DRK174" s="202"/>
      <c r="DRL174" s="203"/>
      <c r="DRM174" s="204"/>
      <c r="DRN174" s="204"/>
      <c r="DRO174" s="204"/>
      <c r="DRP174" s="205"/>
      <c r="DRQ174" s="206"/>
      <c r="DRR174" s="207"/>
      <c r="DRS174" s="207"/>
      <c r="DRT174" s="208"/>
      <c r="DRU174" s="209"/>
      <c r="DRV174" s="207"/>
      <c r="DRW174" s="210"/>
      <c r="DRX174" s="209"/>
      <c r="DRY174" s="204"/>
      <c r="DRZ174" s="204"/>
      <c r="DSA174" s="204"/>
      <c r="DSB174" s="199"/>
      <c r="DSC174" s="167"/>
      <c r="DSD174" s="199"/>
      <c r="DSE174" s="200"/>
      <c r="DSF174" s="201"/>
      <c r="DSG174" s="202"/>
      <c r="DSH174" s="202"/>
      <c r="DSI174" s="202"/>
      <c r="DSJ174" s="202"/>
      <c r="DSK174" s="203"/>
      <c r="DSL174" s="204"/>
      <c r="DSM174" s="204"/>
      <c r="DSN174" s="204"/>
      <c r="DSO174" s="205"/>
      <c r="DSP174" s="206"/>
      <c r="DSQ174" s="207"/>
      <c r="DSR174" s="207"/>
      <c r="DSS174" s="208"/>
      <c r="DST174" s="209"/>
      <c r="DSU174" s="207"/>
      <c r="DSV174" s="210"/>
      <c r="DSW174" s="209"/>
      <c r="DSX174" s="204"/>
      <c r="DSY174" s="204"/>
      <c r="DSZ174" s="204"/>
      <c r="DTA174" s="199"/>
      <c r="DTB174" s="167"/>
      <c r="DTC174" s="199"/>
      <c r="DTD174" s="200"/>
      <c r="DTE174" s="201"/>
      <c r="DTF174" s="202"/>
      <c r="DTG174" s="202"/>
      <c r="DTH174" s="202"/>
      <c r="DTI174" s="202"/>
      <c r="DTJ174" s="203"/>
      <c r="DTK174" s="204"/>
      <c r="DTL174" s="204"/>
      <c r="DTM174" s="204"/>
      <c r="DTN174" s="205"/>
      <c r="DTO174" s="206"/>
      <c r="DTP174" s="207"/>
      <c r="DTQ174" s="207"/>
      <c r="DTR174" s="208"/>
      <c r="DTS174" s="209"/>
      <c r="DTT174" s="207"/>
      <c r="DTU174" s="210"/>
      <c r="DTV174" s="209"/>
      <c r="DTW174" s="204"/>
      <c r="DTX174" s="204"/>
      <c r="DTY174" s="204"/>
      <c r="DTZ174" s="199"/>
      <c r="DUA174" s="167"/>
      <c r="DUB174" s="199"/>
      <c r="DUC174" s="200"/>
      <c r="DUD174" s="201"/>
      <c r="DUE174" s="202"/>
      <c r="DUF174" s="202"/>
      <c r="DUG174" s="202"/>
      <c r="DUH174" s="202"/>
      <c r="DUI174" s="203"/>
      <c r="DUJ174" s="204"/>
      <c r="DUK174" s="204"/>
      <c r="DUL174" s="204"/>
      <c r="DUM174" s="205"/>
      <c r="DUN174" s="206"/>
      <c r="DUO174" s="207"/>
      <c r="DUP174" s="207"/>
      <c r="DUQ174" s="208"/>
      <c r="DUR174" s="209"/>
      <c r="DUS174" s="207"/>
      <c r="DUT174" s="210"/>
      <c r="DUU174" s="209"/>
      <c r="DUV174" s="204"/>
      <c r="DUW174" s="204"/>
      <c r="DUX174" s="204"/>
      <c r="DUY174" s="199"/>
      <c r="DUZ174" s="167"/>
      <c r="DVA174" s="199"/>
      <c r="DVB174" s="200"/>
      <c r="DVC174" s="201"/>
      <c r="DVD174" s="202"/>
      <c r="DVE174" s="202"/>
      <c r="DVF174" s="202"/>
      <c r="DVG174" s="202"/>
      <c r="DVH174" s="203"/>
      <c r="DVI174" s="204"/>
      <c r="DVJ174" s="204"/>
      <c r="DVK174" s="204"/>
      <c r="DVL174" s="205"/>
      <c r="DVM174" s="206"/>
      <c r="DVN174" s="207"/>
      <c r="DVO174" s="207"/>
      <c r="DVP174" s="208"/>
      <c r="DVQ174" s="209"/>
      <c r="DVR174" s="207"/>
      <c r="DVS174" s="210"/>
      <c r="DVT174" s="209"/>
      <c r="DVU174" s="204"/>
      <c r="DVV174" s="204"/>
      <c r="DVW174" s="204"/>
      <c r="DVX174" s="199"/>
      <c r="DVY174" s="167"/>
      <c r="DVZ174" s="199"/>
      <c r="DWA174" s="200"/>
      <c r="DWB174" s="201"/>
      <c r="DWC174" s="202"/>
      <c r="DWD174" s="202"/>
      <c r="DWE174" s="202"/>
      <c r="DWF174" s="202"/>
      <c r="DWG174" s="203"/>
      <c r="DWH174" s="204"/>
      <c r="DWI174" s="204"/>
      <c r="DWJ174" s="204"/>
      <c r="DWK174" s="205"/>
      <c r="DWL174" s="206"/>
      <c r="DWM174" s="207"/>
      <c r="DWN174" s="207"/>
      <c r="DWO174" s="208"/>
      <c r="DWP174" s="209"/>
      <c r="DWQ174" s="207"/>
      <c r="DWR174" s="210"/>
      <c r="DWS174" s="209"/>
      <c r="DWT174" s="204"/>
      <c r="DWU174" s="204"/>
      <c r="DWV174" s="204"/>
      <c r="DWW174" s="199"/>
      <c r="DWX174" s="167"/>
      <c r="DWY174" s="199"/>
      <c r="DWZ174" s="200"/>
      <c r="DXA174" s="201"/>
      <c r="DXB174" s="202"/>
      <c r="DXC174" s="202"/>
      <c r="DXD174" s="202"/>
      <c r="DXE174" s="202"/>
      <c r="DXF174" s="203"/>
      <c r="DXG174" s="204"/>
      <c r="DXH174" s="204"/>
      <c r="DXI174" s="204"/>
      <c r="DXJ174" s="205"/>
      <c r="DXK174" s="206"/>
      <c r="DXL174" s="207"/>
      <c r="DXM174" s="207"/>
      <c r="DXN174" s="208"/>
      <c r="DXO174" s="209"/>
      <c r="DXP174" s="207"/>
      <c r="DXQ174" s="210"/>
      <c r="DXR174" s="209"/>
      <c r="DXS174" s="204"/>
      <c r="DXT174" s="204"/>
      <c r="DXU174" s="204"/>
      <c r="DXV174" s="199"/>
      <c r="DXW174" s="167"/>
      <c r="DXX174" s="199"/>
      <c r="DXY174" s="200"/>
      <c r="DXZ174" s="201"/>
      <c r="DYA174" s="202"/>
      <c r="DYB174" s="202"/>
      <c r="DYC174" s="202"/>
      <c r="DYD174" s="202"/>
      <c r="DYE174" s="203"/>
      <c r="DYF174" s="204"/>
      <c r="DYG174" s="204"/>
      <c r="DYH174" s="204"/>
      <c r="DYI174" s="205"/>
      <c r="DYJ174" s="206"/>
      <c r="DYK174" s="207"/>
      <c r="DYL174" s="207"/>
      <c r="DYM174" s="208"/>
      <c r="DYN174" s="209"/>
      <c r="DYO174" s="207"/>
      <c r="DYP174" s="210"/>
      <c r="DYQ174" s="209"/>
      <c r="DYR174" s="204"/>
      <c r="DYS174" s="204"/>
      <c r="DYT174" s="204"/>
      <c r="DYU174" s="199"/>
      <c r="DYV174" s="167"/>
      <c r="DYW174" s="199"/>
      <c r="DYX174" s="200"/>
      <c r="DYY174" s="201"/>
      <c r="DYZ174" s="202"/>
      <c r="DZA174" s="202"/>
      <c r="DZB174" s="202"/>
      <c r="DZC174" s="202"/>
      <c r="DZD174" s="203"/>
      <c r="DZE174" s="204"/>
      <c r="DZF174" s="204"/>
      <c r="DZG174" s="204"/>
      <c r="DZH174" s="205"/>
      <c r="DZI174" s="206"/>
      <c r="DZJ174" s="207"/>
      <c r="DZK174" s="207"/>
      <c r="DZL174" s="208"/>
      <c r="DZM174" s="209"/>
      <c r="DZN174" s="207"/>
      <c r="DZO174" s="210"/>
      <c r="DZP174" s="209"/>
      <c r="DZQ174" s="204"/>
      <c r="DZR174" s="204"/>
      <c r="DZS174" s="204"/>
      <c r="DZT174" s="199"/>
      <c r="DZU174" s="167"/>
      <c r="DZV174" s="199"/>
      <c r="DZW174" s="200"/>
      <c r="DZX174" s="201"/>
      <c r="DZY174" s="202"/>
      <c r="DZZ174" s="202"/>
      <c r="EAA174" s="202"/>
      <c r="EAB174" s="202"/>
      <c r="EAC174" s="203"/>
      <c r="EAD174" s="204"/>
      <c r="EAE174" s="204"/>
      <c r="EAF174" s="204"/>
      <c r="EAG174" s="205"/>
      <c r="EAH174" s="206"/>
      <c r="EAI174" s="207"/>
      <c r="EAJ174" s="207"/>
      <c r="EAK174" s="208"/>
      <c r="EAL174" s="209"/>
      <c r="EAM174" s="207"/>
      <c r="EAN174" s="210"/>
      <c r="EAO174" s="209"/>
      <c r="EAP174" s="204"/>
      <c r="EAQ174" s="204"/>
      <c r="EAR174" s="204"/>
      <c r="EAS174" s="199"/>
      <c r="EAT174" s="167"/>
      <c r="EAU174" s="199"/>
      <c r="EAV174" s="200"/>
      <c r="EAW174" s="201"/>
      <c r="EAX174" s="202"/>
      <c r="EAY174" s="202"/>
      <c r="EAZ174" s="202"/>
      <c r="EBA174" s="202"/>
      <c r="EBB174" s="203"/>
      <c r="EBC174" s="204"/>
      <c r="EBD174" s="204"/>
      <c r="EBE174" s="204"/>
      <c r="EBF174" s="205"/>
      <c r="EBG174" s="206"/>
      <c r="EBH174" s="207"/>
      <c r="EBI174" s="207"/>
      <c r="EBJ174" s="208"/>
      <c r="EBK174" s="209"/>
      <c r="EBL174" s="207"/>
      <c r="EBM174" s="210"/>
      <c r="EBN174" s="209"/>
      <c r="EBO174" s="204"/>
      <c r="EBP174" s="204"/>
      <c r="EBQ174" s="204"/>
      <c r="EBR174" s="199"/>
      <c r="EBS174" s="167"/>
      <c r="EBT174" s="199"/>
      <c r="EBU174" s="200"/>
      <c r="EBV174" s="201"/>
      <c r="EBW174" s="202"/>
      <c r="EBX174" s="202"/>
      <c r="EBY174" s="202"/>
      <c r="EBZ174" s="202"/>
      <c r="ECA174" s="203"/>
      <c r="ECB174" s="204"/>
      <c r="ECC174" s="204"/>
      <c r="ECD174" s="204"/>
      <c r="ECE174" s="205"/>
      <c r="ECF174" s="206"/>
      <c r="ECG174" s="207"/>
      <c r="ECH174" s="207"/>
      <c r="ECI174" s="208"/>
      <c r="ECJ174" s="209"/>
      <c r="ECK174" s="207"/>
      <c r="ECL174" s="210"/>
      <c r="ECM174" s="209"/>
      <c r="ECN174" s="204"/>
      <c r="ECO174" s="204"/>
      <c r="ECP174" s="204"/>
      <c r="ECQ174" s="199"/>
      <c r="ECR174" s="167"/>
      <c r="ECS174" s="199"/>
      <c r="ECT174" s="200"/>
      <c r="ECU174" s="201"/>
      <c r="ECV174" s="202"/>
      <c r="ECW174" s="202"/>
      <c r="ECX174" s="202"/>
      <c r="ECY174" s="202"/>
      <c r="ECZ174" s="203"/>
      <c r="EDA174" s="204"/>
      <c r="EDB174" s="204"/>
      <c r="EDC174" s="204"/>
      <c r="EDD174" s="205"/>
      <c r="EDE174" s="206"/>
      <c r="EDF174" s="207"/>
      <c r="EDG174" s="207"/>
      <c r="EDH174" s="208"/>
      <c r="EDI174" s="209"/>
      <c r="EDJ174" s="207"/>
      <c r="EDK174" s="210"/>
      <c r="EDL174" s="209"/>
      <c r="EDM174" s="204"/>
      <c r="EDN174" s="204"/>
      <c r="EDO174" s="204"/>
      <c r="EDP174" s="199"/>
      <c r="EDQ174" s="167"/>
      <c r="EDR174" s="199"/>
      <c r="EDS174" s="200"/>
      <c r="EDT174" s="201"/>
      <c r="EDU174" s="202"/>
      <c r="EDV174" s="202"/>
      <c r="EDW174" s="202"/>
      <c r="EDX174" s="202"/>
      <c r="EDY174" s="203"/>
      <c r="EDZ174" s="204"/>
      <c r="EEA174" s="204"/>
      <c r="EEB174" s="204"/>
      <c r="EEC174" s="205"/>
      <c r="EED174" s="206"/>
      <c r="EEE174" s="207"/>
      <c r="EEF174" s="207"/>
      <c r="EEG174" s="208"/>
      <c r="EEH174" s="209"/>
      <c r="EEI174" s="207"/>
      <c r="EEJ174" s="210"/>
      <c r="EEK174" s="209"/>
      <c r="EEL174" s="204"/>
      <c r="EEM174" s="204"/>
      <c r="EEN174" s="204"/>
      <c r="EEO174" s="199"/>
      <c r="EEP174" s="167"/>
      <c r="EEQ174" s="199"/>
      <c r="EER174" s="200"/>
      <c r="EES174" s="201"/>
      <c r="EET174" s="202"/>
      <c r="EEU174" s="202"/>
      <c r="EEV174" s="202"/>
      <c r="EEW174" s="202"/>
      <c r="EEX174" s="203"/>
      <c r="EEY174" s="204"/>
      <c r="EEZ174" s="204"/>
      <c r="EFA174" s="204"/>
      <c r="EFB174" s="205"/>
      <c r="EFC174" s="206"/>
      <c r="EFD174" s="207"/>
      <c r="EFE174" s="207"/>
      <c r="EFF174" s="208"/>
      <c r="EFG174" s="209"/>
      <c r="EFH174" s="207"/>
      <c r="EFI174" s="210"/>
      <c r="EFJ174" s="209"/>
      <c r="EFK174" s="204"/>
      <c r="EFL174" s="204"/>
      <c r="EFM174" s="204"/>
      <c r="EFN174" s="199"/>
      <c r="EFO174" s="167"/>
      <c r="EFP174" s="199"/>
      <c r="EFQ174" s="200"/>
      <c r="EFR174" s="201"/>
      <c r="EFS174" s="202"/>
      <c r="EFT174" s="202"/>
      <c r="EFU174" s="202"/>
      <c r="EFV174" s="202"/>
      <c r="EFW174" s="203"/>
      <c r="EFX174" s="204"/>
      <c r="EFY174" s="204"/>
      <c r="EFZ174" s="204"/>
      <c r="EGA174" s="205"/>
      <c r="EGB174" s="206"/>
      <c r="EGC174" s="207"/>
      <c r="EGD174" s="207"/>
      <c r="EGE174" s="208"/>
      <c r="EGF174" s="209"/>
      <c r="EGG174" s="207"/>
      <c r="EGH174" s="210"/>
      <c r="EGI174" s="209"/>
      <c r="EGJ174" s="204"/>
      <c r="EGK174" s="204"/>
      <c r="EGL174" s="204"/>
      <c r="EGM174" s="199"/>
      <c r="EGN174" s="167"/>
      <c r="EGO174" s="199"/>
      <c r="EGP174" s="200"/>
      <c r="EGQ174" s="201"/>
      <c r="EGR174" s="202"/>
      <c r="EGS174" s="202"/>
      <c r="EGT174" s="202"/>
      <c r="EGU174" s="202"/>
      <c r="EGV174" s="203"/>
      <c r="EGW174" s="204"/>
      <c r="EGX174" s="204"/>
      <c r="EGY174" s="204"/>
      <c r="EGZ174" s="205"/>
      <c r="EHA174" s="206"/>
      <c r="EHB174" s="207"/>
      <c r="EHC174" s="207"/>
      <c r="EHD174" s="208"/>
      <c r="EHE174" s="209"/>
      <c r="EHF174" s="207"/>
      <c r="EHG174" s="210"/>
      <c r="EHH174" s="209"/>
      <c r="EHI174" s="204"/>
      <c r="EHJ174" s="204"/>
      <c r="EHK174" s="204"/>
      <c r="EHL174" s="199"/>
      <c r="EHM174" s="167"/>
      <c r="EHN174" s="199"/>
      <c r="EHO174" s="200"/>
      <c r="EHP174" s="201"/>
      <c r="EHQ174" s="202"/>
      <c r="EHR174" s="202"/>
      <c r="EHS174" s="202"/>
      <c r="EHT174" s="202"/>
      <c r="EHU174" s="203"/>
      <c r="EHV174" s="204"/>
      <c r="EHW174" s="204"/>
      <c r="EHX174" s="204"/>
      <c r="EHY174" s="205"/>
      <c r="EHZ174" s="206"/>
      <c r="EIA174" s="207"/>
      <c r="EIB174" s="207"/>
      <c r="EIC174" s="208"/>
      <c r="EID174" s="209"/>
      <c r="EIE174" s="207"/>
      <c r="EIF174" s="210"/>
      <c r="EIG174" s="209"/>
      <c r="EIH174" s="204"/>
      <c r="EII174" s="204"/>
      <c r="EIJ174" s="204"/>
      <c r="EIK174" s="199"/>
      <c r="EIL174" s="167"/>
      <c r="EIM174" s="199"/>
      <c r="EIN174" s="200"/>
      <c r="EIO174" s="201"/>
      <c r="EIP174" s="202"/>
      <c r="EIQ174" s="202"/>
      <c r="EIR174" s="202"/>
      <c r="EIS174" s="202"/>
      <c r="EIT174" s="203"/>
      <c r="EIU174" s="204"/>
      <c r="EIV174" s="204"/>
      <c r="EIW174" s="204"/>
      <c r="EIX174" s="205"/>
      <c r="EIY174" s="206"/>
      <c r="EIZ174" s="207"/>
      <c r="EJA174" s="207"/>
      <c r="EJB174" s="208"/>
      <c r="EJC174" s="209"/>
      <c r="EJD174" s="207"/>
      <c r="EJE174" s="210"/>
      <c r="EJF174" s="209"/>
      <c r="EJG174" s="204"/>
      <c r="EJH174" s="204"/>
      <c r="EJI174" s="204"/>
      <c r="EJJ174" s="199"/>
      <c r="EJK174" s="167"/>
      <c r="EJL174" s="199"/>
      <c r="EJM174" s="200"/>
      <c r="EJN174" s="201"/>
      <c r="EJO174" s="202"/>
      <c r="EJP174" s="202"/>
      <c r="EJQ174" s="202"/>
      <c r="EJR174" s="202"/>
      <c r="EJS174" s="203"/>
      <c r="EJT174" s="204"/>
      <c r="EJU174" s="204"/>
      <c r="EJV174" s="204"/>
      <c r="EJW174" s="205"/>
      <c r="EJX174" s="206"/>
      <c r="EJY174" s="207"/>
      <c r="EJZ174" s="207"/>
      <c r="EKA174" s="208"/>
      <c r="EKB174" s="209"/>
      <c r="EKC174" s="207"/>
      <c r="EKD174" s="210"/>
      <c r="EKE174" s="209"/>
      <c r="EKF174" s="204"/>
      <c r="EKG174" s="204"/>
      <c r="EKH174" s="204"/>
      <c r="EKI174" s="199"/>
      <c r="EKJ174" s="167"/>
      <c r="EKK174" s="199"/>
      <c r="EKL174" s="200"/>
      <c r="EKM174" s="201"/>
      <c r="EKN174" s="202"/>
      <c r="EKO174" s="202"/>
      <c r="EKP174" s="202"/>
      <c r="EKQ174" s="202"/>
      <c r="EKR174" s="203"/>
      <c r="EKS174" s="204"/>
      <c r="EKT174" s="204"/>
      <c r="EKU174" s="204"/>
      <c r="EKV174" s="205"/>
      <c r="EKW174" s="206"/>
      <c r="EKX174" s="207"/>
      <c r="EKY174" s="207"/>
      <c r="EKZ174" s="208"/>
      <c r="ELA174" s="209"/>
      <c r="ELB174" s="207"/>
      <c r="ELC174" s="210"/>
      <c r="ELD174" s="209"/>
      <c r="ELE174" s="204"/>
      <c r="ELF174" s="204"/>
      <c r="ELG174" s="204"/>
      <c r="ELH174" s="199"/>
      <c r="ELI174" s="167"/>
      <c r="ELJ174" s="199"/>
      <c r="ELK174" s="200"/>
      <c r="ELL174" s="201"/>
      <c r="ELM174" s="202"/>
      <c r="ELN174" s="202"/>
      <c r="ELO174" s="202"/>
      <c r="ELP174" s="202"/>
      <c r="ELQ174" s="203"/>
      <c r="ELR174" s="204"/>
      <c r="ELS174" s="204"/>
      <c r="ELT174" s="204"/>
      <c r="ELU174" s="205"/>
      <c r="ELV174" s="206"/>
      <c r="ELW174" s="207"/>
      <c r="ELX174" s="207"/>
      <c r="ELY174" s="208"/>
      <c r="ELZ174" s="209"/>
      <c r="EMA174" s="207"/>
      <c r="EMB174" s="210"/>
      <c r="EMC174" s="209"/>
      <c r="EMD174" s="204"/>
      <c r="EME174" s="204"/>
      <c r="EMF174" s="204"/>
      <c r="EMG174" s="199"/>
      <c r="EMH174" s="167"/>
      <c r="EMI174" s="199"/>
      <c r="EMJ174" s="200"/>
      <c r="EMK174" s="201"/>
      <c r="EML174" s="202"/>
      <c r="EMM174" s="202"/>
      <c r="EMN174" s="202"/>
      <c r="EMO174" s="202"/>
      <c r="EMP174" s="203"/>
      <c r="EMQ174" s="204"/>
      <c r="EMR174" s="204"/>
      <c r="EMS174" s="204"/>
      <c r="EMT174" s="205"/>
      <c r="EMU174" s="206"/>
      <c r="EMV174" s="207"/>
      <c r="EMW174" s="207"/>
      <c r="EMX174" s="208"/>
      <c r="EMY174" s="209"/>
      <c r="EMZ174" s="207"/>
      <c r="ENA174" s="210"/>
      <c r="ENB174" s="209"/>
      <c r="ENC174" s="204"/>
      <c r="END174" s="204"/>
      <c r="ENE174" s="204"/>
      <c r="ENF174" s="199"/>
      <c r="ENG174" s="167"/>
      <c r="ENH174" s="199"/>
      <c r="ENI174" s="200"/>
      <c r="ENJ174" s="201"/>
      <c r="ENK174" s="202"/>
      <c r="ENL174" s="202"/>
      <c r="ENM174" s="202"/>
      <c r="ENN174" s="202"/>
      <c r="ENO174" s="203"/>
      <c r="ENP174" s="204"/>
      <c r="ENQ174" s="204"/>
      <c r="ENR174" s="204"/>
      <c r="ENS174" s="205"/>
      <c r="ENT174" s="206"/>
      <c r="ENU174" s="207"/>
      <c r="ENV174" s="207"/>
      <c r="ENW174" s="208"/>
      <c r="ENX174" s="209"/>
      <c r="ENY174" s="207"/>
      <c r="ENZ174" s="210"/>
      <c r="EOA174" s="209"/>
      <c r="EOB174" s="204"/>
      <c r="EOC174" s="204"/>
      <c r="EOD174" s="204"/>
      <c r="EOE174" s="199"/>
      <c r="EOF174" s="167"/>
      <c r="EOG174" s="199"/>
      <c r="EOH174" s="200"/>
      <c r="EOI174" s="201"/>
      <c r="EOJ174" s="202"/>
      <c r="EOK174" s="202"/>
      <c r="EOL174" s="202"/>
      <c r="EOM174" s="202"/>
      <c r="EON174" s="203"/>
      <c r="EOO174" s="204"/>
      <c r="EOP174" s="204"/>
      <c r="EOQ174" s="204"/>
      <c r="EOR174" s="205"/>
      <c r="EOS174" s="206"/>
      <c r="EOT174" s="207"/>
      <c r="EOU174" s="207"/>
      <c r="EOV174" s="208"/>
      <c r="EOW174" s="209"/>
      <c r="EOX174" s="207"/>
      <c r="EOY174" s="210"/>
      <c r="EOZ174" s="209"/>
      <c r="EPA174" s="204"/>
      <c r="EPB174" s="204"/>
      <c r="EPC174" s="204"/>
      <c r="EPD174" s="199"/>
      <c r="EPE174" s="167"/>
      <c r="EPF174" s="199"/>
      <c r="EPG174" s="200"/>
      <c r="EPH174" s="201"/>
      <c r="EPI174" s="202"/>
      <c r="EPJ174" s="202"/>
      <c r="EPK174" s="202"/>
      <c r="EPL174" s="202"/>
      <c r="EPM174" s="203"/>
      <c r="EPN174" s="204"/>
      <c r="EPO174" s="204"/>
      <c r="EPP174" s="204"/>
      <c r="EPQ174" s="205"/>
      <c r="EPR174" s="206"/>
      <c r="EPS174" s="207"/>
      <c r="EPT174" s="207"/>
      <c r="EPU174" s="208"/>
      <c r="EPV174" s="209"/>
      <c r="EPW174" s="207"/>
      <c r="EPX174" s="210"/>
      <c r="EPY174" s="209"/>
      <c r="EPZ174" s="204"/>
      <c r="EQA174" s="204"/>
      <c r="EQB174" s="204"/>
      <c r="EQC174" s="199"/>
      <c r="EQD174" s="167"/>
      <c r="EQE174" s="199"/>
      <c r="EQF174" s="200"/>
      <c r="EQG174" s="201"/>
      <c r="EQH174" s="202"/>
      <c r="EQI174" s="202"/>
      <c r="EQJ174" s="202"/>
      <c r="EQK174" s="202"/>
      <c r="EQL174" s="203"/>
      <c r="EQM174" s="204"/>
      <c r="EQN174" s="204"/>
      <c r="EQO174" s="204"/>
      <c r="EQP174" s="205"/>
      <c r="EQQ174" s="206"/>
      <c r="EQR174" s="207"/>
      <c r="EQS174" s="207"/>
      <c r="EQT174" s="208"/>
      <c r="EQU174" s="209"/>
      <c r="EQV174" s="207"/>
      <c r="EQW174" s="210"/>
      <c r="EQX174" s="209"/>
      <c r="EQY174" s="204"/>
      <c r="EQZ174" s="204"/>
      <c r="ERA174" s="204"/>
      <c r="ERB174" s="199"/>
      <c r="ERC174" s="167"/>
      <c r="ERD174" s="199"/>
      <c r="ERE174" s="200"/>
      <c r="ERF174" s="201"/>
      <c r="ERG174" s="202"/>
      <c r="ERH174" s="202"/>
      <c r="ERI174" s="202"/>
      <c r="ERJ174" s="202"/>
      <c r="ERK174" s="203"/>
      <c r="ERL174" s="204"/>
      <c r="ERM174" s="204"/>
      <c r="ERN174" s="204"/>
      <c r="ERO174" s="205"/>
      <c r="ERP174" s="206"/>
      <c r="ERQ174" s="207"/>
      <c r="ERR174" s="207"/>
      <c r="ERS174" s="208"/>
      <c r="ERT174" s="209"/>
      <c r="ERU174" s="207"/>
      <c r="ERV174" s="210"/>
      <c r="ERW174" s="209"/>
      <c r="ERX174" s="204"/>
      <c r="ERY174" s="204"/>
      <c r="ERZ174" s="204"/>
      <c r="ESA174" s="199"/>
      <c r="ESB174" s="167"/>
      <c r="ESC174" s="199"/>
      <c r="ESD174" s="200"/>
      <c r="ESE174" s="201"/>
      <c r="ESF174" s="202"/>
      <c r="ESG174" s="202"/>
      <c r="ESH174" s="202"/>
      <c r="ESI174" s="202"/>
      <c r="ESJ174" s="203"/>
      <c r="ESK174" s="204"/>
      <c r="ESL174" s="204"/>
      <c r="ESM174" s="204"/>
      <c r="ESN174" s="205"/>
      <c r="ESO174" s="206"/>
      <c r="ESP174" s="207"/>
      <c r="ESQ174" s="207"/>
      <c r="ESR174" s="208"/>
      <c r="ESS174" s="209"/>
      <c r="EST174" s="207"/>
      <c r="ESU174" s="210"/>
      <c r="ESV174" s="209"/>
      <c r="ESW174" s="204"/>
      <c r="ESX174" s="204"/>
      <c r="ESY174" s="204"/>
      <c r="ESZ174" s="199"/>
      <c r="ETA174" s="167"/>
      <c r="ETB174" s="199"/>
      <c r="ETC174" s="200"/>
      <c r="ETD174" s="201"/>
      <c r="ETE174" s="202"/>
      <c r="ETF174" s="202"/>
      <c r="ETG174" s="202"/>
      <c r="ETH174" s="202"/>
      <c r="ETI174" s="203"/>
      <c r="ETJ174" s="204"/>
      <c r="ETK174" s="204"/>
      <c r="ETL174" s="204"/>
      <c r="ETM174" s="205"/>
      <c r="ETN174" s="206"/>
      <c r="ETO174" s="207"/>
      <c r="ETP174" s="207"/>
      <c r="ETQ174" s="208"/>
      <c r="ETR174" s="209"/>
      <c r="ETS174" s="207"/>
      <c r="ETT174" s="210"/>
      <c r="ETU174" s="209"/>
      <c r="ETV174" s="204"/>
      <c r="ETW174" s="204"/>
      <c r="ETX174" s="204"/>
      <c r="ETY174" s="199"/>
      <c r="ETZ174" s="167"/>
      <c r="EUA174" s="199"/>
      <c r="EUB174" s="200"/>
      <c r="EUC174" s="201"/>
      <c r="EUD174" s="202"/>
      <c r="EUE174" s="202"/>
      <c r="EUF174" s="202"/>
      <c r="EUG174" s="202"/>
      <c r="EUH174" s="203"/>
      <c r="EUI174" s="204"/>
      <c r="EUJ174" s="204"/>
      <c r="EUK174" s="204"/>
      <c r="EUL174" s="205"/>
      <c r="EUM174" s="206"/>
      <c r="EUN174" s="207"/>
      <c r="EUO174" s="207"/>
      <c r="EUP174" s="208"/>
      <c r="EUQ174" s="209"/>
      <c r="EUR174" s="207"/>
      <c r="EUS174" s="210"/>
      <c r="EUT174" s="209"/>
      <c r="EUU174" s="204"/>
      <c r="EUV174" s="204"/>
      <c r="EUW174" s="204"/>
      <c r="EUX174" s="199"/>
      <c r="EUY174" s="167"/>
      <c r="EUZ174" s="199"/>
      <c r="EVA174" s="200"/>
      <c r="EVB174" s="201"/>
      <c r="EVC174" s="202"/>
      <c r="EVD174" s="202"/>
      <c r="EVE174" s="202"/>
      <c r="EVF174" s="202"/>
      <c r="EVG174" s="203"/>
      <c r="EVH174" s="204"/>
      <c r="EVI174" s="204"/>
      <c r="EVJ174" s="204"/>
      <c r="EVK174" s="205"/>
      <c r="EVL174" s="206"/>
      <c r="EVM174" s="207"/>
      <c r="EVN174" s="207"/>
      <c r="EVO174" s="208"/>
      <c r="EVP174" s="209"/>
      <c r="EVQ174" s="207"/>
      <c r="EVR174" s="210"/>
      <c r="EVS174" s="209"/>
      <c r="EVT174" s="204"/>
      <c r="EVU174" s="204"/>
      <c r="EVV174" s="204"/>
      <c r="EVW174" s="199"/>
      <c r="EVX174" s="167"/>
      <c r="EVY174" s="199"/>
      <c r="EVZ174" s="200"/>
      <c r="EWA174" s="201"/>
      <c r="EWB174" s="202"/>
      <c r="EWC174" s="202"/>
      <c r="EWD174" s="202"/>
      <c r="EWE174" s="202"/>
      <c r="EWF174" s="203"/>
      <c r="EWG174" s="204"/>
      <c r="EWH174" s="204"/>
      <c r="EWI174" s="204"/>
      <c r="EWJ174" s="205"/>
      <c r="EWK174" s="206"/>
      <c r="EWL174" s="207"/>
      <c r="EWM174" s="207"/>
      <c r="EWN174" s="208"/>
      <c r="EWO174" s="209"/>
      <c r="EWP174" s="207"/>
      <c r="EWQ174" s="210"/>
      <c r="EWR174" s="209"/>
      <c r="EWS174" s="204"/>
      <c r="EWT174" s="204"/>
      <c r="EWU174" s="204"/>
      <c r="EWV174" s="199"/>
      <c r="EWW174" s="167"/>
      <c r="EWX174" s="199"/>
      <c r="EWY174" s="200"/>
      <c r="EWZ174" s="201"/>
      <c r="EXA174" s="202"/>
      <c r="EXB174" s="202"/>
      <c r="EXC174" s="202"/>
      <c r="EXD174" s="202"/>
      <c r="EXE174" s="203"/>
      <c r="EXF174" s="204"/>
      <c r="EXG174" s="204"/>
      <c r="EXH174" s="204"/>
      <c r="EXI174" s="205"/>
      <c r="EXJ174" s="206"/>
      <c r="EXK174" s="207"/>
      <c r="EXL174" s="207"/>
      <c r="EXM174" s="208"/>
      <c r="EXN174" s="209"/>
      <c r="EXO174" s="207"/>
      <c r="EXP174" s="210"/>
      <c r="EXQ174" s="209"/>
      <c r="EXR174" s="204"/>
      <c r="EXS174" s="204"/>
      <c r="EXT174" s="204"/>
      <c r="EXU174" s="199"/>
      <c r="EXV174" s="167"/>
      <c r="EXW174" s="199"/>
      <c r="EXX174" s="200"/>
      <c r="EXY174" s="201"/>
      <c r="EXZ174" s="202"/>
      <c r="EYA174" s="202"/>
      <c r="EYB174" s="202"/>
      <c r="EYC174" s="202"/>
      <c r="EYD174" s="203"/>
      <c r="EYE174" s="204"/>
      <c r="EYF174" s="204"/>
      <c r="EYG174" s="204"/>
      <c r="EYH174" s="205"/>
      <c r="EYI174" s="206"/>
      <c r="EYJ174" s="207"/>
      <c r="EYK174" s="207"/>
      <c r="EYL174" s="208"/>
      <c r="EYM174" s="209"/>
      <c r="EYN174" s="207"/>
      <c r="EYO174" s="210"/>
      <c r="EYP174" s="209"/>
      <c r="EYQ174" s="204"/>
      <c r="EYR174" s="204"/>
      <c r="EYS174" s="204"/>
      <c r="EYT174" s="199"/>
      <c r="EYU174" s="167"/>
      <c r="EYV174" s="199"/>
      <c r="EYW174" s="200"/>
      <c r="EYX174" s="201"/>
      <c r="EYY174" s="202"/>
      <c r="EYZ174" s="202"/>
      <c r="EZA174" s="202"/>
      <c r="EZB174" s="202"/>
      <c r="EZC174" s="203"/>
      <c r="EZD174" s="204"/>
      <c r="EZE174" s="204"/>
      <c r="EZF174" s="204"/>
      <c r="EZG174" s="205"/>
      <c r="EZH174" s="206"/>
      <c r="EZI174" s="207"/>
      <c r="EZJ174" s="207"/>
      <c r="EZK174" s="208"/>
      <c r="EZL174" s="209"/>
      <c r="EZM174" s="207"/>
      <c r="EZN174" s="210"/>
      <c r="EZO174" s="209"/>
      <c r="EZP174" s="204"/>
      <c r="EZQ174" s="204"/>
      <c r="EZR174" s="204"/>
      <c r="EZS174" s="199"/>
      <c r="EZT174" s="167"/>
      <c r="EZU174" s="199"/>
      <c r="EZV174" s="200"/>
      <c r="EZW174" s="201"/>
      <c r="EZX174" s="202"/>
      <c r="EZY174" s="202"/>
      <c r="EZZ174" s="202"/>
      <c r="FAA174" s="202"/>
      <c r="FAB174" s="203"/>
      <c r="FAC174" s="204"/>
      <c r="FAD174" s="204"/>
      <c r="FAE174" s="204"/>
      <c r="FAF174" s="205"/>
      <c r="FAG174" s="206"/>
      <c r="FAH174" s="207"/>
      <c r="FAI174" s="207"/>
      <c r="FAJ174" s="208"/>
      <c r="FAK174" s="209"/>
      <c r="FAL174" s="207"/>
      <c r="FAM174" s="210"/>
      <c r="FAN174" s="209"/>
      <c r="FAO174" s="204"/>
      <c r="FAP174" s="204"/>
      <c r="FAQ174" s="204"/>
      <c r="FAR174" s="199"/>
      <c r="FAS174" s="167"/>
      <c r="FAT174" s="199"/>
      <c r="FAU174" s="200"/>
      <c r="FAV174" s="201"/>
      <c r="FAW174" s="202"/>
      <c r="FAX174" s="202"/>
      <c r="FAY174" s="202"/>
      <c r="FAZ174" s="202"/>
      <c r="FBA174" s="203"/>
      <c r="FBB174" s="204"/>
      <c r="FBC174" s="204"/>
      <c r="FBD174" s="204"/>
      <c r="FBE174" s="205"/>
      <c r="FBF174" s="206"/>
      <c r="FBG174" s="207"/>
      <c r="FBH174" s="207"/>
      <c r="FBI174" s="208"/>
      <c r="FBJ174" s="209"/>
      <c r="FBK174" s="207"/>
      <c r="FBL174" s="210"/>
      <c r="FBM174" s="209"/>
      <c r="FBN174" s="204"/>
      <c r="FBO174" s="204"/>
      <c r="FBP174" s="204"/>
      <c r="FBQ174" s="199"/>
      <c r="FBR174" s="167"/>
      <c r="FBS174" s="199"/>
      <c r="FBT174" s="200"/>
      <c r="FBU174" s="201"/>
      <c r="FBV174" s="202"/>
      <c r="FBW174" s="202"/>
      <c r="FBX174" s="202"/>
      <c r="FBY174" s="202"/>
      <c r="FBZ174" s="203"/>
      <c r="FCA174" s="204"/>
      <c r="FCB174" s="204"/>
      <c r="FCC174" s="204"/>
      <c r="FCD174" s="205"/>
      <c r="FCE174" s="206"/>
      <c r="FCF174" s="207"/>
      <c r="FCG174" s="207"/>
      <c r="FCH174" s="208"/>
      <c r="FCI174" s="209"/>
      <c r="FCJ174" s="207"/>
      <c r="FCK174" s="210"/>
      <c r="FCL174" s="209"/>
      <c r="FCM174" s="204"/>
      <c r="FCN174" s="204"/>
      <c r="FCO174" s="204"/>
      <c r="FCP174" s="199"/>
      <c r="FCQ174" s="167"/>
      <c r="FCR174" s="199"/>
      <c r="FCS174" s="200"/>
      <c r="FCT174" s="201"/>
      <c r="FCU174" s="202"/>
      <c r="FCV174" s="202"/>
      <c r="FCW174" s="202"/>
      <c r="FCX174" s="202"/>
      <c r="FCY174" s="203"/>
      <c r="FCZ174" s="204"/>
      <c r="FDA174" s="204"/>
      <c r="FDB174" s="204"/>
      <c r="FDC174" s="205"/>
      <c r="FDD174" s="206"/>
      <c r="FDE174" s="207"/>
      <c r="FDF174" s="207"/>
      <c r="FDG174" s="208"/>
      <c r="FDH174" s="209"/>
      <c r="FDI174" s="207"/>
      <c r="FDJ174" s="210"/>
      <c r="FDK174" s="209"/>
      <c r="FDL174" s="204"/>
      <c r="FDM174" s="204"/>
      <c r="FDN174" s="204"/>
      <c r="FDO174" s="199"/>
      <c r="FDP174" s="167"/>
      <c r="FDQ174" s="199"/>
      <c r="FDR174" s="200"/>
      <c r="FDS174" s="201"/>
      <c r="FDT174" s="202"/>
      <c r="FDU174" s="202"/>
      <c r="FDV174" s="202"/>
      <c r="FDW174" s="202"/>
      <c r="FDX174" s="203"/>
      <c r="FDY174" s="204"/>
      <c r="FDZ174" s="204"/>
      <c r="FEA174" s="204"/>
      <c r="FEB174" s="205"/>
      <c r="FEC174" s="206"/>
      <c r="FED174" s="207"/>
      <c r="FEE174" s="207"/>
      <c r="FEF174" s="208"/>
      <c r="FEG174" s="209"/>
      <c r="FEH174" s="207"/>
      <c r="FEI174" s="210"/>
      <c r="FEJ174" s="209"/>
      <c r="FEK174" s="204"/>
      <c r="FEL174" s="204"/>
      <c r="FEM174" s="204"/>
      <c r="FEN174" s="199"/>
      <c r="FEO174" s="167"/>
      <c r="FEP174" s="199"/>
      <c r="FEQ174" s="200"/>
      <c r="FER174" s="201"/>
      <c r="FES174" s="202"/>
      <c r="FET174" s="202"/>
      <c r="FEU174" s="202"/>
      <c r="FEV174" s="202"/>
      <c r="FEW174" s="203"/>
      <c r="FEX174" s="204"/>
      <c r="FEY174" s="204"/>
      <c r="FEZ174" s="204"/>
      <c r="FFA174" s="205"/>
      <c r="FFB174" s="206"/>
      <c r="FFC174" s="207"/>
      <c r="FFD174" s="207"/>
      <c r="FFE174" s="208"/>
      <c r="FFF174" s="209"/>
      <c r="FFG174" s="207"/>
      <c r="FFH174" s="210"/>
      <c r="FFI174" s="209"/>
      <c r="FFJ174" s="204"/>
      <c r="FFK174" s="204"/>
      <c r="FFL174" s="204"/>
      <c r="FFM174" s="199"/>
      <c r="FFN174" s="167"/>
      <c r="FFO174" s="199"/>
      <c r="FFP174" s="200"/>
      <c r="FFQ174" s="201"/>
      <c r="FFR174" s="202"/>
      <c r="FFS174" s="202"/>
      <c r="FFT174" s="202"/>
      <c r="FFU174" s="202"/>
      <c r="FFV174" s="203"/>
      <c r="FFW174" s="204"/>
      <c r="FFX174" s="204"/>
      <c r="FFY174" s="204"/>
      <c r="FFZ174" s="205"/>
      <c r="FGA174" s="206"/>
      <c r="FGB174" s="207"/>
      <c r="FGC174" s="207"/>
      <c r="FGD174" s="208"/>
      <c r="FGE174" s="209"/>
      <c r="FGF174" s="207"/>
      <c r="FGG174" s="210"/>
      <c r="FGH174" s="209"/>
      <c r="FGI174" s="204"/>
      <c r="FGJ174" s="204"/>
      <c r="FGK174" s="204"/>
      <c r="FGL174" s="199"/>
      <c r="FGM174" s="167"/>
      <c r="FGN174" s="199"/>
      <c r="FGO174" s="200"/>
      <c r="FGP174" s="201"/>
      <c r="FGQ174" s="202"/>
      <c r="FGR174" s="202"/>
      <c r="FGS174" s="202"/>
      <c r="FGT174" s="202"/>
      <c r="FGU174" s="203"/>
      <c r="FGV174" s="204"/>
      <c r="FGW174" s="204"/>
      <c r="FGX174" s="204"/>
      <c r="FGY174" s="205"/>
      <c r="FGZ174" s="206"/>
      <c r="FHA174" s="207"/>
      <c r="FHB174" s="207"/>
      <c r="FHC174" s="208"/>
      <c r="FHD174" s="209"/>
      <c r="FHE174" s="207"/>
      <c r="FHF174" s="210"/>
      <c r="FHG174" s="209"/>
      <c r="FHH174" s="204"/>
      <c r="FHI174" s="204"/>
      <c r="FHJ174" s="204"/>
      <c r="FHK174" s="199"/>
      <c r="FHL174" s="167"/>
      <c r="FHM174" s="199"/>
      <c r="FHN174" s="200"/>
      <c r="FHO174" s="201"/>
      <c r="FHP174" s="202"/>
      <c r="FHQ174" s="202"/>
      <c r="FHR174" s="202"/>
      <c r="FHS174" s="202"/>
      <c r="FHT174" s="203"/>
      <c r="FHU174" s="204"/>
      <c r="FHV174" s="204"/>
      <c r="FHW174" s="204"/>
      <c r="FHX174" s="205"/>
      <c r="FHY174" s="206"/>
      <c r="FHZ174" s="207"/>
      <c r="FIA174" s="207"/>
      <c r="FIB174" s="208"/>
      <c r="FIC174" s="209"/>
      <c r="FID174" s="207"/>
      <c r="FIE174" s="210"/>
      <c r="FIF174" s="209"/>
      <c r="FIG174" s="204"/>
      <c r="FIH174" s="204"/>
      <c r="FII174" s="204"/>
      <c r="FIJ174" s="199"/>
      <c r="FIK174" s="167"/>
      <c r="FIL174" s="199"/>
      <c r="FIM174" s="200"/>
      <c r="FIN174" s="201"/>
      <c r="FIO174" s="202"/>
      <c r="FIP174" s="202"/>
      <c r="FIQ174" s="202"/>
      <c r="FIR174" s="202"/>
      <c r="FIS174" s="203"/>
      <c r="FIT174" s="204"/>
      <c r="FIU174" s="204"/>
      <c r="FIV174" s="204"/>
      <c r="FIW174" s="205"/>
      <c r="FIX174" s="206"/>
      <c r="FIY174" s="207"/>
      <c r="FIZ174" s="207"/>
      <c r="FJA174" s="208"/>
      <c r="FJB174" s="209"/>
      <c r="FJC174" s="207"/>
      <c r="FJD174" s="210"/>
      <c r="FJE174" s="209"/>
      <c r="FJF174" s="204"/>
      <c r="FJG174" s="204"/>
      <c r="FJH174" s="204"/>
      <c r="FJI174" s="199"/>
      <c r="FJJ174" s="167"/>
      <c r="FJK174" s="199"/>
      <c r="FJL174" s="200"/>
      <c r="FJM174" s="201"/>
      <c r="FJN174" s="202"/>
      <c r="FJO174" s="202"/>
      <c r="FJP174" s="202"/>
      <c r="FJQ174" s="202"/>
      <c r="FJR174" s="203"/>
      <c r="FJS174" s="204"/>
      <c r="FJT174" s="204"/>
      <c r="FJU174" s="204"/>
      <c r="FJV174" s="205"/>
      <c r="FJW174" s="206"/>
      <c r="FJX174" s="207"/>
      <c r="FJY174" s="207"/>
      <c r="FJZ174" s="208"/>
      <c r="FKA174" s="209"/>
      <c r="FKB174" s="207"/>
      <c r="FKC174" s="210"/>
      <c r="FKD174" s="209"/>
      <c r="FKE174" s="204"/>
      <c r="FKF174" s="204"/>
      <c r="FKG174" s="204"/>
      <c r="FKH174" s="199"/>
      <c r="FKI174" s="167"/>
      <c r="FKJ174" s="199"/>
      <c r="FKK174" s="200"/>
      <c r="FKL174" s="201"/>
      <c r="FKM174" s="202"/>
      <c r="FKN174" s="202"/>
      <c r="FKO174" s="202"/>
      <c r="FKP174" s="202"/>
      <c r="FKQ174" s="203"/>
      <c r="FKR174" s="204"/>
      <c r="FKS174" s="204"/>
      <c r="FKT174" s="204"/>
      <c r="FKU174" s="205"/>
      <c r="FKV174" s="206"/>
      <c r="FKW174" s="207"/>
      <c r="FKX174" s="207"/>
      <c r="FKY174" s="208"/>
      <c r="FKZ174" s="209"/>
      <c r="FLA174" s="207"/>
      <c r="FLB174" s="210"/>
      <c r="FLC174" s="209"/>
      <c r="FLD174" s="204"/>
      <c r="FLE174" s="204"/>
      <c r="FLF174" s="204"/>
      <c r="FLG174" s="199"/>
      <c r="FLH174" s="167"/>
      <c r="FLI174" s="199"/>
      <c r="FLJ174" s="200"/>
      <c r="FLK174" s="201"/>
      <c r="FLL174" s="202"/>
      <c r="FLM174" s="202"/>
      <c r="FLN174" s="202"/>
      <c r="FLO174" s="202"/>
      <c r="FLP174" s="203"/>
      <c r="FLQ174" s="204"/>
      <c r="FLR174" s="204"/>
      <c r="FLS174" s="204"/>
      <c r="FLT174" s="205"/>
      <c r="FLU174" s="206"/>
      <c r="FLV174" s="207"/>
      <c r="FLW174" s="207"/>
      <c r="FLX174" s="208"/>
      <c r="FLY174" s="209"/>
      <c r="FLZ174" s="207"/>
      <c r="FMA174" s="210"/>
      <c r="FMB174" s="209"/>
      <c r="FMC174" s="204"/>
      <c r="FMD174" s="204"/>
      <c r="FME174" s="204"/>
      <c r="FMF174" s="199"/>
      <c r="FMG174" s="167"/>
      <c r="FMH174" s="199"/>
      <c r="FMI174" s="200"/>
      <c r="FMJ174" s="201"/>
      <c r="FMK174" s="202"/>
      <c r="FML174" s="202"/>
      <c r="FMM174" s="202"/>
      <c r="FMN174" s="202"/>
      <c r="FMO174" s="203"/>
      <c r="FMP174" s="204"/>
      <c r="FMQ174" s="204"/>
      <c r="FMR174" s="204"/>
      <c r="FMS174" s="205"/>
      <c r="FMT174" s="206"/>
      <c r="FMU174" s="207"/>
      <c r="FMV174" s="207"/>
      <c r="FMW174" s="208"/>
      <c r="FMX174" s="209"/>
      <c r="FMY174" s="207"/>
      <c r="FMZ174" s="210"/>
      <c r="FNA174" s="209"/>
      <c r="FNB174" s="204"/>
      <c r="FNC174" s="204"/>
      <c r="FND174" s="204"/>
      <c r="FNE174" s="199"/>
      <c r="FNF174" s="167"/>
      <c r="FNG174" s="199"/>
      <c r="FNH174" s="200"/>
      <c r="FNI174" s="201"/>
      <c r="FNJ174" s="202"/>
      <c r="FNK174" s="202"/>
      <c r="FNL174" s="202"/>
      <c r="FNM174" s="202"/>
      <c r="FNN174" s="203"/>
      <c r="FNO174" s="204"/>
      <c r="FNP174" s="204"/>
      <c r="FNQ174" s="204"/>
      <c r="FNR174" s="205"/>
      <c r="FNS174" s="206"/>
      <c r="FNT174" s="207"/>
      <c r="FNU174" s="207"/>
      <c r="FNV174" s="208"/>
      <c r="FNW174" s="209"/>
      <c r="FNX174" s="207"/>
      <c r="FNY174" s="210"/>
      <c r="FNZ174" s="209"/>
      <c r="FOA174" s="204"/>
      <c r="FOB174" s="204"/>
      <c r="FOC174" s="204"/>
      <c r="FOD174" s="199"/>
      <c r="FOE174" s="167"/>
      <c r="FOF174" s="199"/>
      <c r="FOG174" s="200"/>
      <c r="FOH174" s="201"/>
      <c r="FOI174" s="202"/>
      <c r="FOJ174" s="202"/>
      <c r="FOK174" s="202"/>
      <c r="FOL174" s="202"/>
      <c r="FOM174" s="203"/>
      <c r="FON174" s="204"/>
      <c r="FOO174" s="204"/>
      <c r="FOP174" s="204"/>
      <c r="FOQ174" s="205"/>
      <c r="FOR174" s="206"/>
      <c r="FOS174" s="207"/>
      <c r="FOT174" s="207"/>
      <c r="FOU174" s="208"/>
      <c r="FOV174" s="209"/>
      <c r="FOW174" s="207"/>
      <c r="FOX174" s="210"/>
      <c r="FOY174" s="209"/>
      <c r="FOZ174" s="204"/>
      <c r="FPA174" s="204"/>
      <c r="FPB174" s="204"/>
      <c r="FPC174" s="199"/>
      <c r="FPD174" s="167"/>
      <c r="FPE174" s="199"/>
      <c r="FPF174" s="200"/>
      <c r="FPG174" s="201"/>
      <c r="FPH174" s="202"/>
      <c r="FPI174" s="202"/>
      <c r="FPJ174" s="202"/>
      <c r="FPK174" s="202"/>
      <c r="FPL174" s="203"/>
      <c r="FPM174" s="204"/>
      <c r="FPN174" s="204"/>
      <c r="FPO174" s="204"/>
      <c r="FPP174" s="205"/>
      <c r="FPQ174" s="206"/>
      <c r="FPR174" s="207"/>
      <c r="FPS174" s="207"/>
      <c r="FPT174" s="208"/>
      <c r="FPU174" s="209"/>
      <c r="FPV174" s="207"/>
      <c r="FPW174" s="210"/>
      <c r="FPX174" s="209"/>
      <c r="FPY174" s="204"/>
      <c r="FPZ174" s="204"/>
      <c r="FQA174" s="204"/>
      <c r="FQB174" s="199"/>
      <c r="FQC174" s="167"/>
      <c r="FQD174" s="199"/>
      <c r="FQE174" s="200"/>
      <c r="FQF174" s="201"/>
      <c r="FQG174" s="202"/>
      <c r="FQH174" s="202"/>
      <c r="FQI174" s="202"/>
      <c r="FQJ174" s="202"/>
      <c r="FQK174" s="203"/>
      <c r="FQL174" s="204"/>
      <c r="FQM174" s="204"/>
      <c r="FQN174" s="204"/>
      <c r="FQO174" s="205"/>
      <c r="FQP174" s="206"/>
      <c r="FQQ174" s="207"/>
      <c r="FQR174" s="207"/>
      <c r="FQS174" s="208"/>
      <c r="FQT174" s="209"/>
      <c r="FQU174" s="207"/>
      <c r="FQV174" s="210"/>
      <c r="FQW174" s="209"/>
      <c r="FQX174" s="204"/>
      <c r="FQY174" s="204"/>
      <c r="FQZ174" s="204"/>
      <c r="FRA174" s="199"/>
      <c r="FRB174" s="167"/>
      <c r="FRC174" s="199"/>
      <c r="FRD174" s="200"/>
      <c r="FRE174" s="201"/>
      <c r="FRF174" s="202"/>
      <c r="FRG174" s="202"/>
      <c r="FRH174" s="202"/>
      <c r="FRI174" s="202"/>
      <c r="FRJ174" s="203"/>
      <c r="FRK174" s="204"/>
      <c r="FRL174" s="204"/>
      <c r="FRM174" s="204"/>
      <c r="FRN174" s="205"/>
      <c r="FRO174" s="206"/>
      <c r="FRP174" s="207"/>
      <c r="FRQ174" s="207"/>
      <c r="FRR174" s="208"/>
      <c r="FRS174" s="209"/>
      <c r="FRT174" s="207"/>
      <c r="FRU174" s="210"/>
      <c r="FRV174" s="209"/>
      <c r="FRW174" s="204"/>
      <c r="FRX174" s="204"/>
      <c r="FRY174" s="204"/>
      <c r="FRZ174" s="199"/>
      <c r="FSA174" s="167"/>
      <c r="FSB174" s="199"/>
      <c r="FSC174" s="200"/>
      <c r="FSD174" s="201"/>
      <c r="FSE174" s="202"/>
      <c r="FSF174" s="202"/>
      <c r="FSG174" s="202"/>
      <c r="FSH174" s="202"/>
      <c r="FSI174" s="203"/>
      <c r="FSJ174" s="204"/>
      <c r="FSK174" s="204"/>
      <c r="FSL174" s="204"/>
      <c r="FSM174" s="205"/>
      <c r="FSN174" s="206"/>
      <c r="FSO174" s="207"/>
      <c r="FSP174" s="207"/>
      <c r="FSQ174" s="208"/>
      <c r="FSR174" s="209"/>
      <c r="FSS174" s="207"/>
      <c r="FST174" s="210"/>
      <c r="FSU174" s="209"/>
      <c r="FSV174" s="204"/>
      <c r="FSW174" s="204"/>
      <c r="FSX174" s="204"/>
      <c r="FSY174" s="199"/>
      <c r="FSZ174" s="167"/>
      <c r="FTA174" s="199"/>
      <c r="FTB174" s="200"/>
      <c r="FTC174" s="201"/>
      <c r="FTD174" s="202"/>
      <c r="FTE174" s="202"/>
      <c r="FTF174" s="202"/>
      <c r="FTG174" s="202"/>
      <c r="FTH174" s="203"/>
      <c r="FTI174" s="204"/>
      <c r="FTJ174" s="204"/>
      <c r="FTK174" s="204"/>
      <c r="FTL174" s="205"/>
      <c r="FTM174" s="206"/>
      <c r="FTN174" s="207"/>
      <c r="FTO174" s="207"/>
      <c r="FTP174" s="208"/>
      <c r="FTQ174" s="209"/>
      <c r="FTR174" s="207"/>
      <c r="FTS174" s="210"/>
      <c r="FTT174" s="209"/>
      <c r="FTU174" s="204"/>
      <c r="FTV174" s="204"/>
      <c r="FTW174" s="204"/>
      <c r="FTX174" s="199"/>
      <c r="FTY174" s="167"/>
      <c r="FTZ174" s="199"/>
      <c r="FUA174" s="200"/>
      <c r="FUB174" s="201"/>
      <c r="FUC174" s="202"/>
      <c r="FUD174" s="202"/>
      <c r="FUE174" s="202"/>
      <c r="FUF174" s="202"/>
      <c r="FUG174" s="203"/>
      <c r="FUH174" s="204"/>
      <c r="FUI174" s="204"/>
      <c r="FUJ174" s="204"/>
      <c r="FUK174" s="205"/>
      <c r="FUL174" s="206"/>
      <c r="FUM174" s="207"/>
      <c r="FUN174" s="207"/>
      <c r="FUO174" s="208"/>
      <c r="FUP174" s="209"/>
      <c r="FUQ174" s="207"/>
      <c r="FUR174" s="210"/>
      <c r="FUS174" s="209"/>
      <c r="FUT174" s="204"/>
      <c r="FUU174" s="204"/>
      <c r="FUV174" s="204"/>
      <c r="FUW174" s="199"/>
      <c r="FUX174" s="167"/>
      <c r="FUY174" s="199"/>
      <c r="FUZ174" s="200"/>
      <c r="FVA174" s="201"/>
      <c r="FVB174" s="202"/>
      <c r="FVC174" s="202"/>
      <c r="FVD174" s="202"/>
      <c r="FVE174" s="202"/>
      <c r="FVF174" s="203"/>
      <c r="FVG174" s="204"/>
      <c r="FVH174" s="204"/>
      <c r="FVI174" s="204"/>
      <c r="FVJ174" s="205"/>
      <c r="FVK174" s="206"/>
      <c r="FVL174" s="207"/>
      <c r="FVM174" s="207"/>
      <c r="FVN174" s="208"/>
      <c r="FVO174" s="209"/>
      <c r="FVP174" s="207"/>
      <c r="FVQ174" s="210"/>
      <c r="FVR174" s="209"/>
      <c r="FVS174" s="204"/>
      <c r="FVT174" s="204"/>
      <c r="FVU174" s="204"/>
      <c r="FVV174" s="199"/>
      <c r="FVW174" s="167"/>
      <c r="FVX174" s="199"/>
      <c r="FVY174" s="200"/>
      <c r="FVZ174" s="201"/>
      <c r="FWA174" s="202"/>
      <c r="FWB174" s="202"/>
      <c r="FWC174" s="202"/>
      <c r="FWD174" s="202"/>
      <c r="FWE174" s="203"/>
      <c r="FWF174" s="204"/>
      <c r="FWG174" s="204"/>
      <c r="FWH174" s="204"/>
      <c r="FWI174" s="205"/>
      <c r="FWJ174" s="206"/>
      <c r="FWK174" s="207"/>
      <c r="FWL174" s="207"/>
      <c r="FWM174" s="208"/>
      <c r="FWN174" s="209"/>
      <c r="FWO174" s="207"/>
      <c r="FWP174" s="210"/>
      <c r="FWQ174" s="209"/>
      <c r="FWR174" s="204"/>
      <c r="FWS174" s="204"/>
      <c r="FWT174" s="204"/>
      <c r="FWU174" s="199"/>
      <c r="FWV174" s="167"/>
      <c r="FWW174" s="199"/>
      <c r="FWX174" s="200"/>
      <c r="FWY174" s="201"/>
      <c r="FWZ174" s="202"/>
      <c r="FXA174" s="202"/>
      <c r="FXB174" s="202"/>
      <c r="FXC174" s="202"/>
      <c r="FXD174" s="203"/>
      <c r="FXE174" s="204"/>
      <c r="FXF174" s="204"/>
      <c r="FXG174" s="204"/>
      <c r="FXH174" s="205"/>
      <c r="FXI174" s="206"/>
      <c r="FXJ174" s="207"/>
      <c r="FXK174" s="207"/>
      <c r="FXL174" s="208"/>
      <c r="FXM174" s="209"/>
      <c r="FXN174" s="207"/>
      <c r="FXO174" s="210"/>
      <c r="FXP174" s="209"/>
      <c r="FXQ174" s="204"/>
      <c r="FXR174" s="204"/>
      <c r="FXS174" s="204"/>
      <c r="FXT174" s="199"/>
      <c r="FXU174" s="167"/>
      <c r="FXV174" s="199"/>
      <c r="FXW174" s="200"/>
      <c r="FXX174" s="201"/>
      <c r="FXY174" s="202"/>
      <c r="FXZ174" s="202"/>
      <c r="FYA174" s="202"/>
      <c r="FYB174" s="202"/>
      <c r="FYC174" s="203"/>
      <c r="FYD174" s="204"/>
      <c r="FYE174" s="204"/>
      <c r="FYF174" s="204"/>
      <c r="FYG174" s="205"/>
      <c r="FYH174" s="206"/>
      <c r="FYI174" s="207"/>
      <c r="FYJ174" s="207"/>
      <c r="FYK174" s="208"/>
      <c r="FYL174" s="209"/>
      <c r="FYM174" s="207"/>
      <c r="FYN174" s="210"/>
      <c r="FYO174" s="209"/>
      <c r="FYP174" s="204"/>
      <c r="FYQ174" s="204"/>
      <c r="FYR174" s="204"/>
      <c r="FYS174" s="199"/>
      <c r="FYT174" s="167"/>
      <c r="FYU174" s="199"/>
      <c r="FYV174" s="200"/>
      <c r="FYW174" s="201"/>
      <c r="FYX174" s="202"/>
      <c r="FYY174" s="202"/>
      <c r="FYZ174" s="202"/>
      <c r="FZA174" s="202"/>
      <c r="FZB174" s="203"/>
      <c r="FZC174" s="204"/>
      <c r="FZD174" s="204"/>
      <c r="FZE174" s="204"/>
      <c r="FZF174" s="205"/>
      <c r="FZG174" s="206"/>
      <c r="FZH174" s="207"/>
      <c r="FZI174" s="207"/>
      <c r="FZJ174" s="208"/>
      <c r="FZK174" s="209"/>
      <c r="FZL174" s="207"/>
      <c r="FZM174" s="210"/>
      <c r="FZN174" s="209"/>
      <c r="FZO174" s="204"/>
      <c r="FZP174" s="204"/>
      <c r="FZQ174" s="204"/>
      <c r="FZR174" s="199"/>
      <c r="FZS174" s="167"/>
      <c r="FZT174" s="199"/>
      <c r="FZU174" s="200"/>
      <c r="FZV174" s="201"/>
      <c r="FZW174" s="202"/>
      <c r="FZX174" s="202"/>
      <c r="FZY174" s="202"/>
      <c r="FZZ174" s="202"/>
      <c r="GAA174" s="203"/>
      <c r="GAB174" s="204"/>
      <c r="GAC174" s="204"/>
      <c r="GAD174" s="204"/>
      <c r="GAE174" s="205"/>
      <c r="GAF174" s="206"/>
      <c r="GAG174" s="207"/>
      <c r="GAH174" s="207"/>
      <c r="GAI174" s="208"/>
      <c r="GAJ174" s="209"/>
      <c r="GAK174" s="207"/>
      <c r="GAL174" s="210"/>
      <c r="GAM174" s="209"/>
      <c r="GAN174" s="204"/>
      <c r="GAO174" s="204"/>
      <c r="GAP174" s="204"/>
      <c r="GAQ174" s="199"/>
      <c r="GAR174" s="167"/>
      <c r="GAS174" s="199"/>
      <c r="GAT174" s="200"/>
      <c r="GAU174" s="201"/>
      <c r="GAV174" s="202"/>
      <c r="GAW174" s="202"/>
      <c r="GAX174" s="202"/>
      <c r="GAY174" s="202"/>
      <c r="GAZ174" s="203"/>
      <c r="GBA174" s="204"/>
      <c r="GBB174" s="204"/>
      <c r="GBC174" s="204"/>
      <c r="GBD174" s="205"/>
      <c r="GBE174" s="206"/>
      <c r="GBF174" s="207"/>
      <c r="GBG174" s="207"/>
      <c r="GBH174" s="208"/>
      <c r="GBI174" s="209"/>
      <c r="GBJ174" s="207"/>
      <c r="GBK174" s="210"/>
      <c r="GBL174" s="209"/>
      <c r="GBM174" s="204"/>
      <c r="GBN174" s="204"/>
      <c r="GBO174" s="204"/>
      <c r="GBP174" s="199"/>
      <c r="GBQ174" s="167"/>
      <c r="GBR174" s="199"/>
      <c r="GBS174" s="200"/>
      <c r="GBT174" s="201"/>
      <c r="GBU174" s="202"/>
      <c r="GBV174" s="202"/>
      <c r="GBW174" s="202"/>
      <c r="GBX174" s="202"/>
      <c r="GBY174" s="203"/>
      <c r="GBZ174" s="204"/>
      <c r="GCA174" s="204"/>
      <c r="GCB174" s="204"/>
      <c r="GCC174" s="205"/>
      <c r="GCD174" s="206"/>
      <c r="GCE174" s="207"/>
      <c r="GCF174" s="207"/>
      <c r="GCG174" s="208"/>
      <c r="GCH174" s="209"/>
      <c r="GCI174" s="207"/>
      <c r="GCJ174" s="210"/>
      <c r="GCK174" s="209"/>
      <c r="GCL174" s="204"/>
      <c r="GCM174" s="204"/>
      <c r="GCN174" s="204"/>
      <c r="GCO174" s="199"/>
      <c r="GCP174" s="167"/>
      <c r="GCQ174" s="199"/>
      <c r="GCR174" s="200"/>
      <c r="GCS174" s="201"/>
      <c r="GCT174" s="202"/>
      <c r="GCU174" s="202"/>
      <c r="GCV174" s="202"/>
      <c r="GCW174" s="202"/>
      <c r="GCX174" s="203"/>
      <c r="GCY174" s="204"/>
      <c r="GCZ174" s="204"/>
      <c r="GDA174" s="204"/>
      <c r="GDB174" s="205"/>
      <c r="GDC174" s="206"/>
      <c r="GDD174" s="207"/>
      <c r="GDE174" s="207"/>
      <c r="GDF174" s="208"/>
      <c r="GDG174" s="209"/>
      <c r="GDH174" s="207"/>
      <c r="GDI174" s="210"/>
      <c r="GDJ174" s="209"/>
      <c r="GDK174" s="204"/>
      <c r="GDL174" s="204"/>
      <c r="GDM174" s="204"/>
      <c r="GDN174" s="199"/>
      <c r="GDO174" s="167"/>
      <c r="GDP174" s="199"/>
      <c r="GDQ174" s="200"/>
      <c r="GDR174" s="201"/>
      <c r="GDS174" s="202"/>
      <c r="GDT174" s="202"/>
      <c r="GDU174" s="202"/>
      <c r="GDV174" s="202"/>
      <c r="GDW174" s="203"/>
      <c r="GDX174" s="204"/>
      <c r="GDY174" s="204"/>
      <c r="GDZ174" s="204"/>
      <c r="GEA174" s="205"/>
      <c r="GEB174" s="206"/>
      <c r="GEC174" s="207"/>
      <c r="GED174" s="207"/>
      <c r="GEE174" s="208"/>
      <c r="GEF174" s="209"/>
      <c r="GEG174" s="207"/>
      <c r="GEH174" s="210"/>
      <c r="GEI174" s="209"/>
      <c r="GEJ174" s="204"/>
      <c r="GEK174" s="204"/>
      <c r="GEL174" s="204"/>
      <c r="GEM174" s="199"/>
      <c r="GEN174" s="167"/>
      <c r="GEO174" s="199"/>
      <c r="GEP174" s="200"/>
      <c r="GEQ174" s="201"/>
      <c r="GER174" s="202"/>
      <c r="GES174" s="202"/>
      <c r="GET174" s="202"/>
      <c r="GEU174" s="202"/>
      <c r="GEV174" s="203"/>
      <c r="GEW174" s="204"/>
      <c r="GEX174" s="204"/>
      <c r="GEY174" s="204"/>
      <c r="GEZ174" s="205"/>
      <c r="GFA174" s="206"/>
      <c r="GFB174" s="207"/>
      <c r="GFC174" s="207"/>
      <c r="GFD174" s="208"/>
      <c r="GFE174" s="209"/>
      <c r="GFF174" s="207"/>
      <c r="GFG174" s="210"/>
      <c r="GFH174" s="209"/>
      <c r="GFI174" s="204"/>
      <c r="GFJ174" s="204"/>
      <c r="GFK174" s="204"/>
      <c r="GFL174" s="199"/>
      <c r="GFM174" s="167"/>
      <c r="GFN174" s="199"/>
      <c r="GFO174" s="200"/>
      <c r="GFP174" s="201"/>
      <c r="GFQ174" s="202"/>
      <c r="GFR174" s="202"/>
      <c r="GFS174" s="202"/>
      <c r="GFT174" s="202"/>
      <c r="GFU174" s="203"/>
      <c r="GFV174" s="204"/>
      <c r="GFW174" s="204"/>
      <c r="GFX174" s="204"/>
      <c r="GFY174" s="205"/>
      <c r="GFZ174" s="206"/>
      <c r="GGA174" s="207"/>
      <c r="GGB174" s="207"/>
      <c r="GGC174" s="208"/>
      <c r="GGD174" s="209"/>
      <c r="GGE174" s="207"/>
      <c r="GGF174" s="210"/>
      <c r="GGG174" s="209"/>
      <c r="GGH174" s="204"/>
      <c r="GGI174" s="204"/>
      <c r="GGJ174" s="204"/>
      <c r="GGK174" s="199"/>
      <c r="GGL174" s="167"/>
      <c r="GGM174" s="199"/>
      <c r="GGN174" s="200"/>
      <c r="GGO174" s="201"/>
      <c r="GGP174" s="202"/>
      <c r="GGQ174" s="202"/>
      <c r="GGR174" s="202"/>
      <c r="GGS174" s="202"/>
      <c r="GGT174" s="203"/>
      <c r="GGU174" s="204"/>
      <c r="GGV174" s="204"/>
      <c r="GGW174" s="204"/>
      <c r="GGX174" s="205"/>
      <c r="GGY174" s="206"/>
      <c r="GGZ174" s="207"/>
      <c r="GHA174" s="207"/>
      <c r="GHB174" s="208"/>
      <c r="GHC174" s="209"/>
      <c r="GHD174" s="207"/>
      <c r="GHE174" s="210"/>
      <c r="GHF174" s="209"/>
      <c r="GHG174" s="204"/>
      <c r="GHH174" s="204"/>
      <c r="GHI174" s="204"/>
      <c r="GHJ174" s="199"/>
      <c r="GHK174" s="167"/>
      <c r="GHL174" s="199"/>
      <c r="GHM174" s="200"/>
      <c r="GHN174" s="201"/>
      <c r="GHO174" s="202"/>
      <c r="GHP174" s="202"/>
      <c r="GHQ174" s="202"/>
      <c r="GHR174" s="202"/>
      <c r="GHS174" s="203"/>
      <c r="GHT174" s="204"/>
      <c r="GHU174" s="204"/>
      <c r="GHV174" s="204"/>
      <c r="GHW174" s="205"/>
      <c r="GHX174" s="206"/>
      <c r="GHY174" s="207"/>
      <c r="GHZ174" s="207"/>
      <c r="GIA174" s="208"/>
      <c r="GIB174" s="209"/>
      <c r="GIC174" s="207"/>
      <c r="GID174" s="210"/>
      <c r="GIE174" s="209"/>
      <c r="GIF174" s="204"/>
      <c r="GIG174" s="204"/>
      <c r="GIH174" s="204"/>
      <c r="GII174" s="199"/>
      <c r="GIJ174" s="167"/>
      <c r="GIK174" s="199"/>
      <c r="GIL174" s="200"/>
      <c r="GIM174" s="201"/>
      <c r="GIN174" s="202"/>
      <c r="GIO174" s="202"/>
      <c r="GIP174" s="202"/>
      <c r="GIQ174" s="202"/>
      <c r="GIR174" s="203"/>
      <c r="GIS174" s="204"/>
      <c r="GIT174" s="204"/>
      <c r="GIU174" s="204"/>
      <c r="GIV174" s="205"/>
      <c r="GIW174" s="206"/>
      <c r="GIX174" s="207"/>
      <c r="GIY174" s="207"/>
      <c r="GIZ174" s="208"/>
      <c r="GJA174" s="209"/>
      <c r="GJB174" s="207"/>
      <c r="GJC174" s="210"/>
      <c r="GJD174" s="209"/>
      <c r="GJE174" s="204"/>
      <c r="GJF174" s="204"/>
      <c r="GJG174" s="204"/>
      <c r="GJH174" s="199"/>
      <c r="GJI174" s="167"/>
      <c r="GJJ174" s="199"/>
      <c r="GJK174" s="200"/>
      <c r="GJL174" s="201"/>
      <c r="GJM174" s="202"/>
      <c r="GJN174" s="202"/>
      <c r="GJO174" s="202"/>
      <c r="GJP174" s="202"/>
      <c r="GJQ174" s="203"/>
      <c r="GJR174" s="204"/>
      <c r="GJS174" s="204"/>
      <c r="GJT174" s="204"/>
      <c r="GJU174" s="205"/>
      <c r="GJV174" s="206"/>
      <c r="GJW174" s="207"/>
      <c r="GJX174" s="207"/>
      <c r="GJY174" s="208"/>
      <c r="GJZ174" s="209"/>
      <c r="GKA174" s="207"/>
      <c r="GKB174" s="210"/>
      <c r="GKC174" s="209"/>
      <c r="GKD174" s="204"/>
      <c r="GKE174" s="204"/>
      <c r="GKF174" s="204"/>
      <c r="GKG174" s="199"/>
      <c r="GKH174" s="167"/>
      <c r="GKI174" s="199"/>
      <c r="GKJ174" s="200"/>
      <c r="GKK174" s="201"/>
      <c r="GKL174" s="202"/>
      <c r="GKM174" s="202"/>
      <c r="GKN174" s="202"/>
      <c r="GKO174" s="202"/>
      <c r="GKP174" s="203"/>
      <c r="GKQ174" s="204"/>
      <c r="GKR174" s="204"/>
      <c r="GKS174" s="204"/>
      <c r="GKT174" s="205"/>
      <c r="GKU174" s="206"/>
      <c r="GKV174" s="207"/>
      <c r="GKW174" s="207"/>
      <c r="GKX174" s="208"/>
      <c r="GKY174" s="209"/>
      <c r="GKZ174" s="207"/>
      <c r="GLA174" s="210"/>
      <c r="GLB174" s="209"/>
      <c r="GLC174" s="204"/>
      <c r="GLD174" s="204"/>
      <c r="GLE174" s="204"/>
      <c r="GLF174" s="199"/>
      <c r="GLG174" s="167"/>
      <c r="GLH174" s="199"/>
      <c r="GLI174" s="200"/>
      <c r="GLJ174" s="201"/>
      <c r="GLK174" s="202"/>
      <c r="GLL174" s="202"/>
      <c r="GLM174" s="202"/>
      <c r="GLN174" s="202"/>
      <c r="GLO174" s="203"/>
      <c r="GLP174" s="204"/>
      <c r="GLQ174" s="204"/>
      <c r="GLR174" s="204"/>
      <c r="GLS174" s="205"/>
      <c r="GLT174" s="206"/>
      <c r="GLU174" s="207"/>
      <c r="GLV174" s="207"/>
      <c r="GLW174" s="208"/>
      <c r="GLX174" s="209"/>
      <c r="GLY174" s="207"/>
      <c r="GLZ174" s="210"/>
      <c r="GMA174" s="209"/>
      <c r="GMB174" s="204"/>
      <c r="GMC174" s="204"/>
      <c r="GMD174" s="204"/>
      <c r="GME174" s="199"/>
      <c r="GMF174" s="167"/>
      <c r="GMG174" s="199"/>
      <c r="GMH174" s="200"/>
      <c r="GMI174" s="201"/>
      <c r="GMJ174" s="202"/>
      <c r="GMK174" s="202"/>
      <c r="GML174" s="202"/>
      <c r="GMM174" s="202"/>
      <c r="GMN174" s="203"/>
      <c r="GMO174" s="204"/>
      <c r="GMP174" s="204"/>
      <c r="GMQ174" s="204"/>
      <c r="GMR174" s="205"/>
      <c r="GMS174" s="206"/>
      <c r="GMT174" s="207"/>
      <c r="GMU174" s="207"/>
      <c r="GMV174" s="208"/>
      <c r="GMW174" s="209"/>
      <c r="GMX174" s="207"/>
      <c r="GMY174" s="210"/>
      <c r="GMZ174" s="209"/>
      <c r="GNA174" s="204"/>
      <c r="GNB174" s="204"/>
      <c r="GNC174" s="204"/>
      <c r="GND174" s="199"/>
      <c r="GNE174" s="167"/>
      <c r="GNF174" s="199"/>
      <c r="GNG174" s="200"/>
      <c r="GNH174" s="201"/>
      <c r="GNI174" s="202"/>
      <c r="GNJ174" s="202"/>
      <c r="GNK174" s="202"/>
      <c r="GNL174" s="202"/>
      <c r="GNM174" s="203"/>
      <c r="GNN174" s="204"/>
      <c r="GNO174" s="204"/>
      <c r="GNP174" s="204"/>
      <c r="GNQ174" s="205"/>
      <c r="GNR174" s="206"/>
      <c r="GNS174" s="207"/>
      <c r="GNT174" s="207"/>
      <c r="GNU174" s="208"/>
      <c r="GNV174" s="209"/>
      <c r="GNW174" s="207"/>
      <c r="GNX174" s="210"/>
      <c r="GNY174" s="209"/>
      <c r="GNZ174" s="204"/>
      <c r="GOA174" s="204"/>
      <c r="GOB174" s="204"/>
      <c r="GOC174" s="199"/>
      <c r="GOD174" s="167"/>
      <c r="GOE174" s="199"/>
      <c r="GOF174" s="200"/>
      <c r="GOG174" s="201"/>
      <c r="GOH174" s="202"/>
      <c r="GOI174" s="202"/>
      <c r="GOJ174" s="202"/>
      <c r="GOK174" s="202"/>
      <c r="GOL174" s="203"/>
      <c r="GOM174" s="204"/>
      <c r="GON174" s="204"/>
      <c r="GOO174" s="204"/>
      <c r="GOP174" s="205"/>
      <c r="GOQ174" s="206"/>
      <c r="GOR174" s="207"/>
      <c r="GOS174" s="207"/>
      <c r="GOT174" s="208"/>
      <c r="GOU174" s="209"/>
      <c r="GOV174" s="207"/>
      <c r="GOW174" s="210"/>
      <c r="GOX174" s="209"/>
      <c r="GOY174" s="204"/>
      <c r="GOZ174" s="204"/>
      <c r="GPA174" s="204"/>
      <c r="GPB174" s="199"/>
      <c r="GPC174" s="167"/>
      <c r="GPD174" s="199"/>
      <c r="GPE174" s="200"/>
      <c r="GPF174" s="201"/>
      <c r="GPG174" s="202"/>
      <c r="GPH174" s="202"/>
      <c r="GPI174" s="202"/>
      <c r="GPJ174" s="202"/>
      <c r="GPK174" s="203"/>
      <c r="GPL174" s="204"/>
      <c r="GPM174" s="204"/>
      <c r="GPN174" s="204"/>
      <c r="GPO174" s="205"/>
      <c r="GPP174" s="206"/>
      <c r="GPQ174" s="207"/>
      <c r="GPR174" s="207"/>
      <c r="GPS174" s="208"/>
      <c r="GPT174" s="209"/>
      <c r="GPU174" s="207"/>
      <c r="GPV174" s="210"/>
      <c r="GPW174" s="209"/>
      <c r="GPX174" s="204"/>
      <c r="GPY174" s="204"/>
      <c r="GPZ174" s="204"/>
      <c r="GQA174" s="199"/>
      <c r="GQB174" s="167"/>
      <c r="GQC174" s="199"/>
      <c r="GQD174" s="200"/>
      <c r="GQE174" s="201"/>
      <c r="GQF174" s="202"/>
      <c r="GQG174" s="202"/>
      <c r="GQH174" s="202"/>
      <c r="GQI174" s="202"/>
      <c r="GQJ174" s="203"/>
      <c r="GQK174" s="204"/>
      <c r="GQL174" s="204"/>
      <c r="GQM174" s="204"/>
      <c r="GQN174" s="205"/>
      <c r="GQO174" s="206"/>
      <c r="GQP174" s="207"/>
      <c r="GQQ174" s="207"/>
      <c r="GQR174" s="208"/>
      <c r="GQS174" s="209"/>
      <c r="GQT174" s="207"/>
      <c r="GQU174" s="210"/>
      <c r="GQV174" s="209"/>
      <c r="GQW174" s="204"/>
      <c r="GQX174" s="204"/>
      <c r="GQY174" s="204"/>
      <c r="GQZ174" s="199"/>
      <c r="GRA174" s="167"/>
      <c r="GRB174" s="199"/>
      <c r="GRC174" s="200"/>
      <c r="GRD174" s="201"/>
      <c r="GRE174" s="202"/>
      <c r="GRF174" s="202"/>
      <c r="GRG174" s="202"/>
      <c r="GRH174" s="202"/>
      <c r="GRI174" s="203"/>
      <c r="GRJ174" s="204"/>
      <c r="GRK174" s="204"/>
      <c r="GRL174" s="204"/>
      <c r="GRM174" s="205"/>
      <c r="GRN174" s="206"/>
      <c r="GRO174" s="207"/>
      <c r="GRP174" s="207"/>
      <c r="GRQ174" s="208"/>
      <c r="GRR174" s="209"/>
      <c r="GRS174" s="207"/>
      <c r="GRT174" s="210"/>
      <c r="GRU174" s="209"/>
      <c r="GRV174" s="204"/>
      <c r="GRW174" s="204"/>
      <c r="GRX174" s="204"/>
      <c r="GRY174" s="199"/>
      <c r="GRZ174" s="167"/>
      <c r="GSA174" s="199"/>
      <c r="GSB174" s="200"/>
      <c r="GSC174" s="201"/>
      <c r="GSD174" s="202"/>
      <c r="GSE174" s="202"/>
      <c r="GSF174" s="202"/>
      <c r="GSG174" s="202"/>
      <c r="GSH174" s="203"/>
      <c r="GSI174" s="204"/>
      <c r="GSJ174" s="204"/>
      <c r="GSK174" s="204"/>
      <c r="GSL174" s="205"/>
      <c r="GSM174" s="206"/>
      <c r="GSN174" s="207"/>
      <c r="GSO174" s="207"/>
      <c r="GSP174" s="208"/>
      <c r="GSQ174" s="209"/>
      <c r="GSR174" s="207"/>
      <c r="GSS174" s="210"/>
      <c r="GST174" s="209"/>
      <c r="GSU174" s="204"/>
      <c r="GSV174" s="204"/>
      <c r="GSW174" s="204"/>
      <c r="GSX174" s="199"/>
      <c r="GSY174" s="167"/>
      <c r="GSZ174" s="199"/>
      <c r="GTA174" s="200"/>
      <c r="GTB174" s="201"/>
      <c r="GTC174" s="202"/>
      <c r="GTD174" s="202"/>
      <c r="GTE174" s="202"/>
      <c r="GTF174" s="202"/>
      <c r="GTG174" s="203"/>
      <c r="GTH174" s="204"/>
      <c r="GTI174" s="204"/>
      <c r="GTJ174" s="204"/>
      <c r="GTK174" s="205"/>
      <c r="GTL174" s="206"/>
      <c r="GTM174" s="207"/>
      <c r="GTN174" s="207"/>
      <c r="GTO174" s="208"/>
      <c r="GTP174" s="209"/>
      <c r="GTQ174" s="207"/>
      <c r="GTR174" s="210"/>
      <c r="GTS174" s="209"/>
      <c r="GTT174" s="204"/>
      <c r="GTU174" s="204"/>
      <c r="GTV174" s="204"/>
      <c r="GTW174" s="199"/>
      <c r="GTX174" s="167"/>
      <c r="GTY174" s="199"/>
      <c r="GTZ174" s="200"/>
      <c r="GUA174" s="201"/>
      <c r="GUB174" s="202"/>
      <c r="GUC174" s="202"/>
      <c r="GUD174" s="202"/>
      <c r="GUE174" s="202"/>
      <c r="GUF174" s="203"/>
      <c r="GUG174" s="204"/>
      <c r="GUH174" s="204"/>
      <c r="GUI174" s="204"/>
      <c r="GUJ174" s="205"/>
      <c r="GUK174" s="206"/>
      <c r="GUL174" s="207"/>
      <c r="GUM174" s="207"/>
      <c r="GUN174" s="208"/>
      <c r="GUO174" s="209"/>
      <c r="GUP174" s="207"/>
      <c r="GUQ174" s="210"/>
      <c r="GUR174" s="209"/>
      <c r="GUS174" s="204"/>
      <c r="GUT174" s="204"/>
      <c r="GUU174" s="204"/>
      <c r="GUV174" s="199"/>
      <c r="GUW174" s="167"/>
      <c r="GUX174" s="199"/>
      <c r="GUY174" s="200"/>
      <c r="GUZ174" s="201"/>
      <c r="GVA174" s="202"/>
      <c r="GVB174" s="202"/>
      <c r="GVC174" s="202"/>
      <c r="GVD174" s="202"/>
      <c r="GVE174" s="203"/>
      <c r="GVF174" s="204"/>
      <c r="GVG174" s="204"/>
      <c r="GVH174" s="204"/>
      <c r="GVI174" s="205"/>
      <c r="GVJ174" s="206"/>
      <c r="GVK174" s="207"/>
      <c r="GVL174" s="207"/>
      <c r="GVM174" s="208"/>
      <c r="GVN174" s="209"/>
      <c r="GVO174" s="207"/>
      <c r="GVP174" s="210"/>
      <c r="GVQ174" s="209"/>
      <c r="GVR174" s="204"/>
      <c r="GVS174" s="204"/>
      <c r="GVT174" s="204"/>
      <c r="GVU174" s="199"/>
      <c r="GVV174" s="167"/>
      <c r="GVW174" s="199"/>
      <c r="GVX174" s="200"/>
      <c r="GVY174" s="201"/>
      <c r="GVZ174" s="202"/>
      <c r="GWA174" s="202"/>
      <c r="GWB174" s="202"/>
      <c r="GWC174" s="202"/>
      <c r="GWD174" s="203"/>
      <c r="GWE174" s="204"/>
      <c r="GWF174" s="204"/>
      <c r="GWG174" s="204"/>
      <c r="GWH174" s="205"/>
      <c r="GWI174" s="206"/>
      <c r="GWJ174" s="207"/>
      <c r="GWK174" s="207"/>
      <c r="GWL174" s="208"/>
      <c r="GWM174" s="209"/>
      <c r="GWN174" s="207"/>
      <c r="GWO174" s="210"/>
      <c r="GWP174" s="209"/>
      <c r="GWQ174" s="204"/>
      <c r="GWR174" s="204"/>
      <c r="GWS174" s="204"/>
      <c r="GWT174" s="199"/>
      <c r="GWU174" s="167"/>
      <c r="GWV174" s="199"/>
      <c r="GWW174" s="200"/>
      <c r="GWX174" s="201"/>
      <c r="GWY174" s="202"/>
      <c r="GWZ174" s="202"/>
      <c r="GXA174" s="202"/>
      <c r="GXB174" s="202"/>
      <c r="GXC174" s="203"/>
      <c r="GXD174" s="204"/>
      <c r="GXE174" s="204"/>
      <c r="GXF174" s="204"/>
      <c r="GXG174" s="205"/>
      <c r="GXH174" s="206"/>
      <c r="GXI174" s="207"/>
      <c r="GXJ174" s="207"/>
      <c r="GXK174" s="208"/>
      <c r="GXL174" s="209"/>
      <c r="GXM174" s="207"/>
      <c r="GXN174" s="210"/>
      <c r="GXO174" s="209"/>
      <c r="GXP174" s="204"/>
      <c r="GXQ174" s="204"/>
      <c r="GXR174" s="204"/>
      <c r="GXS174" s="199"/>
      <c r="GXT174" s="167"/>
      <c r="GXU174" s="199"/>
      <c r="GXV174" s="200"/>
      <c r="GXW174" s="201"/>
      <c r="GXX174" s="202"/>
      <c r="GXY174" s="202"/>
      <c r="GXZ174" s="202"/>
      <c r="GYA174" s="202"/>
      <c r="GYB174" s="203"/>
      <c r="GYC174" s="204"/>
      <c r="GYD174" s="204"/>
      <c r="GYE174" s="204"/>
      <c r="GYF174" s="205"/>
      <c r="GYG174" s="206"/>
      <c r="GYH174" s="207"/>
      <c r="GYI174" s="207"/>
      <c r="GYJ174" s="208"/>
      <c r="GYK174" s="209"/>
      <c r="GYL174" s="207"/>
      <c r="GYM174" s="210"/>
      <c r="GYN174" s="209"/>
      <c r="GYO174" s="204"/>
      <c r="GYP174" s="204"/>
      <c r="GYQ174" s="204"/>
      <c r="GYR174" s="199"/>
      <c r="GYS174" s="167"/>
      <c r="GYT174" s="199"/>
      <c r="GYU174" s="200"/>
      <c r="GYV174" s="201"/>
      <c r="GYW174" s="202"/>
      <c r="GYX174" s="202"/>
      <c r="GYY174" s="202"/>
      <c r="GYZ174" s="202"/>
      <c r="GZA174" s="203"/>
      <c r="GZB174" s="204"/>
      <c r="GZC174" s="204"/>
      <c r="GZD174" s="204"/>
      <c r="GZE174" s="205"/>
      <c r="GZF174" s="206"/>
      <c r="GZG174" s="207"/>
      <c r="GZH174" s="207"/>
      <c r="GZI174" s="208"/>
      <c r="GZJ174" s="209"/>
      <c r="GZK174" s="207"/>
      <c r="GZL174" s="210"/>
      <c r="GZM174" s="209"/>
      <c r="GZN174" s="204"/>
      <c r="GZO174" s="204"/>
      <c r="GZP174" s="204"/>
      <c r="GZQ174" s="199"/>
      <c r="GZR174" s="167"/>
      <c r="GZS174" s="199"/>
      <c r="GZT174" s="200"/>
      <c r="GZU174" s="201"/>
      <c r="GZV174" s="202"/>
      <c r="GZW174" s="202"/>
      <c r="GZX174" s="202"/>
      <c r="GZY174" s="202"/>
      <c r="GZZ174" s="203"/>
      <c r="HAA174" s="204"/>
      <c r="HAB174" s="204"/>
      <c r="HAC174" s="204"/>
      <c r="HAD174" s="205"/>
      <c r="HAE174" s="206"/>
      <c r="HAF174" s="207"/>
      <c r="HAG174" s="207"/>
      <c r="HAH174" s="208"/>
      <c r="HAI174" s="209"/>
      <c r="HAJ174" s="207"/>
      <c r="HAK174" s="210"/>
      <c r="HAL174" s="209"/>
      <c r="HAM174" s="204"/>
      <c r="HAN174" s="204"/>
      <c r="HAO174" s="204"/>
      <c r="HAP174" s="199"/>
      <c r="HAQ174" s="167"/>
      <c r="HAR174" s="199"/>
      <c r="HAS174" s="200"/>
      <c r="HAT174" s="201"/>
      <c r="HAU174" s="202"/>
      <c r="HAV174" s="202"/>
      <c r="HAW174" s="202"/>
      <c r="HAX174" s="202"/>
      <c r="HAY174" s="203"/>
      <c r="HAZ174" s="204"/>
      <c r="HBA174" s="204"/>
      <c r="HBB174" s="204"/>
      <c r="HBC174" s="205"/>
      <c r="HBD174" s="206"/>
      <c r="HBE174" s="207"/>
      <c r="HBF174" s="207"/>
      <c r="HBG174" s="208"/>
      <c r="HBH174" s="209"/>
      <c r="HBI174" s="207"/>
      <c r="HBJ174" s="210"/>
      <c r="HBK174" s="209"/>
      <c r="HBL174" s="204"/>
      <c r="HBM174" s="204"/>
      <c r="HBN174" s="204"/>
      <c r="HBO174" s="199"/>
      <c r="HBP174" s="167"/>
      <c r="HBQ174" s="199"/>
      <c r="HBR174" s="200"/>
      <c r="HBS174" s="201"/>
      <c r="HBT174" s="202"/>
      <c r="HBU174" s="202"/>
      <c r="HBV174" s="202"/>
      <c r="HBW174" s="202"/>
      <c r="HBX174" s="203"/>
      <c r="HBY174" s="204"/>
      <c r="HBZ174" s="204"/>
      <c r="HCA174" s="204"/>
      <c r="HCB174" s="205"/>
      <c r="HCC174" s="206"/>
      <c r="HCD174" s="207"/>
      <c r="HCE174" s="207"/>
      <c r="HCF174" s="208"/>
      <c r="HCG174" s="209"/>
      <c r="HCH174" s="207"/>
      <c r="HCI174" s="210"/>
      <c r="HCJ174" s="209"/>
      <c r="HCK174" s="204"/>
      <c r="HCL174" s="204"/>
      <c r="HCM174" s="204"/>
      <c r="HCN174" s="199"/>
      <c r="HCO174" s="167"/>
      <c r="HCP174" s="199"/>
      <c r="HCQ174" s="200"/>
      <c r="HCR174" s="201"/>
      <c r="HCS174" s="202"/>
      <c r="HCT174" s="202"/>
      <c r="HCU174" s="202"/>
      <c r="HCV174" s="202"/>
      <c r="HCW174" s="203"/>
      <c r="HCX174" s="204"/>
      <c r="HCY174" s="204"/>
      <c r="HCZ174" s="204"/>
      <c r="HDA174" s="205"/>
      <c r="HDB174" s="206"/>
      <c r="HDC174" s="207"/>
      <c r="HDD174" s="207"/>
      <c r="HDE174" s="208"/>
      <c r="HDF174" s="209"/>
      <c r="HDG174" s="207"/>
      <c r="HDH174" s="210"/>
      <c r="HDI174" s="209"/>
      <c r="HDJ174" s="204"/>
      <c r="HDK174" s="204"/>
      <c r="HDL174" s="204"/>
      <c r="HDM174" s="199"/>
      <c r="HDN174" s="167"/>
      <c r="HDO174" s="199"/>
      <c r="HDP174" s="200"/>
      <c r="HDQ174" s="201"/>
      <c r="HDR174" s="202"/>
      <c r="HDS174" s="202"/>
      <c r="HDT174" s="202"/>
      <c r="HDU174" s="202"/>
      <c r="HDV174" s="203"/>
      <c r="HDW174" s="204"/>
      <c r="HDX174" s="204"/>
      <c r="HDY174" s="204"/>
      <c r="HDZ174" s="205"/>
      <c r="HEA174" s="206"/>
      <c r="HEB174" s="207"/>
      <c r="HEC174" s="207"/>
      <c r="HED174" s="208"/>
      <c r="HEE174" s="209"/>
      <c r="HEF174" s="207"/>
      <c r="HEG174" s="210"/>
      <c r="HEH174" s="209"/>
      <c r="HEI174" s="204"/>
      <c r="HEJ174" s="204"/>
      <c r="HEK174" s="204"/>
      <c r="HEL174" s="199"/>
      <c r="HEM174" s="167"/>
      <c r="HEN174" s="199"/>
      <c r="HEO174" s="200"/>
      <c r="HEP174" s="201"/>
      <c r="HEQ174" s="202"/>
      <c r="HER174" s="202"/>
      <c r="HES174" s="202"/>
      <c r="HET174" s="202"/>
      <c r="HEU174" s="203"/>
      <c r="HEV174" s="204"/>
      <c r="HEW174" s="204"/>
      <c r="HEX174" s="204"/>
      <c r="HEY174" s="205"/>
      <c r="HEZ174" s="206"/>
      <c r="HFA174" s="207"/>
      <c r="HFB174" s="207"/>
      <c r="HFC174" s="208"/>
      <c r="HFD174" s="209"/>
      <c r="HFE174" s="207"/>
      <c r="HFF174" s="210"/>
      <c r="HFG174" s="209"/>
      <c r="HFH174" s="204"/>
      <c r="HFI174" s="204"/>
      <c r="HFJ174" s="204"/>
      <c r="HFK174" s="199"/>
      <c r="HFL174" s="167"/>
      <c r="HFM174" s="199"/>
      <c r="HFN174" s="200"/>
      <c r="HFO174" s="201"/>
      <c r="HFP174" s="202"/>
      <c r="HFQ174" s="202"/>
      <c r="HFR174" s="202"/>
      <c r="HFS174" s="202"/>
      <c r="HFT174" s="203"/>
      <c r="HFU174" s="204"/>
      <c r="HFV174" s="204"/>
      <c r="HFW174" s="204"/>
      <c r="HFX174" s="205"/>
      <c r="HFY174" s="206"/>
      <c r="HFZ174" s="207"/>
      <c r="HGA174" s="207"/>
      <c r="HGB174" s="208"/>
      <c r="HGC174" s="209"/>
      <c r="HGD174" s="207"/>
      <c r="HGE174" s="210"/>
      <c r="HGF174" s="209"/>
      <c r="HGG174" s="204"/>
      <c r="HGH174" s="204"/>
      <c r="HGI174" s="204"/>
      <c r="HGJ174" s="199"/>
      <c r="HGK174" s="167"/>
      <c r="HGL174" s="199"/>
      <c r="HGM174" s="200"/>
      <c r="HGN174" s="201"/>
      <c r="HGO174" s="202"/>
      <c r="HGP174" s="202"/>
      <c r="HGQ174" s="202"/>
      <c r="HGR174" s="202"/>
      <c r="HGS174" s="203"/>
      <c r="HGT174" s="204"/>
      <c r="HGU174" s="204"/>
      <c r="HGV174" s="204"/>
      <c r="HGW174" s="205"/>
      <c r="HGX174" s="206"/>
      <c r="HGY174" s="207"/>
      <c r="HGZ174" s="207"/>
      <c r="HHA174" s="208"/>
      <c r="HHB174" s="209"/>
      <c r="HHC174" s="207"/>
      <c r="HHD174" s="210"/>
      <c r="HHE174" s="209"/>
      <c r="HHF174" s="204"/>
      <c r="HHG174" s="204"/>
      <c r="HHH174" s="204"/>
      <c r="HHI174" s="199"/>
      <c r="HHJ174" s="167"/>
      <c r="HHK174" s="199"/>
      <c r="HHL174" s="200"/>
      <c r="HHM174" s="201"/>
      <c r="HHN174" s="202"/>
      <c r="HHO174" s="202"/>
      <c r="HHP174" s="202"/>
      <c r="HHQ174" s="202"/>
      <c r="HHR174" s="203"/>
      <c r="HHS174" s="204"/>
      <c r="HHT174" s="204"/>
      <c r="HHU174" s="204"/>
      <c r="HHV174" s="205"/>
      <c r="HHW174" s="206"/>
      <c r="HHX174" s="207"/>
      <c r="HHY174" s="207"/>
      <c r="HHZ174" s="208"/>
      <c r="HIA174" s="209"/>
      <c r="HIB174" s="207"/>
      <c r="HIC174" s="210"/>
      <c r="HID174" s="209"/>
      <c r="HIE174" s="204"/>
      <c r="HIF174" s="204"/>
      <c r="HIG174" s="204"/>
      <c r="HIH174" s="199"/>
      <c r="HII174" s="167"/>
      <c r="HIJ174" s="199"/>
      <c r="HIK174" s="200"/>
      <c r="HIL174" s="201"/>
      <c r="HIM174" s="202"/>
      <c r="HIN174" s="202"/>
      <c r="HIO174" s="202"/>
      <c r="HIP174" s="202"/>
      <c r="HIQ174" s="203"/>
      <c r="HIR174" s="204"/>
      <c r="HIS174" s="204"/>
      <c r="HIT174" s="204"/>
      <c r="HIU174" s="205"/>
      <c r="HIV174" s="206"/>
      <c r="HIW174" s="207"/>
      <c r="HIX174" s="207"/>
      <c r="HIY174" s="208"/>
      <c r="HIZ174" s="209"/>
      <c r="HJA174" s="207"/>
      <c r="HJB174" s="210"/>
      <c r="HJC174" s="209"/>
      <c r="HJD174" s="204"/>
      <c r="HJE174" s="204"/>
      <c r="HJF174" s="204"/>
      <c r="HJG174" s="199"/>
      <c r="HJH174" s="167"/>
      <c r="HJI174" s="199"/>
      <c r="HJJ174" s="200"/>
      <c r="HJK174" s="201"/>
      <c r="HJL174" s="202"/>
      <c r="HJM174" s="202"/>
      <c r="HJN174" s="202"/>
      <c r="HJO174" s="202"/>
      <c r="HJP174" s="203"/>
      <c r="HJQ174" s="204"/>
      <c r="HJR174" s="204"/>
      <c r="HJS174" s="204"/>
      <c r="HJT174" s="205"/>
      <c r="HJU174" s="206"/>
      <c r="HJV174" s="207"/>
      <c r="HJW174" s="207"/>
      <c r="HJX174" s="208"/>
      <c r="HJY174" s="209"/>
      <c r="HJZ174" s="207"/>
      <c r="HKA174" s="210"/>
      <c r="HKB174" s="209"/>
      <c r="HKC174" s="204"/>
      <c r="HKD174" s="204"/>
      <c r="HKE174" s="204"/>
      <c r="HKF174" s="199"/>
      <c r="HKG174" s="167"/>
      <c r="HKH174" s="199"/>
      <c r="HKI174" s="200"/>
      <c r="HKJ174" s="201"/>
      <c r="HKK174" s="202"/>
      <c r="HKL174" s="202"/>
      <c r="HKM174" s="202"/>
      <c r="HKN174" s="202"/>
      <c r="HKO174" s="203"/>
      <c r="HKP174" s="204"/>
      <c r="HKQ174" s="204"/>
      <c r="HKR174" s="204"/>
      <c r="HKS174" s="205"/>
      <c r="HKT174" s="206"/>
      <c r="HKU174" s="207"/>
      <c r="HKV174" s="207"/>
      <c r="HKW174" s="208"/>
      <c r="HKX174" s="209"/>
      <c r="HKY174" s="207"/>
      <c r="HKZ174" s="210"/>
      <c r="HLA174" s="209"/>
      <c r="HLB174" s="204"/>
      <c r="HLC174" s="204"/>
      <c r="HLD174" s="204"/>
      <c r="HLE174" s="199"/>
      <c r="HLF174" s="167"/>
      <c r="HLG174" s="199"/>
      <c r="HLH174" s="200"/>
      <c r="HLI174" s="201"/>
      <c r="HLJ174" s="202"/>
      <c r="HLK174" s="202"/>
      <c r="HLL174" s="202"/>
      <c r="HLM174" s="202"/>
      <c r="HLN174" s="203"/>
      <c r="HLO174" s="204"/>
      <c r="HLP174" s="204"/>
      <c r="HLQ174" s="204"/>
      <c r="HLR174" s="205"/>
      <c r="HLS174" s="206"/>
      <c r="HLT174" s="207"/>
      <c r="HLU174" s="207"/>
      <c r="HLV174" s="208"/>
      <c r="HLW174" s="209"/>
      <c r="HLX174" s="207"/>
      <c r="HLY174" s="210"/>
      <c r="HLZ174" s="209"/>
      <c r="HMA174" s="204"/>
      <c r="HMB174" s="204"/>
      <c r="HMC174" s="204"/>
      <c r="HMD174" s="199"/>
      <c r="HME174" s="167"/>
      <c r="HMF174" s="199"/>
      <c r="HMG174" s="200"/>
      <c r="HMH174" s="201"/>
      <c r="HMI174" s="202"/>
      <c r="HMJ174" s="202"/>
      <c r="HMK174" s="202"/>
      <c r="HML174" s="202"/>
      <c r="HMM174" s="203"/>
      <c r="HMN174" s="204"/>
      <c r="HMO174" s="204"/>
      <c r="HMP174" s="204"/>
      <c r="HMQ174" s="205"/>
      <c r="HMR174" s="206"/>
      <c r="HMS174" s="207"/>
      <c r="HMT174" s="207"/>
      <c r="HMU174" s="208"/>
      <c r="HMV174" s="209"/>
      <c r="HMW174" s="207"/>
      <c r="HMX174" s="210"/>
      <c r="HMY174" s="209"/>
      <c r="HMZ174" s="204"/>
      <c r="HNA174" s="204"/>
      <c r="HNB174" s="204"/>
      <c r="HNC174" s="199"/>
      <c r="HND174" s="167"/>
      <c r="HNE174" s="199"/>
      <c r="HNF174" s="200"/>
      <c r="HNG174" s="201"/>
      <c r="HNH174" s="202"/>
      <c r="HNI174" s="202"/>
      <c r="HNJ174" s="202"/>
      <c r="HNK174" s="202"/>
      <c r="HNL174" s="203"/>
      <c r="HNM174" s="204"/>
      <c r="HNN174" s="204"/>
      <c r="HNO174" s="204"/>
      <c r="HNP174" s="205"/>
      <c r="HNQ174" s="206"/>
      <c r="HNR174" s="207"/>
      <c r="HNS174" s="207"/>
      <c r="HNT174" s="208"/>
      <c r="HNU174" s="209"/>
      <c r="HNV174" s="207"/>
      <c r="HNW174" s="210"/>
      <c r="HNX174" s="209"/>
      <c r="HNY174" s="204"/>
      <c r="HNZ174" s="204"/>
      <c r="HOA174" s="204"/>
      <c r="HOB174" s="199"/>
      <c r="HOC174" s="167"/>
      <c r="HOD174" s="199"/>
      <c r="HOE174" s="200"/>
      <c r="HOF174" s="201"/>
      <c r="HOG174" s="202"/>
      <c r="HOH174" s="202"/>
      <c r="HOI174" s="202"/>
      <c r="HOJ174" s="202"/>
      <c r="HOK174" s="203"/>
      <c r="HOL174" s="204"/>
      <c r="HOM174" s="204"/>
      <c r="HON174" s="204"/>
      <c r="HOO174" s="205"/>
      <c r="HOP174" s="206"/>
      <c r="HOQ174" s="207"/>
      <c r="HOR174" s="207"/>
      <c r="HOS174" s="208"/>
      <c r="HOT174" s="209"/>
      <c r="HOU174" s="207"/>
      <c r="HOV174" s="210"/>
      <c r="HOW174" s="209"/>
      <c r="HOX174" s="204"/>
      <c r="HOY174" s="204"/>
      <c r="HOZ174" s="204"/>
      <c r="HPA174" s="199"/>
      <c r="HPB174" s="167"/>
      <c r="HPC174" s="199"/>
      <c r="HPD174" s="200"/>
      <c r="HPE174" s="201"/>
      <c r="HPF174" s="202"/>
      <c r="HPG174" s="202"/>
      <c r="HPH174" s="202"/>
      <c r="HPI174" s="202"/>
      <c r="HPJ174" s="203"/>
      <c r="HPK174" s="204"/>
      <c r="HPL174" s="204"/>
      <c r="HPM174" s="204"/>
      <c r="HPN174" s="205"/>
      <c r="HPO174" s="206"/>
      <c r="HPP174" s="207"/>
      <c r="HPQ174" s="207"/>
      <c r="HPR174" s="208"/>
      <c r="HPS174" s="209"/>
      <c r="HPT174" s="207"/>
      <c r="HPU174" s="210"/>
      <c r="HPV174" s="209"/>
      <c r="HPW174" s="204"/>
      <c r="HPX174" s="204"/>
      <c r="HPY174" s="204"/>
      <c r="HPZ174" s="199"/>
      <c r="HQA174" s="167"/>
      <c r="HQB174" s="199"/>
      <c r="HQC174" s="200"/>
      <c r="HQD174" s="201"/>
      <c r="HQE174" s="202"/>
      <c r="HQF174" s="202"/>
      <c r="HQG174" s="202"/>
      <c r="HQH174" s="202"/>
      <c r="HQI174" s="203"/>
      <c r="HQJ174" s="204"/>
      <c r="HQK174" s="204"/>
      <c r="HQL174" s="204"/>
      <c r="HQM174" s="205"/>
      <c r="HQN174" s="206"/>
      <c r="HQO174" s="207"/>
      <c r="HQP174" s="207"/>
      <c r="HQQ174" s="208"/>
      <c r="HQR174" s="209"/>
      <c r="HQS174" s="207"/>
      <c r="HQT174" s="210"/>
      <c r="HQU174" s="209"/>
      <c r="HQV174" s="204"/>
      <c r="HQW174" s="204"/>
      <c r="HQX174" s="204"/>
      <c r="HQY174" s="199"/>
      <c r="HQZ174" s="167"/>
      <c r="HRA174" s="199"/>
      <c r="HRB174" s="200"/>
      <c r="HRC174" s="201"/>
      <c r="HRD174" s="202"/>
      <c r="HRE174" s="202"/>
      <c r="HRF174" s="202"/>
      <c r="HRG174" s="202"/>
      <c r="HRH174" s="203"/>
      <c r="HRI174" s="204"/>
      <c r="HRJ174" s="204"/>
      <c r="HRK174" s="204"/>
      <c r="HRL174" s="205"/>
      <c r="HRM174" s="206"/>
      <c r="HRN174" s="207"/>
      <c r="HRO174" s="207"/>
      <c r="HRP174" s="208"/>
      <c r="HRQ174" s="209"/>
      <c r="HRR174" s="207"/>
      <c r="HRS174" s="210"/>
      <c r="HRT174" s="209"/>
      <c r="HRU174" s="204"/>
      <c r="HRV174" s="204"/>
      <c r="HRW174" s="204"/>
      <c r="HRX174" s="199"/>
      <c r="HRY174" s="167"/>
      <c r="HRZ174" s="199"/>
      <c r="HSA174" s="200"/>
      <c r="HSB174" s="201"/>
      <c r="HSC174" s="202"/>
      <c r="HSD174" s="202"/>
      <c r="HSE174" s="202"/>
      <c r="HSF174" s="202"/>
      <c r="HSG174" s="203"/>
      <c r="HSH174" s="204"/>
      <c r="HSI174" s="204"/>
      <c r="HSJ174" s="204"/>
      <c r="HSK174" s="205"/>
      <c r="HSL174" s="206"/>
      <c r="HSM174" s="207"/>
      <c r="HSN174" s="207"/>
      <c r="HSO174" s="208"/>
      <c r="HSP174" s="209"/>
      <c r="HSQ174" s="207"/>
      <c r="HSR174" s="210"/>
      <c r="HSS174" s="209"/>
      <c r="HST174" s="204"/>
      <c r="HSU174" s="204"/>
      <c r="HSV174" s="204"/>
      <c r="HSW174" s="199"/>
      <c r="HSX174" s="167"/>
      <c r="HSY174" s="199"/>
      <c r="HSZ174" s="200"/>
      <c r="HTA174" s="201"/>
      <c r="HTB174" s="202"/>
      <c r="HTC174" s="202"/>
      <c r="HTD174" s="202"/>
      <c r="HTE174" s="202"/>
      <c r="HTF174" s="203"/>
      <c r="HTG174" s="204"/>
      <c r="HTH174" s="204"/>
      <c r="HTI174" s="204"/>
      <c r="HTJ174" s="205"/>
      <c r="HTK174" s="206"/>
      <c r="HTL174" s="207"/>
      <c r="HTM174" s="207"/>
      <c r="HTN174" s="208"/>
      <c r="HTO174" s="209"/>
      <c r="HTP174" s="207"/>
      <c r="HTQ174" s="210"/>
      <c r="HTR174" s="209"/>
      <c r="HTS174" s="204"/>
      <c r="HTT174" s="204"/>
      <c r="HTU174" s="204"/>
      <c r="HTV174" s="199"/>
      <c r="HTW174" s="167"/>
      <c r="HTX174" s="199"/>
      <c r="HTY174" s="200"/>
      <c r="HTZ174" s="201"/>
      <c r="HUA174" s="202"/>
      <c r="HUB174" s="202"/>
      <c r="HUC174" s="202"/>
      <c r="HUD174" s="202"/>
      <c r="HUE174" s="203"/>
      <c r="HUF174" s="204"/>
      <c r="HUG174" s="204"/>
      <c r="HUH174" s="204"/>
      <c r="HUI174" s="205"/>
      <c r="HUJ174" s="206"/>
      <c r="HUK174" s="207"/>
      <c r="HUL174" s="207"/>
      <c r="HUM174" s="208"/>
      <c r="HUN174" s="209"/>
      <c r="HUO174" s="207"/>
      <c r="HUP174" s="210"/>
      <c r="HUQ174" s="209"/>
      <c r="HUR174" s="204"/>
      <c r="HUS174" s="204"/>
      <c r="HUT174" s="204"/>
      <c r="HUU174" s="199"/>
      <c r="HUV174" s="167"/>
      <c r="HUW174" s="199"/>
      <c r="HUX174" s="200"/>
      <c r="HUY174" s="201"/>
      <c r="HUZ174" s="202"/>
      <c r="HVA174" s="202"/>
      <c r="HVB174" s="202"/>
      <c r="HVC174" s="202"/>
      <c r="HVD174" s="203"/>
      <c r="HVE174" s="204"/>
      <c r="HVF174" s="204"/>
      <c r="HVG174" s="204"/>
      <c r="HVH174" s="205"/>
      <c r="HVI174" s="206"/>
      <c r="HVJ174" s="207"/>
      <c r="HVK174" s="207"/>
      <c r="HVL174" s="208"/>
      <c r="HVM174" s="209"/>
      <c r="HVN174" s="207"/>
      <c r="HVO174" s="210"/>
      <c r="HVP174" s="209"/>
      <c r="HVQ174" s="204"/>
      <c r="HVR174" s="204"/>
      <c r="HVS174" s="204"/>
      <c r="HVT174" s="199"/>
      <c r="HVU174" s="167"/>
      <c r="HVV174" s="199"/>
      <c r="HVW174" s="200"/>
      <c r="HVX174" s="201"/>
      <c r="HVY174" s="202"/>
      <c r="HVZ174" s="202"/>
      <c r="HWA174" s="202"/>
      <c r="HWB174" s="202"/>
      <c r="HWC174" s="203"/>
      <c r="HWD174" s="204"/>
      <c r="HWE174" s="204"/>
      <c r="HWF174" s="204"/>
      <c r="HWG174" s="205"/>
      <c r="HWH174" s="206"/>
      <c r="HWI174" s="207"/>
      <c r="HWJ174" s="207"/>
      <c r="HWK174" s="208"/>
      <c r="HWL174" s="209"/>
      <c r="HWM174" s="207"/>
      <c r="HWN174" s="210"/>
      <c r="HWO174" s="209"/>
      <c r="HWP174" s="204"/>
      <c r="HWQ174" s="204"/>
      <c r="HWR174" s="204"/>
      <c r="HWS174" s="199"/>
      <c r="HWT174" s="167"/>
      <c r="HWU174" s="199"/>
      <c r="HWV174" s="200"/>
      <c r="HWW174" s="201"/>
      <c r="HWX174" s="202"/>
      <c r="HWY174" s="202"/>
      <c r="HWZ174" s="202"/>
      <c r="HXA174" s="202"/>
      <c r="HXB174" s="203"/>
      <c r="HXC174" s="204"/>
      <c r="HXD174" s="204"/>
      <c r="HXE174" s="204"/>
      <c r="HXF174" s="205"/>
      <c r="HXG174" s="206"/>
      <c r="HXH174" s="207"/>
      <c r="HXI174" s="207"/>
      <c r="HXJ174" s="208"/>
      <c r="HXK174" s="209"/>
      <c r="HXL174" s="207"/>
      <c r="HXM174" s="210"/>
      <c r="HXN174" s="209"/>
      <c r="HXO174" s="204"/>
      <c r="HXP174" s="204"/>
      <c r="HXQ174" s="204"/>
      <c r="HXR174" s="199"/>
      <c r="HXS174" s="167"/>
      <c r="HXT174" s="199"/>
      <c r="HXU174" s="200"/>
      <c r="HXV174" s="201"/>
      <c r="HXW174" s="202"/>
      <c r="HXX174" s="202"/>
      <c r="HXY174" s="202"/>
      <c r="HXZ174" s="202"/>
      <c r="HYA174" s="203"/>
      <c r="HYB174" s="204"/>
      <c r="HYC174" s="204"/>
      <c r="HYD174" s="204"/>
      <c r="HYE174" s="205"/>
      <c r="HYF174" s="206"/>
      <c r="HYG174" s="207"/>
      <c r="HYH174" s="207"/>
      <c r="HYI174" s="208"/>
      <c r="HYJ174" s="209"/>
      <c r="HYK174" s="207"/>
      <c r="HYL174" s="210"/>
      <c r="HYM174" s="209"/>
      <c r="HYN174" s="204"/>
      <c r="HYO174" s="204"/>
      <c r="HYP174" s="204"/>
      <c r="HYQ174" s="199"/>
      <c r="HYR174" s="167"/>
      <c r="HYS174" s="199"/>
      <c r="HYT174" s="200"/>
      <c r="HYU174" s="201"/>
      <c r="HYV174" s="202"/>
      <c r="HYW174" s="202"/>
      <c r="HYX174" s="202"/>
      <c r="HYY174" s="202"/>
      <c r="HYZ174" s="203"/>
      <c r="HZA174" s="204"/>
      <c r="HZB174" s="204"/>
      <c r="HZC174" s="204"/>
      <c r="HZD174" s="205"/>
      <c r="HZE174" s="206"/>
      <c r="HZF174" s="207"/>
      <c r="HZG174" s="207"/>
      <c r="HZH174" s="208"/>
      <c r="HZI174" s="209"/>
      <c r="HZJ174" s="207"/>
      <c r="HZK174" s="210"/>
      <c r="HZL174" s="209"/>
      <c r="HZM174" s="204"/>
      <c r="HZN174" s="204"/>
      <c r="HZO174" s="204"/>
      <c r="HZP174" s="199"/>
      <c r="HZQ174" s="167"/>
      <c r="HZR174" s="199"/>
      <c r="HZS174" s="200"/>
      <c r="HZT174" s="201"/>
      <c r="HZU174" s="202"/>
      <c r="HZV174" s="202"/>
      <c r="HZW174" s="202"/>
      <c r="HZX174" s="202"/>
      <c r="HZY174" s="203"/>
      <c r="HZZ174" s="204"/>
      <c r="IAA174" s="204"/>
      <c r="IAB174" s="204"/>
      <c r="IAC174" s="205"/>
      <c r="IAD174" s="206"/>
      <c r="IAE174" s="207"/>
      <c r="IAF174" s="207"/>
      <c r="IAG174" s="208"/>
      <c r="IAH174" s="209"/>
      <c r="IAI174" s="207"/>
      <c r="IAJ174" s="210"/>
      <c r="IAK174" s="209"/>
      <c r="IAL174" s="204"/>
      <c r="IAM174" s="204"/>
      <c r="IAN174" s="204"/>
      <c r="IAO174" s="199"/>
      <c r="IAP174" s="167"/>
      <c r="IAQ174" s="199"/>
      <c r="IAR174" s="200"/>
      <c r="IAS174" s="201"/>
      <c r="IAT174" s="202"/>
      <c r="IAU174" s="202"/>
      <c r="IAV174" s="202"/>
      <c r="IAW174" s="202"/>
      <c r="IAX174" s="203"/>
      <c r="IAY174" s="204"/>
      <c r="IAZ174" s="204"/>
      <c r="IBA174" s="204"/>
      <c r="IBB174" s="205"/>
      <c r="IBC174" s="206"/>
      <c r="IBD174" s="207"/>
      <c r="IBE174" s="207"/>
      <c r="IBF174" s="208"/>
      <c r="IBG174" s="209"/>
      <c r="IBH174" s="207"/>
      <c r="IBI174" s="210"/>
      <c r="IBJ174" s="209"/>
      <c r="IBK174" s="204"/>
      <c r="IBL174" s="204"/>
      <c r="IBM174" s="204"/>
      <c r="IBN174" s="199"/>
      <c r="IBO174" s="167"/>
      <c r="IBP174" s="199"/>
      <c r="IBQ174" s="200"/>
      <c r="IBR174" s="201"/>
      <c r="IBS174" s="202"/>
      <c r="IBT174" s="202"/>
      <c r="IBU174" s="202"/>
      <c r="IBV174" s="202"/>
      <c r="IBW174" s="203"/>
      <c r="IBX174" s="204"/>
      <c r="IBY174" s="204"/>
      <c r="IBZ174" s="204"/>
      <c r="ICA174" s="205"/>
      <c r="ICB174" s="206"/>
      <c r="ICC174" s="207"/>
      <c r="ICD174" s="207"/>
      <c r="ICE174" s="208"/>
      <c r="ICF174" s="209"/>
      <c r="ICG174" s="207"/>
      <c r="ICH174" s="210"/>
      <c r="ICI174" s="209"/>
      <c r="ICJ174" s="204"/>
      <c r="ICK174" s="204"/>
      <c r="ICL174" s="204"/>
      <c r="ICM174" s="199"/>
      <c r="ICN174" s="167"/>
      <c r="ICO174" s="199"/>
      <c r="ICP174" s="200"/>
      <c r="ICQ174" s="201"/>
      <c r="ICR174" s="202"/>
      <c r="ICS174" s="202"/>
      <c r="ICT174" s="202"/>
      <c r="ICU174" s="202"/>
      <c r="ICV174" s="203"/>
      <c r="ICW174" s="204"/>
      <c r="ICX174" s="204"/>
      <c r="ICY174" s="204"/>
      <c r="ICZ174" s="205"/>
      <c r="IDA174" s="206"/>
      <c r="IDB174" s="207"/>
      <c r="IDC174" s="207"/>
      <c r="IDD174" s="208"/>
      <c r="IDE174" s="209"/>
      <c r="IDF174" s="207"/>
      <c r="IDG174" s="210"/>
      <c r="IDH174" s="209"/>
      <c r="IDI174" s="204"/>
      <c r="IDJ174" s="204"/>
      <c r="IDK174" s="204"/>
      <c r="IDL174" s="199"/>
      <c r="IDM174" s="167"/>
      <c r="IDN174" s="199"/>
      <c r="IDO174" s="200"/>
      <c r="IDP174" s="201"/>
      <c r="IDQ174" s="202"/>
      <c r="IDR174" s="202"/>
      <c r="IDS174" s="202"/>
      <c r="IDT174" s="202"/>
      <c r="IDU174" s="203"/>
      <c r="IDV174" s="204"/>
      <c r="IDW174" s="204"/>
      <c r="IDX174" s="204"/>
      <c r="IDY174" s="205"/>
      <c r="IDZ174" s="206"/>
      <c r="IEA174" s="207"/>
      <c r="IEB174" s="207"/>
      <c r="IEC174" s="208"/>
      <c r="IED174" s="209"/>
      <c r="IEE174" s="207"/>
      <c r="IEF174" s="210"/>
      <c r="IEG174" s="209"/>
      <c r="IEH174" s="204"/>
      <c r="IEI174" s="204"/>
      <c r="IEJ174" s="204"/>
      <c r="IEK174" s="199"/>
      <c r="IEL174" s="167"/>
      <c r="IEM174" s="199"/>
      <c r="IEN174" s="200"/>
      <c r="IEO174" s="201"/>
      <c r="IEP174" s="202"/>
      <c r="IEQ174" s="202"/>
      <c r="IER174" s="202"/>
      <c r="IES174" s="202"/>
      <c r="IET174" s="203"/>
      <c r="IEU174" s="204"/>
      <c r="IEV174" s="204"/>
      <c r="IEW174" s="204"/>
      <c r="IEX174" s="205"/>
      <c r="IEY174" s="206"/>
      <c r="IEZ174" s="207"/>
      <c r="IFA174" s="207"/>
      <c r="IFB174" s="208"/>
      <c r="IFC174" s="209"/>
      <c r="IFD174" s="207"/>
      <c r="IFE174" s="210"/>
      <c r="IFF174" s="209"/>
      <c r="IFG174" s="204"/>
      <c r="IFH174" s="204"/>
      <c r="IFI174" s="204"/>
      <c r="IFJ174" s="199"/>
      <c r="IFK174" s="167"/>
      <c r="IFL174" s="199"/>
      <c r="IFM174" s="200"/>
      <c r="IFN174" s="201"/>
      <c r="IFO174" s="202"/>
      <c r="IFP174" s="202"/>
      <c r="IFQ174" s="202"/>
      <c r="IFR174" s="202"/>
      <c r="IFS174" s="203"/>
      <c r="IFT174" s="204"/>
      <c r="IFU174" s="204"/>
      <c r="IFV174" s="204"/>
      <c r="IFW174" s="205"/>
      <c r="IFX174" s="206"/>
      <c r="IFY174" s="207"/>
      <c r="IFZ174" s="207"/>
      <c r="IGA174" s="208"/>
      <c r="IGB174" s="209"/>
      <c r="IGC174" s="207"/>
      <c r="IGD174" s="210"/>
      <c r="IGE174" s="209"/>
      <c r="IGF174" s="204"/>
      <c r="IGG174" s="204"/>
      <c r="IGH174" s="204"/>
      <c r="IGI174" s="199"/>
      <c r="IGJ174" s="167"/>
      <c r="IGK174" s="199"/>
      <c r="IGL174" s="200"/>
      <c r="IGM174" s="201"/>
      <c r="IGN174" s="202"/>
      <c r="IGO174" s="202"/>
      <c r="IGP174" s="202"/>
      <c r="IGQ174" s="202"/>
      <c r="IGR174" s="203"/>
      <c r="IGS174" s="204"/>
      <c r="IGT174" s="204"/>
      <c r="IGU174" s="204"/>
      <c r="IGV174" s="205"/>
      <c r="IGW174" s="206"/>
      <c r="IGX174" s="207"/>
      <c r="IGY174" s="207"/>
      <c r="IGZ174" s="208"/>
      <c r="IHA174" s="209"/>
      <c r="IHB174" s="207"/>
      <c r="IHC174" s="210"/>
      <c r="IHD174" s="209"/>
      <c r="IHE174" s="204"/>
      <c r="IHF174" s="204"/>
      <c r="IHG174" s="204"/>
      <c r="IHH174" s="199"/>
      <c r="IHI174" s="167"/>
      <c r="IHJ174" s="199"/>
      <c r="IHK174" s="200"/>
      <c r="IHL174" s="201"/>
      <c r="IHM174" s="202"/>
      <c r="IHN174" s="202"/>
      <c r="IHO174" s="202"/>
      <c r="IHP174" s="202"/>
      <c r="IHQ174" s="203"/>
      <c r="IHR174" s="204"/>
      <c r="IHS174" s="204"/>
      <c r="IHT174" s="204"/>
      <c r="IHU174" s="205"/>
      <c r="IHV174" s="206"/>
      <c r="IHW174" s="207"/>
      <c r="IHX174" s="207"/>
      <c r="IHY174" s="208"/>
      <c r="IHZ174" s="209"/>
      <c r="IIA174" s="207"/>
      <c r="IIB174" s="210"/>
      <c r="IIC174" s="209"/>
      <c r="IID174" s="204"/>
      <c r="IIE174" s="204"/>
      <c r="IIF174" s="204"/>
      <c r="IIG174" s="199"/>
      <c r="IIH174" s="167"/>
      <c r="III174" s="199"/>
      <c r="IIJ174" s="200"/>
      <c r="IIK174" s="201"/>
      <c r="IIL174" s="202"/>
      <c r="IIM174" s="202"/>
      <c r="IIN174" s="202"/>
      <c r="IIO174" s="202"/>
      <c r="IIP174" s="203"/>
      <c r="IIQ174" s="204"/>
      <c r="IIR174" s="204"/>
      <c r="IIS174" s="204"/>
      <c r="IIT174" s="205"/>
      <c r="IIU174" s="206"/>
      <c r="IIV174" s="207"/>
      <c r="IIW174" s="207"/>
      <c r="IIX174" s="208"/>
      <c r="IIY174" s="209"/>
      <c r="IIZ174" s="207"/>
      <c r="IJA174" s="210"/>
      <c r="IJB174" s="209"/>
      <c r="IJC174" s="204"/>
      <c r="IJD174" s="204"/>
      <c r="IJE174" s="204"/>
      <c r="IJF174" s="199"/>
      <c r="IJG174" s="167"/>
      <c r="IJH174" s="199"/>
      <c r="IJI174" s="200"/>
      <c r="IJJ174" s="201"/>
      <c r="IJK174" s="202"/>
      <c r="IJL174" s="202"/>
      <c r="IJM174" s="202"/>
      <c r="IJN174" s="202"/>
      <c r="IJO174" s="203"/>
      <c r="IJP174" s="204"/>
      <c r="IJQ174" s="204"/>
      <c r="IJR174" s="204"/>
      <c r="IJS174" s="205"/>
      <c r="IJT174" s="206"/>
      <c r="IJU174" s="207"/>
      <c r="IJV174" s="207"/>
      <c r="IJW174" s="208"/>
      <c r="IJX174" s="209"/>
      <c r="IJY174" s="207"/>
      <c r="IJZ174" s="210"/>
      <c r="IKA174" s="209"/>
      <c r="IKB174" s="204"/>
      <c r="IKC174" s="204"/>
      <c r="IKD174" s="204"/>
      <c r="IKE174" s="199"/>
      <c r="IKF174" s="167"/>
      <c r="IKG174" s="199"/>
      <c r="IKH174" s="200"/>
      <c r="IKI174" s="201"/>
      <c r="IKJ174" s="202"/>
      <c r="IKK174" s="202"/>
      <c r="IKL174" s="202"/>
      <c r="IKM174" s="202"/>
      <c r="IKN174" s="203"/>
      <c r="IKO174" s="204"/>
      <c r="IKP174" s="204"/>
      <c r="IKQ174" s="204"/>
      <c r="IKR174" s="205"/>
      <c r="IKS174" s="206"/>
      <c r="IKT174" s="207"/>
      <c r="IKU174" s="207"/>
      <c r="IKV174" s="208"/>
      <c r="IKW174" s="209"/>
      <c r="IKX174" s="207"/>
      <c r="IKY174" s="210"/>
      <c r="IKZ174" s="209"/>
      <c r="ILA174" s="204"/>
      <c r="ILB174" s="204"/>
      <c r="ILC174" s="204"/>
      <c r="ILD174" s="199"/>
      <c r="ILE174" s="167"/>
      <c r="ILF174" s="199"/>
      <c r="ILG174" s="200"/>
      <c r="ILH174" s="201"/>
      <c r="ILI174" s="202"/>
      <c r="ILJ174" s="202"/>
      <c r="ILK174" s="202"/>
      <c r="ILL174" s="202"/>
      <c r="ILM174" s="203"/>
      <c r="ILN174" s="204"/>
      <c r="ILO174" s="204"/>
      <c r="ILP174" s="204"/>
      <c r="ILQ174" s="205"/>
      <c r="ILR174" s="206"/>
      <c r="ILS174" s="207"/>
      <c r="ILT174" s="207"/>
      <c r="ILU174" s="208"/>
      <c r="ILV174" s="209"/>
      <c r="ILW174" s="207"/>
      <c r="ILX174" s="210"/>
      <c r="ILY174" s="209"/>
      <c r="ILZ174" s="204"/>
      <c r="IMA174" s="204"/>
      <c r="IMB174" s="204"/>
      <c r="IMC174" s="199"/>
      <c r="IMD174" s="167"/>
      <c r="IME174" s="199"/>
      <c r="IMF174" s="200"/>
      <c r="IMG174" s="201"/>
      <c r="IMH174" s="202"/>
      <c r="IMI174" s="202"/>
      <c r="IMJ174" s="202"/>
      <c r="IMK174" s="202"/>
      <c r="IML174" s="203"/>
      <c r="IMM174" s="204"/>
      <c r="IMN174" s="204"/>
      <c r="IMO174" s="204"/>
      <c r="IMP174" s="205"/>
      <c r="IMQ174" s="206"/>
      <c r="IMR174" s="207"/>
      <c r="IMS174" s="207"/>
      <c r="IMT174" s="208"/>
      <c r="IMU174" s="209"/>
      <c r="IMV174" s="207"/>
      <c r="IMW174" s="210"/>
      <c r="IMX174" s="209"/>
      <c r="IMY174" s="204"/>
      <c r="IMZ174" s="204"/>
      <c r="INA174" s="204"/>
      <c r="INB174" s="199"/>
      <c r="INC174" s="167"/>
      <c r="IND174" s="199"/>
      <c r="INE174" s="200"/>
      <c r="INF174" s="201"/>
      <c r="ING174" s="202"/>
      <c r="INH174" s="202"/>
      <c r="INI174" s="202"/>
      <c r="INJ174" s="202"/>
      <c r="INK174" s="203"/>
      <c r="INL174" s="204"/>
      <c r="INM174" s="204"/>
      <c r="INN174" s="204"/>
      <c r="INO174" s="205"/>
      <c r="INP174" s="206"/>
      <c r="INQ174" s="207"/>
      <c r="INR174" s="207"/>
      <c r="INS174" s="208"/>
      <c r="INT174" s="209"/>
      <c r="INU174" s="207"/>
      <c r="INV174" s="210"/>
      <c r="INW174" s="209"/>
      <c r="INX174" s="204"/>
      <c r="INY174" s="204"/>
      <c r="INZ174" s="204"/>
      <c r="IOA174" s="199"/>
      <c r="IOB174" s="167"/>
      <c r="IOC174" s="199"/>
      <c r="IOD174" s="200"/>
      <c r="IOE174" s="201"/>
      <c r="IOF174" s="202"/>
      <c r="IOG174" s="202"/>
      <c r="IOH174" s="202"/>
      <c r="IOI174" s="202"/>
      <c r="IOJ174" s="203"/>
      <c r="IOK174" s="204"/>
      <c r="IOL174" s="204"/>
      <c r="IOM174" s="204"/>
      <c r="ION174" s="205"/>
      <c r="IOO174" s="206"/>
      <c r="IOP174" s="207"/>
      <c r="IOQ174" s="207"/>
      <c r="IOR174" s="208"/>
      <c r="IOS174" s="209"/>
      <c r="IOT174" s="207"/>
      <c r="IOU174" s="210"/>
      <c r="IOV174" s="209"/>
      <c r="IOW174" s="204"/>
      <c r="IOX174" s="204"/>
      <c r="IOY174" s="204"/>
      <c r="IOZ174" s="199"/>
      <c r="IPA174" s="167"/>
      <c r="IPB174" s="199"/>
      <c r="IPC174" s="200"/>
      <c r="IPD174" s="201"/>
      <c r="IPE174" s="202"/>
      <c r="IPF174" s="202"/>
      <c r="IPG174" s="202"/>
      <c r="IPH174" s="202"/>
      <c r="IPI174" s="203"/>
      <c r="IPJ174" s="204"/>
      <c r="IPK174" s="204"/>
      <c r="IPL174" s="204"/>
      <c r="IPM174" s="205"/>
      <c r="IPN174" s="206"/>
      <c r="IPO174" s="207"/>
      <c r="IPP174" s="207"/>
      <c r="IPQ174" s="208"/>
      <c r="IPR174" s="209"/>
      <c r="IPS174" s="207"/>
      <c r="IPT174" s="210"/>
      <c r="IPU174" s="209"/>
      <c r="IPV174" s="204"/>
      <c r="IPW174" s="204"/>
      <c r="IPX174" s="204"/>
      <c r="IPY174" s="199"/>
      <c r="IPZ174" s="167"/>
      <c r="IQA174" s="199"/>
      <c r="IQB174" s="200"/>
      <c r="IQC174" s="201"/>
      <c r="IQD174" s="202"/>
      <c r="IQE174" s="202"/>
      <c r="IQF174" s="202"/>
      <c r="IQG174" s="202"/>
      <c r="IQH174" s="203"/>
      <c r="IQI174" s="204"/>
      <c r="IQJ174" s="204"/>
      <c r="IQK174" s="204"/>
      <c r="IQL174" s="205"/>
      <c r="IQM174" s="206"/>
      <c r="IQN174" s="207"/>
      <c r="IQO174" s="207"/>
      <c r="IQP174" s="208"/>
      <c r="IQQ174" s="209"/>
      <c r="IQR174" s="207"/>
      <c r="IQS174" s="210"/>
      <c r="IQT174" s="209"/>
      <c r="IQU174" s="204"/>
      <c r="IQV174" s="204"/>
      <c r="IQW174" s="204"/>
      <c r="IQX174" s="199"/>
      <c r="IQY174" s="167"/>
      <c r="IQZ174" s="199"/>
      <c r="IRA174" s="200"/>
      <c r="IRB174" s="201"/>
      <c r="IRC174" s="202"/>
      <c r="IRD174" s="202"/>
      <c r="IRE174" s="202"/>
      <c r="IRF174" s="202"/>
      <c r="IRG174" s="203"/>
      <c r="IRH174" s="204"/>
      <c r="IRI174" s="204"/>
      <c r="IRJ174" s="204"/>
      <c r="IRK174" s="205"/>
      <c r="IRL174" s="206"/>
      <c r="IRM174" s="207"/>
      <c r="IRN174" s="207"/>
      <c r="IRO174" s="208"/>
      <c r="IRP174" s="209"/>
      <c r="IRQ174" s="207"/>
      <c r="IRR174" s="210"/>
      <c r="IRS174" s="209"/>
      <c r="IRT174" s="204"/>
      <c r="IRU174" s="204"/>
      <c r="IRV174" s="204"/>
      <c r="IRW174" s="199"/>
      <c r="IRX174" s="167"/>
      <c r="IRY174" s="199"/>
      <c r="IRZ174" s="200"/>
      <c r="ISA174" s="201"/>
      <c r="ISB174" s="202"/>
      <c r="ISC174" s="202"/>
      <c r="ISD174" s="202"/>
      <c r="ISE174" s="202"/>
      <c r="ISF174" s="203"/>
      <c r="ISG174" s="204"/>
      <c r="ISH174" s="204"/>
      <c r="ISI174" s="204"/>
      <c r="ISJ174" s="205"/>
      <c r="ISK174" s="206"/>
      <c r="ISL174" s="207"/>
      <c r="ISM174" s="207"/>
      <c r="ISN174" s="208"/>
      <c r="ISO174" s="209"/>
      <c r="ISP174" s="207"/>
      <c r="ISQ174" s="210"/>
      <c r="ISR174" s="209"/>
      <c r="ISS174" s="204"/>
      <c r="IST174" s="204"/>
      <c r="ISU174" s="204"/>
      <c r="ISV174" s="199"/>
      <c r="ISW174" s="167"/>
      <c r="ISX174" s="199"/>
      <c r="ISY174" s="200"/>
      <c r="ISZ174" s="201"/>
      <c r="ITA174" s="202"/>
      <c r="ITB174" s="202"/>
      <c r="ITC174" s="202"/>
      <c r="ITD174" s="202"/>
      <c r="ITE174" s="203"/>
      <c r="ITF174" s="204"/>
      <c r="ITG174" s="204"/>
      <c r="ITH174" s="204"/>
      <c r="ITI174" s="205"/>
      <c r="ITJ174" s="206"/>
      <c r="ITK174" s="207"/>
      <c r="ITL174" s="207"/>
      <c r="ITM174" s="208"/>
      <c r="ITN174" s="209"/>
      <c r="ITO174" s="207"/>
      <c r="ITP174" s="210"/>
      <c r="ITQ174" s="209"/>
      <c r="ITR174" s="204"/>
      <c r="ITS174" s="204"/>
      <c r="ITT174" s="204"/>
      <c r="ITU174" s="199"/>
      <c r="ITV174" s="167"/>
      <c r="ITW174" s="199"/>
      <c r="ITX174" s="200"/>
      <c r="ITY174" s="201"/>
      <c r="ITZ174" s="202"/>
      <c r="IUA174" s="202"/>
      <c r="IUB174" s="202"/>
      <c r="IUC174" s="202"/>
      <c r="IUD174" s="203"/>
      <c r="IUE174" s="204"/>
      <c r="IUF174" s="204"/>
      <c r="IUG174" s="204"/>
      <c r="IUH174" s="205"/>
      <c r="IUI174" s="206"/>
      <c r="IUJ174" s="207"/>
      <c r="IUK174" s="207"/>
      <c r="IUL174" s="208"/>
      <c r="IUM174" s="209"/>
      <c r="IUN174" s="207"/>
      <c r="IUO174" s="210"/>
      <c r="IUP174" s="209"/>
      <c r="IUQ174" s="204"/>
      <c r="IUR174" s="204"/>
      <c r="IUS174" s="204"/>
      <c r="IUT174" s="199"/>
      <c r="IUU174" s="167"/>
      <c r="IUV174" s="199"/>
      <c r="IUW174" s="200"/>
      <c r="IUX174" s="201"/>
      <c r="IUY174" s="202"/>
      <c r="IUZ174" s="202"/>
      <c r="IVA174" s="202"/>
      <c r="IVB174" s="202"/>
      <c r="IVC174" s="203"/>
      <c r="IVD174" s="204"/>
      <c r="IVE174" s="204"/>
      <c r="IVF174" s="204"/>
      <c r="IVG174" s="205"/>
      <c r="IVH174" s="206"/>
      <c r="IVI174" s="207"/>
      <c r="IVJ174" s="207"/>
      <c r="IVK174" s="208"/>
      <c r="IVL174" s="209"/>
      <c r="IVM174" s="207"/>
      <c r="IVN174" s="210"/>
      <c r="IVO174" s="209"/>
      <c r="IVP174" s="204"/>
      <c r="IVQ174" s="204"/>
      <c r="IVR174" s="204"/>
      <c r="IVS174" s="199"/>
      <c r="IVT174" s="167"/>
      <c r="IVU174" s="199"/>
      <c r="IVV174" s="200"/>
      <c r="IVW174" s="201"/>
      <c r="IVX174" s="202"/>
      <c r="IVY174" s="202"/>
      <c r="IVZ174" s="202"/>
      <c r="IWA174" s="202"/>
      <c r="IWB174" s="203"/>
      <c r="IWC174" s="204"/>
      <c r="IWD174" s="204"/>
      <c r="IWE174" s="204"/>
      <c r="IWF174" s="205"/>
      <c r="IWG174" s="206"/>
      <c r="IWH174" s="207"/>
      <c r="IWI174" s="207"/>
      <c r="IWJ174" s="208"/>
      <c r="IWK174" s="209"/>
      <c r="IWL174" s="207"/>
      <c r="IWM174" s="210"/>
      <c r="IWN174" s="209"/>
      <c r="IWO174" s="204"/>
      <c r="IWP174" s="204"/>
      <c r="IWQ174" s="204"/>
      <c r="IWR174" s="199"/>
      <c r="IWS174" s="167"/>
      <c r="IWT174" s="199"/>
      <c r="IWU174" s="200"/>
      <c r="IWV174" s="201"/>
      <c r="IWW174" s="202"/>
      <c r="IWX174" s="202"/>
      <c r="IWY174" s="202"/>
      <c r="IWZ174" s="202"/>
      <c r="IXA174" s="203"/>
      <c r="IXB174" s="204"/>
      <c r="IXC174" s="204"/>
      <c r="IXD174" s="204"/>
      <c r="IXE174" s="205"/>
      <c r="IXF174" s="206"/>
      <c r="IXG174" s="207"/>
      <c r="IXH174" s="207"/>
      <c r="IXI174" s="208"/>
      <c r="IXJ174" s="209"/>
      <c r="IXK174" s="207"/>
      <c r="IXL174" s="210"/>
      <c r="IXM174" s="209"/>
      <c r="IXN174" s="204"/>
      <c r="IXO174" s="204"/>
      <c r="IXP174" s="204"/>
      <c r="IXQ174" s="199"/>
      <c r="IXR174" s="167"/>
      <c r="IXS174" s="199"/>
      <c r="IXT174" s="200"/>
      <c r="IXU174" s="201"/>
      <c r="IXV174" s="202"/>
      <c r="IXW174" s="202"/>
      <c r="IXX174" s="202"/>
      <c r="IXY174" s="202"/>
      <c r="IXZ174" s="203"/>
      <c r="IYA174" s="204"/>
      <c r="IYB174" s="204"/>
      <c r="IYC174" s="204"/>
      <c r="IYD174" s="205"/>
      <c r="IYE174" s="206"/>
      <c r="IYF174" s="207"/>
      <c r="IYG174" s="207"/>
      <c r="IYH174" s="208"/>
      <c r="IYI174" s="209"/>
      <c r="IYJ174" s="207"/>
      <c r="IYK174" s="210"/>
      <c r="IYL174" s="209"/>
      <c r="IYM174" s="204"/>
      <c r="IYN174" s="204"/>
      <c r="IYO174" s="204"/>
      <c r="IYP174" s="199"/>
      <c r="IYQ174" s="167"/>
      <c r="IYR174" s="199"/>
      <c r="IYS174" s="200"/>
      <c r="IYT174" s="201"/>
      <c r="IYU174" s="202"/>
      <c r="IYV174" s="202"/>
      <c r="IYW174" s="202"/>
      <c r="IYX174" s="202"/>
      <c r="IYY174" s="203"/>
      <c r="IYZ174" s="204"/>
      <c r="IZA174" s="204"/>
      <c r="IZB174" s="204"/>
      <c r="IZC174" s="205"/>
      <c r="IZD174" s="206"/>
      <c r="IZE174" s="207"/>
      <c r="IZF174" s="207"/>
      <c r="IZG174" s="208"/>
      <c r="IZH174" s="209"/>
      <c r="IZI174" s="207"/>
      <c r="IZJ174" s="210"/>
      <c r="IZK174" s="209"/>
      <c r="IZL174" s="204"/>
      <c r="IZM174" s="204"/>
      <c r="IZN174" s="204"/>
      <c r="IZO174" s="199"/>
      <c r="IZP174" s="167"/>
      <c r="IZQ174" s="199"/>
      <c r="IZR174" s="200"/>
      <c r="IZS174" s="201"/>
      <c r="IZT174" s="202"/>
      <c r="IZU174" s="202"/>
      <c r="IZV174" s="202"/>
      <c r="IZW174" s="202"/>
      <c r="IZX174" s="203"/>
      <c r="IZY174" s="204"/>
      <c r="IZZ174" s="204"/>
      <c r="JAA174" s="204"/>
      <c r="JAB174" s="205"/>
      <c r="JAC174" s="206"/>
      <c r="JAD174" s="207"/>
      <c r="JAE174" s="207"/>
      <c r="JAF174" s="208"/>
      <c r="JAG174" s="209"/>
      <c r="JAH174" s="207"/>
      <c r="JAI174" s="210"/>
      <c r="JAJ174" s="209"/>
      <c r="JAK174" s="204"/>
      <c r="JAL174" s="204"/>
      <c r="JAM174" s="204"/>
      <c r="JAN174" s="199"/>
      <c r="JAO174" s="167"/>
      <c r="JAP174" s="199"/>
      <c r="JAQ174" s="200"/>
      <c r="JAR174" s="201"/>
      <c r="JAS174" s="202"/>
      <c r="JAT174" s="202"/>
      <c r="JAU174" s="202"/>
      <c r="JAV174" s="202"/>
      <c r="JAW174" s="203"/>
      <c r="JAX174" s="204"/>
      <c r="JAY174" s="204"/>
      <c r="JAZ174" s="204"/>
      <c r="JBA174" s="205"/>
      <c r="JBB174" s="206"/>
      <c r="JBC174" s="207"/>
      <c r="JBD174" s="207"/>
      <c r="JBE174" s="208"/>
      <c r="JBF174" s="209"/>
      <c r="JBG174" s="207"/>
      <c r="JBH174" s="210"/>
      <c r="JBI174" s="209"/>
      <c r="JBJ174" s="204"/>
      <c r="JBK174" s="204"/>
      <c r="JBL174" s="204"/>
      <c r="JBM174" s="199"/>
      <c r="JBN174" s="167"/>
      <c r="JBO174" s="199"/>
      <c r="JBP174" s="200"/>
      <c r="JBQ174" s="201"/>
      <c r="JBR174" s="202"/>
      <c r="JBS174" s="202"/>
      <c r="JBT174" s="202"/>
      <c r="JBU174" s="202"/>
      <c r="JBV174" s="203"/>
      <c r="JBW174" s="204"/>
      <c r="JBX174" s="204"/>
      <c r="JBY174" s="204"/>
      <c r="JBZ174" s="205"/>
      <c r="JCA174" s="206"/>
      <c r="JCB174" s="207"/>
      <c r="JCC174" s="207"/>
      <c r="JCD174" s="208"/>
      <c r="JCE174" s="209"/>
      <c r="JCF174" s="207"/>
      <c r="JCG174" s="210"/>
      <c r="JCH174" s="209"/>
      <c r="JCI174" s="204"/>
      <c r="JCJ174" s="204"/>
      <c r="JCK174" s="204"/>
      <c r="JCL174" s="199"/>
      <c r="JCM174" s="167"/>
      <c r="JCN174" s="199"/>
      <c r="JCO174" s="200"/>
      <c r="JCP174" s="201"/>
      <c r="JCQ174" s="202"/>
      <c r="JCR174" s="202"/>
      <c r="JCS174" s="202"/>
      <c r="JCT174" s="202"/>
      <c r="JCU174" s="203"/>
      <c r="JCV174" s="204"/>
      <c r="JCW174" s="204"/>
      <c r="JCX174" s="204"/>
      <c r="JCY174" s="205"/>
      <c r="JCZ174" s="206"/>
      <c r="JDA174" s="207"/>
      <c r="JDB174" s="207"/>
      <c r="JDC174" s="208"/>
      <c r="JDD174" s="209"/>
      <c r="JDE174" s="207"/>
      <c r="JDF174" s="210"/>
      <c r="JDG174" s="209"/>
      <c r="JDH174" s="204"/>
      <c r="JDI174" s="204"/>
      <c r="JDJ174" s="204"/>
      <c r="JDK174" s="199"/>
      <c r="JDL174" s="167"/>
      <c r="JDM174" s="199"/>
      <c r="JDN174" s="200"/>
      <c r="JDO174" s="201"/>
      <c r="JDP174" s="202"/>
      <c r="JDQ174" s="202"/>
      <c r="JDR174" s="202"/>
      <c r="JDS174" s="202"/>
      <c r="JDT174" s="203"/>
      <c r="JDU174" s="204"/>
      <c r="JDV174" s="204"/>
      <c r="JDW174" s="204"/>
      <c r="JDX174" s="205"/>
      <c r="JDY174" s="206"/>
      <c r="JDZ174" s="207"/>
      <c r="JEA174" s="207"/>
      <c r="JEB174" s="208"/>
      <c r="JEC174" s="209"/>
      <c r="JED174" s="207"/>
      <c r="JEE174" s="210"/>
      <c r="JEF174" s="209"/>
      <c r="JEG174" s="204"/>
      <c r="JEH174" s="204"/>
      <c r="JEI174" s="204"/>
      <c r="JEJ174" s="199"/>
      <c r="JEK174" s="167"/>
      <c r="JEL174" s="199"/>
      <c r="JEM174" s="200"/>
      <c r="JEN174" s="201"/>
      <c r="JEO174" s="202"/>
      <c r="JEP174" s="202"/>
      <c r="JEQ174" s="202"/>
      <c r="JER174" s="202"/>
      <c r="JES174" s="203"/>
      <c r="JET174" s="204"/>
      <c r="JEU174" s="204"/>
      <c r="JEV174" s="204"/>
      <c r="JEW174" s="205"/>
      <c r="JEX174" s="206"/>
      <c r="JEY174" s="207"/>
      <c r="JEZ174" s="207"/>
      <c r="JFA174" s="208"/>
      <c r="JFB174" s="209"/>
      <c r="JFC174" s="207"/>
      <c r="JFD174" s="210"/>
      <c r="JFE174" s="209"/>
      <c r="JFF174" s="204"/>
      <c r="JFG174" s="204"/>
      <c r="JFH174" s="204"/>
      <c r="JFI174" s="199"/>
      <c r="JFJ174" s="167"/>
      <c r="JFK174" s="199"/>
      <c r="JFL174" s="200"/>
      <c r="JFM174" s="201"/>
      <c r="JFN174" s="202"/>
      <c r="JFO174" s="202"/>
      <c r="JFP174" s="202"/>
      <c r="JFQ174" s="202"/>
      <c r="JFR174" s="203"/>
      <c r="JFS174" s="204"/>
      <c r="JFT174" s="204"/>
      <c r="JFU174" s="204"/>
      <c r="JFV174" s="205"/>
      <c r="JFW174" s="206"/>
      <c r="JFX174" s="207"/>
      <c r="JFY174" s="207"/>
      <c r="JFZ174" s="208"/>
      <c r="JGA174" s="209"/>
      <c r="JGB174" s="207"/>
      <c r="JGC174" s="210"/>
      <c r="JGD174" s="209"/>
      <c r="JGE174" s="204"/>
      <c r="JGF174" s="204"/>
      <c r="JGG174" s="204"/>
      <c r="JGH174" s="199"/>
      <c r="JGI174" s="167"/>
      <c r="JGJ174" s="199"/>
      <c r="JGK174" s="200"/>
      <c r="JGL174" s="201"/>
      <c r="JGM174" s="202"/>
      <c r="JGN174" s="202"/>
      <c r="JGO174" s="202"/>
      <c r="JGP174" s="202"/>
      <c r="JGQ174" s="203"/>
      <c r="JGR174" s="204"/>
      <c r="JGS174" s="204"/>
      <c r="JGT174" s="204"/>
      <c r="JGU174" s="205"/>
      <c r="JGV174" s="206"/>
      <c r="JGW174" s="207"/>
      <c r="JGX174" s="207"/>
      <c r="JGY174" s="208"/>
      <c r="JGZ174" s="209"/>
      <c r="JHA174" s="207"/>
      <c r="JHB174" s="210"/>
      <c r="JHC174" s="209"/>
      <c r="JHD174" s="204"/>
      <c r="JHE174" s="204"/>
      <c r="JHF174" s="204"/>
      <c r="JHG174" s="199"/>
      <c r="JHH174" s="167"/>
      <c r="JHI174" s="199"/>
      <c r="JHJ174" s="200"/>
      <c r="JHK174" s="201"/>
      <c r="JHL174" s="202"/>
      <c r="JHM174" s="202"/>
      <c r="JHN174" s="202"/>
      <c r="JHO174" s="202"/>
      <c r="JHP174" s="203"/>
      <c r="JHQ174" s="204"/>
      <c r="JHR174" s="204"/>
      <c r="JHS174" s="204"/>
      <c r="JHT174" s="205"/>
      <c r="JHU174" s="206"/>
      <c r="JHV174" s="207"/>
      <c r="JHW174" s="207"/>
      <c r="JHX174" s="208"/>
      <c r="JHY174" s="209"/>
      <c r="JHZ174" s="207"/>
      <c r="JIA174" s="210"/>
      <c r="JIB174" s="209"/>
      <c r="JIC174" s="204"/>
      <c r="JID174" s="204"/>
      <c r="JIE174" s="204"/>
      <c r="JIF174" s="199"/>
      <c r="JIG174" s="167"/>
      <c r="JIH174" s="199"/>
      <c r="JII174" s="200"/>
      <c r="JIJ174" s="201"/>
      <c r="JIK174" s="202"/>
      <c r="JIL174" s="202"/>
      <c r="JIM174" s="202"/>
      <c r="JIN174" s="202"/>
      <c r="JIO174" s="203"/>
      <c r="JIP174" s="204"/>
      <c r="JIQ174" s="204"/>
      <c r="JIR174" s="204"/>
      <c r="JIS174" s="205"/>
      <c r="JIT174" s="206"/>
      <c r="JIU174" s="207"/>
      <c r="JIV174" s="207"/>
      <c r="JIW174" s="208"/>
      <c r="JIX174" s="209"/>
      <c r="JIY174" s="207"/>
      <c r="JIZ174" s="210"/>
      <c r="JJA174" s="209"/>
      <c r="JJB174" s="204"/>
      <c r="JJC174" s="204"/>
      <c r="JJD174" s="204"/>
      <c r="JJE174" s="199"/>
      <c r="JJF174" s="167"/>
      <c r="JJG174" s="199"/>
      <c r="JJH174" s="200"/>
      <c r="JJI174" s="201"/>
      <c r="JJJ174" s="202"/>
      <c r="JJK174" s="202"/>
      <c r="JJL174" s="202"/>
      <c r="JJM174" s="202"/>
      <c r="JJN174" s="203"/>
      <c r="JJO174" s="204"/>
      <c r="JJP174" s="204"/>
      <c r="JJQ174" s="204"/>
      <c r="JJR174" s="205"/>
      <c r="JJS174" s="206"/>
      <c r="JJT174" s="207"/>
      <c r="JJU174" s="207"/>
      <c r="JJV174" s="208"/>
      <c r="JJW174" s="209"/>
      <c r="JJX174" s="207"/>
      <c r="JJY174" s="210"/>
      <c r="JJZ174" s="209"/>
      <c r="JKA174" s="204"/>
      <c r="JKB174" s="204"/>
      <c r="JKC174" s="204"/>
      <c r="JKD174" s="199"/>
      <c r="JKE174" s="167"/>
      <c r="JKF174" s="199"/>
      <c r="JKG174" s="200"/>
      <c r="JKH174" s="201"/>
      <c r="JKI174" s="202"/>
      <c r="JKJ174" s="202"/>
      <c r="JKK174" s="202"/>
      <c r="JKL174" s="202"/>
      <c r="JKM174" s="203"/>
      <c r="JKN174" s="204"/>
      <c r="JKO174" s="204"/>
      <c r="JKP174" s="204"/>
      <c r="JKQ174" s="205"/>
      <c r="JKR174" s="206"/>
      <c r="JKS174" s="207"/>
      <c r="JKT174" s="207"/>
      <c r="JKU174" s="208"/>
      <c r="JKV174" s="209"/>
      <c r="JKW174" s="207"/>
      <c r="JKX174" s="210"/>
      <c r="JKY174" s="209"/>
      <c r="JKZ174" s="204"/>
      <c r="JLA174" s="204"/>
      <c r="JLB174" s="204"/>
      <c r="JLC174" s="199"/>
      <c r="JLD174" s="167"/>
      <c r="JLE174" s="199"/>
      <c r="JLF174" s="200"/>
      <c r="JLG174" s="201"/>
      <c r="JLH174" s="202"/>
      <c r="JLI174" s="202"/>
      <c r="JLJ174" s="202"/>
      <c r="JLK174" s="202"/>
      <c r="JLL174" s="203"/>
      <c r="JLM174" s="204"/>
      <c r="JLN174" s="204"/>
      <c r="JLO174" s="204"/>
      <c r="JLP174" s="205"/>
      <c r="JLQ174" s="206"/>
      <c r="JLR174" s="207"/>
      <c r="JLS174" s="207"/>
      <c r="JLT174" s="208"/>
      <c r="JLU174" s="209"/>
      <c r="JLV174" s="207"/>
      <c r="JLW174" s="210"/>
      <c r="JLX174" s="209"/>
      <c r="JLY174" s="204"/>
      <c r="JLZ174" s="204"/>
      <c r="JMA174" s="204"/>
      <c r="JMB174" s="199"/>
      <c r="JMC174" s="167"/>
      <c r="JMD174" s="199"/>
      <c r="JME174" s="200"/>
      <c r="JMF174" s="201"/>
      <c r="JMG174" s="202"/>
      <c r="JMH174" s="202"/>
      <c r="JMI174" s="202"/>
      <c r="JMJ174" s="202"/>
      <c r="JMK174" s="203"/>
      <c r="JML174" s="204"/>
      <c r="JMM174" s="204"/>
      <c r="JMN174" s="204"/>
      <c r="JMO174" s="205"/>
      <c r="JMP174" s="206"/>
      <c r="JMQ174" s="207"/>
      <c r="JMR174" s="207"/>
      <c r="JMS174" s="208"/>
      <c r="JMT174" s="209"/>
      <c r="JMU174" s="207"/>
      <c r="JMV174" s="210"/>
      <c r="JMW174" s="209"/>
      <c r="JMX174" s="204"/>
      <c r="JMY174" s="204"/>
      <c r="JMZ174" s="204"/>
      <c r="JNA174" s="199"/>
      <c r="JNB174" s="167"/>
      <c r="JNC174" s="199"/>
      <c r="JND174" s="200"/>
      <c r="JNE174" s="201"/>
      <c r="JNF174" s="202"/>
      <c r="JNG174" s="202"/>
      <c r="JNH174" s="202"/>
      <c r="JNI174" s="202"/>
      <c r="JNJ174" s="203"/>
      <c r="JNK174" s="204"/>
      <c r="JNL174" s="204"/>
      <c r="JNM174" s="204"/>
      <c r="JNN174" s="205"/>
      <c r="JNO174" s="206"/>
      <c r="JNP174" s="207"/>
      <c r="JNQ174" s="207"/>
      <c r="JNR174" s="208"/>
      <c r="JNS174" s="209"/>
      <c r="JNT174" s="207"/>
      <c r="JNU174" s="210"/>
      <c r="JNV174" s="209"/>
      <c r="JNW174" s="204"/>
      <c r="JNX174" s="204"/>
      <c r="JNY174" s="204"/>
      <c r="JNZ174" s="199"/>
      <c r="JOA174" s="167"/>
      <c r="JOB174" s="199"/>
      <c r="JOC174" s="200"/>
      <c r="JOD174" s="201"/>
      <c r="JOE174" s="202"/>
      <c r="JOF174" s="202"/>
      <c r="JOG174" s="202"/>
      <c r="JOH174" s="202"/>
      <c r="JOI174" s="203"/>
      <c r="JOJ174" s="204"/>
      <c r="JOK174" s="204"/>
      <c r="JOL174" s="204"/>
      <c r="JOM174" s="205"/>
      <c r="JON174" s="206"/>
      <c r="JOO174" s="207"/>
      <c r="JOP174" s="207"/>
      <c r="JOQ174" s="208"/>
      <c r="JOR174" s="209"/>
      <c r="JOS174" s="207"/>
      <c r="JOT174" s="210"/>
      <c r="JOU174" s="209"/>
      <c r="JOV174" s="204"/>
      <c r="JOW174" s="204"/>
      <c r="JOX174" s="204"/>
      <c r="JOY174" s="199"/>
      <c r="JOZ174" s="167"/>
      <c r="JPA174" s="199"/>
      <c r="JPB174" s="200"/>
      <c r="JPC174" s="201"/>
      <c r="JPD174" s="202"/>
      <c r="JPE174" s="202"/>
      <c r="JPF174" s="202"/>
      <c r="JPG174" s="202"/>
      <c r="JPH174" s="203"/>
      <c r="JPI174" s="204"/>
      <c r="JPJ174" s="204"/>
      <c r="JPK174" s="204"/>
      <c r="JPL174" s="205"/>
      <c r="JPM174" s="206"/>
      <c r="JPN174" s="207"/>
      <c r="JPO174" s="207"/>
      <c r="JPP174" s="208"/>
      <c r="JPQ174" s="209"/>
      <c r="JPR174" s="207"/>
      <c r="JPS174" s="210"/>
      <c r="JPT174" s="209"/>
      <c r="JPU174" s="204"/>
      <c r="JPV174" s="204"/>
      <c r="JPW174" s="204"/>
      <c r="JPX174" s="199"/>
      <c r="JPY174" s="167"/>
      <c r="JPZ174" s="199"/>
      <c r="JQA174" s="200"/>
      <c r="JQB174" s="201"/>
      <c r="JQC174" s="202"/>
      <c r="JQD174" s="202"/>
      <c r="JQE174" s="202"/>
      <c r="JQF174" s="202"/>
      <c r="JQG174" s="203"/>
      <c r="JQH174" s="204"/>
      <c r="JQI174" s="204"/>
      <c r="JQJ174" s="204"/>
      <c r="JQK174" s="205"/>
      <c r="JQL174" s="206"/>
      <c r="JQM174" s="207"/>
      <c r="JQN174" s="207"/>
      <c r="JQO174" s="208"/>
      <c r="JQP174" s="209"/>
      <c r="JQQ174" s="207"/>
      <c r="JQR174" s="210"/>
      <c r="JQS174" s="209"/>
      <c r="JQT174" s="204"/>
      <c r="JQU174" s="204"/>
      <c r="JQV174" s="204"/>
      <c r="JQW174" s="199"/>
      <c r="JQX174" s="167"/>
      <c r="JQY174" s="199"/>
      <c r="JQZ174" s="200"/>
      <c r="JRA174" s="201"/>
      <c r="JRB174" s="202"/>
      <c r="JRC174" s="202"/>
      <c r="JRD174" s="202"/>
      <c r="JRE174" s="202"/>
      <c r="JRF174" s="203"/>
      <c r="JRG174" s="204"/>
      <c r="JRH174" s="204"/>
      <c r="JRI174" s="204"/>
      <c r="JRJ174" s="205"/>
      <c r="JRK174" s="206"/>
      <c r="JRL174" s="207"/>
      <c r="JRM174" s="207"/>
      <c r="JRN174" s="208"/>
      <c r="JRO174" s="209"/>
      <c r="JRP174" s="207"/>
      <c r="JRQ174" s="210"/>
      <c r="JRR174" s="209"/>
      <c r="JRS174" s="204"/>
      <c r="JRT174" s="204"/>
      <c r="JRU174" s="204"/>
      <c r="JRV174" s="199"/>
      <c r="JRW174" s="167"/>
      <c r="JRX174" s="199"/>
      <c r="JRY174" s="200"/>
      <c r="JRZ174" s="201"/>
      <c r="JSA174" s="202"/>
      <c r="JSB174" s="202"/>
      <c r="JSC174" s="202"/>
      <c r="JSD174" s="202"/>
      <c r="JSE174" s="203"/>
      <c r="JSF174" s="204"/>
      <c r="JSG174" s="204"/>
      <c r="JSH174" s="204"/>
      <c r="JSI174" s="205"/>
      <c r="JSJ174" s="206"/>
      <c r="JSK174" s="207"/>
      <c r="JSL174" s="207"/>
      <c r="JSM174" s="208"/>
      <c r="JSN174" s="209"/>
      <c r="JSO174" s="207"/>
      <c r="JSP174" s="210"/>
      <c r="JSQ174" s="209"/>
      <c r="JSR174" s="204"/>
      <c r="JSS174" s="204"/>
      <c r="JST174" s="204"/>
      <c r="JSU174" s="199"/>
      <c r="JSV174" s="167"/>
      <c r="JSW174" s="199"/>
      <c r="JSX174" s="200"/>
      <c r="JSY174" s="201"/>
      <c r="JSZ174" s="202"/>
      <c r="JTA174" s="202"/>
      <c r="JTB174" s="202"/>
      <c r="JTC174" s="202"/>
      <c r="JTD174" s="203"/>
      <c r="JTE174" s="204"/>
      <c r="JTF174" s="204"/>
      <c r="JTG174" s="204"/>
      <c r="JTH174" s="205"/>
      <c r="JTI174" s="206"/>
      <c r="JTJ174" s="207"/>
      <c r="JTK174" s="207"/>
      <c r="JTL174" s="208"/>
      <c r="JTM174" s="209"/>
      <c r="JTN174" s="207"/>
      <c r="JTO174" s="210"/>
      <c r="JTP174" s="209"/>
      <c r="JTQ174" s="204"/>
      <c r="JTR174" s="204"/>
      <c r="JTS174" s="204"/>
      <c r="JTT174" s="199"/>
      <c r="JTU174" s="167"/>
      <c r="JTV174" s="199"/>
      <c r="JTW174" s="200"/>
      <c r="JTX174" s="201"/>
      <c r="JTY174" s="202"/>
      <c r="JTZ174" s="202"/>
      <c r="JUA174" s="202"/>
      <c r="JUB174" s="202"/>
      <c r="JUC174" s="203"/>
      <c r="JUD174" s="204"/>
      <c r="JUE174" s="204"/>
      <c r="JUF174" s="204"/>
      <c r="JUG174" s="205"/>
      <c r="JUH174" s="206"/>
      <c r="JUI174" s="207"/>
      <c r="JUJ174" s="207"/>
      <c r="JUK174" s="208"/>
      <c r="JUL174" s="209"/>
      <c r="JUM174" s="207"/>
      <c r="JUN174" s="210"/>
      <c r="JUO174" s="209"/>
      <c r="JUP174" s="204"/>
      <c r="JUQ174" s="204"/>
      <c r="JUR174" s="204"/>
      <c r="JUS174" s="199"/>
      <c r="JUT174" s="167"/>
      <c r="JUU174" s="199"/>
      <c r="JUV174" s="200"/>
      <c r="JUW174" s="201"/>
      <c r="JUX174" s="202"/>
      <c r="JUY174" s="202"/>
      <c r="JUZ174" s="202"/>
      <c r="JVA174" s="202"/>
      <c r="JVB174" s="203"/>
      <c r="JVC174" s="204"/>
      <c r="JVD174" s="204"/>
      <c r="JVE174" s="204"/>
      <c r="JVF174" s="205"/>
      <c r="JVG174" s="206"/>
      <c r="JVH174" s="207"/>
      <c r="JVI174" s="207"/>
      <c r="JVJ174" s="208"/>
      <c r="JVK174" s="209"/>
      <c r="JVL174" s="207"/>
      <c r="JVM174" s="210"/>
      <c r="JVN174" s="209"/>
      <c r="JVO174" s="204"/>
      <c r="JVP174" s="204"/>
      <c r="JVQ174" s="204"/>
      <c r="JVR174" s="199"/>
      <c r="JVS174" s="167"/>
      <c r="JVT174" s="199"/>
      <c r="JVU174" s="200"/>
      <c r="JVV174" s="201"/>
      <c r="JVW174" s="202"/>
      <c r="JVX174" s="202"/>
      <c r="JVY174" s="202"/>
      <c r="JVZ174" s="202"/>
      <c r="JWA174" s="203"/>
      <c r="JWB174" s="204"/>
      <c r="JWC174" s="204"/>
      <c r="JWD174" s="204"/>
      <c r="JWE174" s="205"/>
      <c r="JWF174" s="206"/>
      <c r="JWG174" s="207"/>
      <c r="JWH174" s="207"/>
      <c r="JWI174" s="208"/>
      <c r="JWJ174" s="209"/>
      <c r="JWK174" s="207"/>
      <c r="JWL174" s="210"/>
      <c r="JWM174" s="209"/>
      <c r="JWN174" s="204"/>
      <c r="JWO174" s="204"/>
      <c r="JWP174" s="204"/>
      <c r="JWQ174" s="199"/>
      <c r="JWR174" s="167"/>
      <c r="JWS174" s="199"/>
      <c r="JWT174" s="200"/>
      <c r="JWU174" s="201"/>
      <c r="JWV174" s="202"/>
      <c r="JWW174" s="202"/>
      <c r="JWX174" s="202"/>
      <c r="JWY174" s="202"/>
      <c r="JWZ174" s="203"/>
      <c r="JXA174" s="204"/>
      <c r="JXB174" s="204"/>
      <c r="JXC174" s="204"/>
      <c r="JXD174" s="205"/>
      <c r="JXE174" s="206"/>
      <c r="JXF174" s="207"/>
      <c r="JXG174" s="207"/>
      <c r="JXH174" s="208"/>
      <c r="JXI174" s="209"/>
      <c r="JXJ174" s="207"/>
      <c r="JXK174" s="210"/>
      <c r="JXL174" s="209"/>
      <c r="JXM174" s="204"/>
      <c r="JXN174" s="204"/>
      <c r="JXO174" s="204"/>
      <c r="JXP174" s="199"/>
      <c r="JXQ174" s="167"/>
      <c r="JXR174" s="199"/>
      <c r="JXS174" s="200"/>
      <c r="JXT174" s="201"/>
      <c r="JXU174" s="202"/>
      <c r="JXV174" s="202"/>
      <c r="JXW174" s="202"/>
      <c r="JXX174" s="202"/>
      <c r="JXY174" s="203"/>
      <c r="JXZ174" s="204"/>
      <c r="JYA174" s="204"/>
      <c r="JYB174" s="204"/>
      <c r="JYC174" s="205"/>
      <c r="JYD174" s="206"/>
      <c r="JYE174" s="207"/>
      <c r="JYF174" s="207"/>
      <c r="JYG174" s="208"/>
      <c r="JYH174" s="209"/>
      <c r="JYI174" s="207"/>
      <c r="JYJ174" s="210"/>
      <c r="JYK174" s="209"/>
      <c r="JYL174" s="204"/>
      <c r="JYM174" s="204"/>
      <c r="JYN174" s="204"/>
      <c r="JYO174" s="199"/>
      <c r="JYP174" s="167"/>
      <c r="JYQ174" s="199"/>
      <c r="JYR174" s="200"/>
      <c r="JYS174" s="201"/>
      <c r="JYT174" s="202"/>
      <c r="JYU174" s="202"/>
      <c r="JYV174" s="202"/>
      <c r="JYW174" s="202"/>
      <c r="JYX174" s="203"/>
      <c r="JYY174" s="204"/>
      <c r="JYZ174" s="204"/>
      <c r="JZA174" s="204"/>
      <c r="JZB174" s="205"/>
      <c r="JZC174" s="206"/>
      <c r="JZD174" s="207"/>
      <c r="JZE174" s="207"/>
      <c r="JZF174" s="208"/>
      <c r="JZG174" s="209"/>
      <c r="JZH174" s="207"/>
      <c r="JZI174" s="210"/>
      <c r="JZJ174" s="209"/>
      <c r="JZK174" s="204"/>
      <c r="JZL174" s="204"/>
      <c r="JZM174" s="204"/>
      <c r="JZN174" s="199"/>
      <c r="JZO174" s="167"/>
      <c r="JZP174" s="199"/>
      <c r="JZQ174" s="200"/>
      <c r="JZR174" s="201"/>
      <c r="JZS174" s="202"/>
      <c r="JZT174" s="202"/>
      <c r="JZU174" s="202"/>
      <c r="JZV174" s="202"/>
      <c r="JZW174" s="203"/>
      <c r="JZX174" s="204"/>
      <c r="JZY174" s="204"/>
      <c r="JZZ174" s="204"/>
      <c r="KAA174" s="205"/>
      <c r="KAB174" s="206"/>
      <c r="KAC174" s="207"/>
      <c r="KAD174" s="207"/>
      <c r="KAE174" s="208"/>
      <c r="KAF174" s="209"/>
      <c r="KAG174" s="207"/>
      <c r="KAH174" s="210"/>
      <c r="KAI174" s="209"/>
      <c r="KAJ174" s="204"/>
      <c r="KAK174" s="204"/>
      <c r="KAL174" s="204"/>
      <c r="KAM174" s="199"/>
      <c r="KAN174" s="167"/>
      <c r="KAO174" s="199"/>
      <c r="KAP174" s="200"/>
      <c r="KAQ174" s="201"/>
      <c r="KAR174" s="202"/>
      <c r="KAS174" s="202"/>
      <c r="KAT174" s="202"/>
      <c r="KAU174" s="202"/>
      <c r="KAV174" s="203"/>
      <c r="KAW174" s="204"/>
      <c r="KAX174" s="204"/>
      <c r="KAY174" s="204"/>
      <c r="KAZ174" s="205"/>
      <c r="KBA174" s="206"/>
      <c r="KBB174" s="207"/>
      <c r="KBC174" s="207"/>
      <c r="KBD174" s="208"/>
      <c r="KBE174" s="209"/>
      <c r="KBF174" s="207"/>
      <c r="KBG174" s="210"/>
      <c r="KBH174" s="209"/>
      <c r="KBI174" s="204"/>
      <c r="KBJ174" s="204"/>
      <c r="KBK174" s="204"/>
      <c r="KBL174" s="199"/>
      <c r="KBM174" s="167"/>
      <c r="KBN174" s="199"/>
      <c r="KBO174" s="200"/>
      <c r="KBP174" s="201"/>
      <c r="KBQ174" s="202"/>
      <c r="KBR174" s="202"/>
      <c r="KBS174" s="202"/>
      <c r="KBT174" s="202"/>
      <c r="KBU174" s="203"/>
      <c r="KBV174" s="204"/>
      <c r="KBW174" s="204"/>
      <c r="KBX174" s="204"/>
      <c r="KBY174" s="205"/>
      <c r="KBZ174" s="206"/>
      <c r="KCA174" s="207"/>
      <c r="KCB174" s="207"/>
      <c r="KCC174" s="208"/>
      <c r="KCD174" s="209"/>
      <c r="KCE174" s="207"/>
      <c r="KCF174" s="210"/>
      <c r="KCG174" s="209"/>
      <c r="KCH174" s="204"/>
      <c r="KCI174" s="204"/>
      <c r="KCJ174" s="204"/>
      <c r="KCK174" s="199"/>
      <c r="KCL174" s="167"/>
      <c r="KCM174" s="199"/>
      <c r="KCN174" s="200"/>
      <c r="KCO174" s="201"/>
      <c r="KCP174" s="202"/>
      <c r="KCQ174" s="202"/>
      <c r="KCR174" s="202"/>
      <c r="KCS174" s="202"/>
      <c r="KCT174" s="203"/>
      <c r="KCU174" s="204"/>
      <c r="KCV174" s="204"/>
      <c r="KCW174" s="204"/>
      <c r="KCX174" s="205"/>
      <c r="KCY174" s="206"/>
      <c r="KCZ174" s="207"/>
      <c r="KDA174" s="207"/>
      <c r="KDB174" s="208"/>
      <c r="KDC174" s="209"/>
      <c r="KDD174" s="207"/>
      <c r="KDE174" s="210"/>
      <c r="KDF174" s="209"/>
      <c r="KDG174" s="204"/>
      <c r="KDH174" s="204"/>
      <c r="KDI174" s="204"/>
      <c r="KDJ174" s="199"/>
      <c r="KDK174" s="167"/>
      <c r="KDL174" s="199"/>
      <c r="KDM174" s="200"/>
      <c r="KDN174" s="201"/>
      <c r="KDO174" s="202"/>
      <c r="KDP174" s="202"/>
      <c r="KDQ174" s="202"/>
      <c r="KDR174" s="202"/>
      <c r="KDS174" s="203"/>
      <c r="KDT174" s="204"/>
      <c r="KDU174" s="204"/>
      <c r="KDV174" s="204"/>
      <c r="KDW174" s="205"/>
      <c r="KDX174" s="206"/>
      <c r="KDY174" s="207"/>
      <c r="KDZ174" s="207"/>
      <c r="KEA174" s="208"/>
      <c r="KEB174" s="209"/>
      <c r="KEC174" s="207"/>
      <c r="KED174" s="210"/>
      <c r="KEE174" s="209"/>
      <c r="KEF174" s="204"/>
      <c r="KEG174" s="204"/>
      <c r="KEH174" s="204"/>
      <c r="KEI174" s="199"/>
      <c r="KEJ174" s="167"/>
      <c r="KEK174" s="199"/>
      <c r="KEL174" s="200"/>
      <c r="KEM174" s="201"/>
      <c r="KEN174" s="202"/>
      <c r="KEO174" s="202"/>
      <c r="KEP174" s="202"/>
      <c r="KEQ174" s="202"/>
      <c r="KER174" s="203"/>
      <c r="KES174" s="204"/>
      <c r="KET174" s="204"/>
      <c r="KEU174" s="204"/>
      <c r="KEV174" s="205"/>
      <c r="KEW174" s="206"/>
      <c r="KEX174" s="207"/>
      <c r="KEY174" s="207"/>
      <c r="KEZ174" s="208"/>
      <c r="KFA174" s="209"/>
      <c r="KFB174" s="207"/>
      <c r="KFC174" s="210"/>
      <c r="KFD174" s="209"/>
      <c r="KFE174" s="204"/>
      <c r="KFF174" s="204"/>
      <c r="KFG174" s="204"/>
      <c r="KFH174" s="199"/>
      <c r="KFI174" s="167"/>
      <c r="KFJ174" s="199"/>
      <c r="KFK174" s="200"/>
      <c r="KFL174" s="201"/>
      <c r="KFM174" s="202"/>
      <c r="KFN174" s="202"/>
      <c r="KFO174" s="202"/>
      <c r="KFP174" s="202"/>
      <c r="KFQ174" s="203"/>
      <c r="KFR174" s="204"/>
      <c r="KFS174" s="204"/>
      <c r="KFT174" s="204"/>
      <c r="KFU174" s="205"/>
      <c r="KFV174" s="206"/>
      <c r="KFW174" s="207"/>
      <c r="KFX174" s="207"/>
      <c r="KFY174" s="208"/>
      <c r="KFZ174" s="209"/>
      <c r="KGA174" s="207"/>
      <c r="KGB174" s="210"/>
      <c r="KGC174" s="209"/>
      <c r="KGD174" s="204"/>
      <c r="KGE174" s="204"/>
      <c r="KGF174" s="204"/>
      <c r="KGG174" s="199"/>
      <c r="KGH174" s="167"/>
      <c r="KGI174" s="199"/>
      <c r="KGJ174" s="200"/>
      <c r="KGK174" s="201"/>
      <c r="KGL174" s="202"/>
      <c r="KGM174" s="202"/>
      <c r="KGN174" s="202"/>
      <c r="KGO174" s="202"/>
      <c r="KGP174" s="203"/>
      <c r="KGQ174" s="204"/>
      <c r="KGR174" s="204"/>
      <c r="KGS174" s="204"/>
      <c r="KGT174" s="205"/>
      <c r="KGU174" s="206"/>
      <c r="KGV174" s="207"/>
      <c r="KGW174" s="207"/>
      <c r="KGX174" s="208"/>
      <c r="KGY174" s="209"/>
      <c r="KGZ174" s="207"/>
      <c r="KHA174" s="210"/>
      <c r="KHB174" s="209"/>
      <c r="KHC174" s="204"/>
      <c r="KHD174" s="204"/>
      <c r="KHE174" s="204"/>
      <c r="KHF174" s="199"/>
      <c r="KHG174" s="167"/>
      <c r="KHH174" s="199"/>
      <c r="KHI174" s="200"/>
      <c r="KHJ174" s="201"/>
      <c r="KHK174" s="202"/>
      <c r="KHL174" s="202"/>
      <c r="KHM174" s="202"/>
      <c r="KHN174" s="202"/>
      <c r="KHO174" s="203"/>
      <c r="KHP174" s="204"/>
      <c r="KHQ174" s="204"/>
      <c r="KHR174" s="204"/>
      <c r="KHS174" s="205"/>
      <c r="KHT174" s="206"/>
      <c r="KHU174" s="207"/>
      <c r="KHV174" s="207"/>
      <c r="KHW174" s="208"/>
      <c r="KHX174" s="209"/>
      <c r="KHY174" s="207"/>
      <c r="KHZ174" s="210"/>
      <c r="KIA174" s="209"/>
      <c r="KIB174" s="204"/>
      <c r="KIC174" s="204"/>
      <c r="KID174" s="204"/>
      <c r="KIE174" s="199"/>
      <c r="KIF174" s="167"/>
      <c r="KIG174" s="199"/>
      <c r="KIH174" s="200"/>
      <c r="KII174" s="201"/>
      <c r="KIJ174" s="202"/>
      <c r="KIK174" s="202"/>
      <c r="KIL174" s="202"/>
      <c r="KIM174" s="202"/>
      <c r="KIN174" s="203"/>
      <c r="KIO174" s="204"/>
      <c r="KIP174" s="204"/>
      <c r="KIQ174" s="204"/>
      <c r="KIR174" s="205"/>
      <c r="KIS174" s="206"/>
      <c r="KIT174" s="207"/>
      <c r="KIU174" s="207"/>
      <c r="KIV174" s="208"/>
      <c r="KIW174" s="209"/>
      <c r="KIX174" s="207"/>
      <c r="KIY174" s="210"/>
      <c r="KIZ174" s="209"/>
      <c r="KJA174" s="204"/>
      <c r="KJB174" s="204"/>
      <c r="KJC174" s="204"/>
      <c r="KJD174" s="199"/>
      <c r="KJE174" s="167"/>
      <c r="KJF174" s="199"/>
      <c r="KJG174" s="200"/>
      <c r="KJH174" s="201"/>
      <c r="KJI174" s="202"/>
      <c r="KJJ174" s="202"/>
      <c r="KJK174" s="202"/>
      <c r="KJL174" s="202"/>
      <c r="KJM174" s="203"/>
      <c r="KJN174" s="204"/>
      <c r="KJO174" s="204"/>
      <c r="KJP174" s="204"/>
      <c r="KJQ174" s="205"/>
      <c r="KJR174" s="206"/>
      <c r="KJS174" s="207"/>
      <c r="KJT174" s="207"/>
      <c r="KJU174" s="208"/>
      <c r="KJV174" s="209"/>
      <c r="KJW174" s="207"/>
      <c r="KJX174" s="210"/>
      <c r="KJY174" s="209"/>
      <c r="KJZ174" s="204"/>
      <c r="KKA174" s="204"/>
      <c r="KKB174" s="204"/>
      <c r="KKC174" s="199"/>
      <c r="KKD174" s="167"/>
      <c r="KKE174" s="199"/>
      <c r="KKF174" s="200"/>
      <c r="KKG174" s="201"/>
      <c r="KKH174" s="202"/>
      <c r="KKI174" s="202"/>
      <c r="KKJ174" s="202"/>
      <c r="KKK174" s="202"/>
      <c r="KKL174" s="203"/>
      <c r="KKM174" s="204"/>
      <c r="KKN174" s="204"/>
      <c r="KKO174" s="204"/>
      <c r="KKP174" s="205"/>
      <c r="KKQ174" s="206"/>
      <c r="KKR174" s="207"/>
      <c r="KKS174" s="207"/>
      <c r="KKT174" s="208"/>
      <c r="KKU174" s="209"/>
      <c r="KKV174" s="207"/>
      <c r="KKW174" s="210"/>
      <c r="KKX174" s="209"/>
      <c r="KKY174" s="204"/>
      <c r="KKZ174" s="204"/>
      <c r="KLA174" s="204"/>
      <c r="KLB174" s="199"/>
      <c r="KLC174" s="167"/>
      <c r="KLD174" s="199"/>
      <c r="KLE174" s="200"/>
      <c r="KLF174" s="201"/>
      <c r="KLG174" s="202"/>
      <c r="KLH174" s="202"/>
      <c r="KLI174" s="202"/>
      <c r="KLJ174" s="202"/>
      <c r="KLK174" s="203"/>
      <c r="KLL174" s="204"/>
      <c r="KLM174" s="204"/>
      <c r="KLN174" s="204"/>
      <c r="KLO174" s="205"/>
      <c r="KLP174" s="206"/>
      <c r="KLQ174" s="207"/>
      <c r="KLR174" s="207"/>
      <c r="KLS174" s="208"/>
      <c r="KLT174" s="209"/>
      <c r="KLU174" s="207"/>
      <c r="KLV174" s="210"/>
      <c r="KLW174" s="209"/>
      <c r="KLX174" s="204"/>
      <c r="KLY174" s="204"/>
      <c r="KLZ174" s="204"/>
      <c r="KMA174" s="199"/>
      <c r="KMB174" s="167"/>
      <c r="KMC174" s="199"/>
      <c r="KMD174" s="200"/>
      <c r="KME174" s="201"/>
      <c r="KMF174" s="202"/>
      <c r="KMG174" s="202"/>
      <c r="KMH174" s="202"/>
      <c r="KMI174" s="202"/>
      <c r="KMJ174" s="203"/>
      <c r="KMK174" s="204"/>
      <c r="KML174" s="204"/>
      <c r="KMM174" s="204"/>
      <c r="KMN174" s="205"/>
      <c r="KMO174" s="206"/>
      <c r="KMP174" s="207"/>
      <c r="KMQ174" s="207"/>
      <c r="KMR174" s="208"/>
      <c r="KMS174" s="209"/>
      <c r="KMT174" s="207"/>
      <c r="KMU174" s="210"/>
      <c r="KMV174" s="209"/>
      <c r="KMW174" s="204"/>
      <c r="KMX174" s="204"/>
      <c r="KMY174" s="204"/>
      <c r="KMZ174" s="199"/>
      <c r="KNA174" s="167"/>
      <c r="KNB174" s="199"/>
      <c r="KNC174" s="200"/>
      <c r="KND174" s="201"/>
      <c r="KNE174" s="202"/>
      <c r="KNF174" s="202"/>
      <c r="KNG174" s="202"/>
      <c r="KNH174" s="202"/>
      <c r="KNI174" s="203"/>
      <c r="KNJ174" s="204"/>
      <c r="KNK174" s="204"/>
      <c r="KNL174" s="204"/>
      <c r="KNM174" s="205"/>
      <c r="KNN174" s="206"/>
      <c r="KNO174" s="207"/>
      <c r="KNP174" s="207"/>
      <c r="KNQ174" s="208"/>
      <c r="KNR174" s="209"/>
      <c r="KNS174" s="207"/>
      <c r="KNT174" s="210"/>
      <c r="KNU174" s="209"/>
      <c r="KNV174" s="204"/>
      <c r="KNW174" s="204"/>
      <c r="KNX174" s="204"/>
      <c r="KNY174" s="199"/>
      <c r="KNZ174" s="167"/>
      <c r="KOA174" s="199"/>
      <c r="KOB174" s="200"/>
      <c r="KOC174" s="201"/>
      <c r="KOD174" s="202"/>
      <c r="KOE174" s="202"/>
      <c r="KOF174" s="202"/>
      <c r="KOG174" s="202"/>
      <c r="KOH174" s="203"/>
      <c r="KOI174" s="204"/>
      <c r="KOJ174" s="204"/>
      <c r="KOK174" s="204"/>
      <c r="KOL174" s="205"/>
      <c r="KOM174" s="206"/>
      <c r="KON174" s="207"/>
      <c r="KOO174" s="207"/>
      <c r="KOP174" s="208"/>
      <c r="KOQ174" s="209"/>
      <c r="KOR174" s="207"/>
      <c r="KOS174" s="210"/>
      <c r="KOT174" s="209"/>
      <c r="KOU174" s="204"/>
      <c r="KOV174" s="204"/>
      <c r="KOW174" s="204"/>
      <c r="KOX174" s="199"/>
      <c r="KOY174" s="167"/>
      <c r="KOZ174" s="199"/>
      <c r="KPA174" s="200"/>
      <c r="KPB174" s="201"/>
      <c r="KPC174" s="202"/>
      <c r="KPD174" s="202"/>
      <c r="KPE174" s="202"/>
      <c r="KPF174" s="202"/>
      <c r="KPG174" s="203"/>
      <c r="KPH174" s="204"/>
      <c r="KPI174" s="204"/>
      <c r="KPJ174" s="204"/>
      <c r="KPK174" s="205"/>
      <c r="KPL174" s="206"/>
      <c r="KPM174" s="207"/>
      <c r="KPN174" s="207"/>
      <c r="KPO174" s="208"/>
      <c r="KPP174" s="209"/>
      <c r="KPQ174" s="207"/>
      <c r="KPR174" s="210"/>
      <c r="KPS174" s="209"/>
      <c r="KPT174" s="204"/>
      <c r="KPU174" s="204"/>
      <c r="KPV174" s="204"/>
      <c r="KPW174" s="199"/>
      <c r="KPX174" s="167"/>
      <c r="KPY174" s="199"/>
      <c r="KPZ174" s="200"/>
      <c r="KQA174" s="201"/>
      <c r="KQB174" s="202"/>
      <c r="KQC174" s="202"/>
      <c r="KQD174" s="202"/>
      <c r="KQE174" s="202"/>
      <c r="KQF174" s="203"/>
      <c r="KQG174" s="204"/>
      <c r="KQH174" s="204"/>
      <c r="KQI174" s="204"/>
      <c r="KQJ174" s="205"/>
      <c r="KQK174" s="206"/>
      <c r="KQL174" s="207"/>
      <c r="KQM174" s="207"/>
      <c r="KQN174" s="208"/>
      <c r="KQO174" s="209"/>
      <c r="KQP174" s="207"/>
      <c r="KQQ174" s="210"/>
      <c r="KQR174" s="209"/>
      <c r="KQS174" s="204"/>
      <c r="KQT174" s="204"/>
      <c r="KQU174" s="204"/>
      <c r="KQV174" s="199"/>
      <c r="KQW174" s="167"/>
      <c r="KQX174" s="199"/>
      <c r="KQY174" s="200"/>
      <c r="KQZ174" s="201"/>
      <c r="KRA174" s="202"/>
      <c r="KRB174" s="202"/>
      <c r="KRC174" s="202"/>
      <c r="KRD174" s="202"/>
      <c r="KRE174" s="203"/>
      <c r="KRF174" s="204"/>
      <c r="KRG174" s="204"/>
      <c r="KRH174" s="204"/>
      <c r="KRI174" s="205"/>
      <c r="KRJ174" s="206"/>
      <c r="KRK174" s="207"/>
      <c r="KRL174" s="207"/>
      <c r="KRM174" s="208"/>
      <c r="KRN174" s="209"/>
      <c r="KRO174" s="207"/>
      <c r="KRP174" s="210"/>
      <c r="KRQ174" s="209"/>
      <c r="KRR174" s="204"/>
      <c r="KRS174" s="204"/>
      <c r="KRT174" s="204"/>
      <c r="KRU174" s="199"/>
      <c r="KRV174" s="167"/>
      <c r="KRW174" s="199"/>
      <c r="KRX174" s="200"/>
      <c r="KRY174" s="201"/>
      <c r="KRZ174" s="202"/>
      <c r="KSA174" s="202"/>
      <c r="KSB174" s="202"/>
      <c r="KSC174" s="202"/>
      <c r="KSD174" s="203"/>
      <c r="KSE174" s="204"/>
      <c r="KSF174" s="204"/>
      <c r="KSG174" s="204"/>
      <c r="KSH174" s="205"/>
      <c r="KSI174" s="206"/>
      <c r="KSJ174" s="207"/>
      <c r="KSK174" s="207"/>
      <c r="KSL174" s="208"/>
      <c r="KSM174" s="209"/>
      <c r="KSN174" s="207"/>
      <c r="KSO174" s="210"/>
      <c r="KSP174" s="209"/>
      <c r="KSQ174" s="204"/>
      <c r="KSR174" s="204"/>
      <c r="KSS174" s="204"/>
      <c r="KST174" s="199"/>
      <c r="KSU174" s="167"/>
      <c r="KSV174" s="199"/>
      <c r="KSW174" s="200"/>
      <c r="KSX174" s="201"/>
      <c r="KSY174" s="202"/>
      <c r="KSZ174" s="202"/>
      <c r="KTA174" s="202"/>
      <c r="KTB174" s="202"/>
      <c r="KTC174" s="203"/>
      <c r="KTD174" s="204"/>
      <c r="KTE174" s="204"/>
      <c r="KTF174" s="204"/>
      <c r="KTG174" s="205"/>
      <c r="KTH174" s="206"/>
      <c r="KTI174" s="207"/>
      <c r="KTJ174" s="207"/>
      <c r="KTK174" s="208"/>
      <c r="KTL174" s="209"/>
      <c r="KTM174" s="207"/>
      <c r="KTN174" s="210"/>
      <c r="KTO174" s="209"/>
      <c r="KTP174" s="204"/>
      <c r="KTQ174" s="204"/>
      <c r="KTR174" s="204"/>
      <c r="KTS174" s="199"/>
      <c r="KTT174" s="167"/>
      <c r="KTU174" s="199"/>
      <c r="KTV174" s="200"/>
      <c r="KTW174" s="201"/>
      <c r="KTX174" s="202"/>
      <c r="KTY174" s="202"/>
      <c r="KTZ174" s="202"/>
      <c r="KUA174" s="202"/>
      <c r="KUB174" s="203"/>
      <c r="KUC174" s="204"/>
      <c r="KUD174" s="204"/>
      <c r="KUE174" s="204"/>
      <c r="KUF174" s="205"/>
      <c r="KUG174" s="206"/>
      <c r="KUH174" s="207"/>
      <c r="KUI174" s="207"/>
      <c r="KUJ174" s="208"/>
      <c r="KUK174" s="209"/>
      <c r="KUL174" s="207"/>
      <c r="KUM174" s="210"/>
      <c r="KUN174" s="209"/>
      <c r="KUO174" s="204"/>
      <c r="KUP174" s="204"/>
      <c r="KUQ174" s="204"/>
      <c r="KUR174" s="199"/>
      <c r="KUS174" s="167"/>
      <c r="KUT174" s="199"/>
      <c r="KUU174" s="200"/>
      <c r="KUV174" s="201"/>
      <c r="KUW174" s="202"/>
      <c r="KUX174" s="202"/>
      <c r="KUY174" s="202"/>
      <c r="KUZ174" s="202"/>
      <c r="KVA174" s="203"/>
      <c r="KVB174" s="204"/>
      <c r="KVC174" s="204"/>
      <c r="KVD174" s="204"/>
      <c r="KVE174" s="205"/>
      <c r="KVF174" s="206"/>
      <c r="KVG174" s="207"/>
      <c r="KVH174" s="207"/>
      <c r="KVI174" s="208"/>
      <c r="KVJ174" s="209"/>
      <c r="KVK174" s="207"/>
      <c r="KVL174" s="210"/>
      <c r="KVM174" s="209"/>
      <c r="KVN174" s="204"/>
      <c r="KVO174" s="204"/>
      <c r="KVP174" s="204"/>
      <c r="KVQ174" s="199"/>
      <c r="KVR174" s="167"/>
      <c r="KVS174" s="199"/>
      <c r="KVT174" s="200"/>
      <c r="KVU174" s="201"/>
      <c r="KVV174" s="202"/>
      <c r="KVW174" s="202"/>
      <c r="KVX174" s="202"/>
      <c r="KVY174" s="202"/>
      <c r="KVZ174" s="203"/>
      <c r="KWA174" s="204"/>
      <c r="KWB174" s="204"/>
      <c r="KWC174" s="204"/>
      <c r="KWD174" s="205"/>
      <c r="KWE174" s="206"/>
      <c r="KWF174" s="207"/>
      <c r="KWG174" s="207"/>
      <c r="KWH174" s="208"/>
      <c r="KWI174" s="209"/>
      <c r="KWJ174" s="207"/>
      <c r="KWK174" s="210"/>
      <c r="KWL174" s="209"/>
      <c r="KWM174" s="204"/>
      <c r="KWN174" s="204"/>
      <c r="KWO174" s="204"/>
      <c r="KWP174" s="199"/>
      <c r="KWQ174" s="167"/>
      <c r="KWR174" s="199"/>
      <c r="KWS174" s="200"/>
      <c r="KWT174" s="201"/>
      <c r="KWU174" s="202"/>
      <c r="KWV174" s="202"/>
      <c r="KWW174" s="202"/>
      <c r="KWX174" s="202"/>
      <c r="KWY174" s="203"/>
      <c r="KWZ174" s="204"/>
      <c r="KXA174" s="204"/>
      <c r="KXB174" s="204"/>
      <c r="KXC174" s="205"/>
      <c r="KXD174" s="206"/>
      <c r="KXE174" s="207"/>
      <c r="KXF174" s="207"/>
      <c r="KXG174" s="208"/>
      <c r="KXH174" s="209"/>
      <c r="KXI174" s="207"/>
      <c r="KXJ174" s="210"/>
      <c r="KXK174" s="209"/>
      <c r="KXL174" s="204"/>
      <c r="KXM174" s="204"/>
      <c r="KXN174" s="204"/>
      <c r="KXO174" s="199"/>
      <c r="KXP174" s="167"/>
      <c r="KXQ174" s="199"/>
      <c r="KXR174" s="200"/>
      <c r="KXS174" s="201"/>
      <c r="KXT174" s="202"/>
      <c r="KXU174" s="202"/>
      <c r="KXV174" s="202"/>
      <c r="KXW174" s="202"/>
      <c r="KXX174" s="203"/>
      <c r="KXY174" s="204"/>
      <c r="KXZ174" s="204"/>
      <c r="KYA174" s="204"/>
      <c r="KYB174" s="205"/>
      <c r="KYC174" s="206"/>
      <c r="KYD174" s="207"/>
      <c r="KYE174" s="207"/>
      <c r="KYF174" s="208"/>
      <c r="KYG174" s="209"/>
      <c r="KYH174" s="207"/>
      <c r="KYI174" s="210"/>
      <c r="KYJ174" s="209"/>
      <c r="KYK174" s="204"/>
      <c r="KYL174" s="204"/>
      <c r="KYM174" s="204"/>
      <c r="KYN174" s="199"/>
      <c r="KYO174" s="167"/>
      <c r="KYP174" s="199"/>
      <c r="KYQ174" s="200"/>
      <c r="KYR174" s="201"/>
      <c r="KYS174" s="202"/>
      <c r="KYT174" s="202"/>
      <c r="KYU174" s="202"/>
      <c r="KYV174" s="202"/>
      <c r="KYW174" s="203"/>
      <c r="KYX174" s="204"/>
      <c r="KYY174" s="204"/>
      <c r="KYZ174" s="204"/>
      <c r="KZA174" s="205"/>
      <c r="KZB174" s="206"/>
      <c r="KZC174" s="207"/>
      <c r="KZD174" s="207"/>
      <c r="KZE174" s="208"/>
      <c r="KZF174" s="209"/>
      <c r="KZG174" s="207"/>
      <c r="KZH174" s="210"/>
      <c r="KZI174" s="209"/>
      <c r="KZJ174" s="204"/>
      <c r="KZK174" s="204"/>
      <c r="KZL174" s="204"/>
      <c r="KZM174" s="199"/>
      <c r="KZN174" s="167"/>
      <c r="KZO174" s="199"/>
      <c r="KZP174" s="200"/>
      <c r="KZQ174" s="201"/>
      <c r="KZR174" s="202"/>
      <c r="KZS174" s="202"/>
      <c r="KZT174" s="202"/>
      <c r="KZU174" s="202"/>
      <c r="KZV174" s="203"/>
      <c r="KZW174" s="204"/>
      <c r="KZX174" s="204"/>
      <c r="KZY174" s="204"/>
      <c r="KZZ174" s="205"/>
      <c r="LAA174" s="206"/>
      <c r="LAB174" s="207"/>
      <c r="LAC174" s="207"/>
      <c r="LAD174" s="208"/>
      <c r="LAE174" s="209"/>
      <c r="LAF174" s="207"/>
      <c r="LAG174" s="210"/>
      <c r="LAH174" s="209"/>
      <c r="LAI174" s="204"/>
      <c r="LAJ174" s="204"/>
      <c r="LAK174" s="204"/>
      <c r="LAL174" s="199"/>
      <c r="LAM174" s="167"/>
      <c r="LAN174" s="199"/>
      <c r="LAO174" s="200"/>
      <c r="LAP174" s="201"/>
      <c r="LAQ174" s="202"/>
      <c r="LAR174" s="202"/>
      <c r="LAS174" s="202"/>
      <c r="LAT174" s="202"/>
      <c r="LAU174" s="203"/>
      <c r="LAV174" s="204"/>
      <c r="LAW174" s="204"/>
      <c r="LAX174" s="204"/>
      <c r="LAY174" s="205"/>
      <c r="LAZ174" s="206"/>
      <c r="LBA174" s="207"/>
      <c r="LBB174" s="207"/>
      <c r="LBC174" s="208"/>
      <c r="LBD174" s="209"/>
      <c r="LBE174" s="207"/>
      <c r="LBF174" s="210"/>
      <c r="LBG174" s="209"/>
      <c r="LBH174" s="204"/>
      <c r="LBI174" s="204"/>
      <c r="LBJ174" s="204"/>
      <c r="LBK174" s="199"/>
      <c r="LBL174" s="167"/>
      <c r="LBM174" s="199"/>
      <c r="LBN174" s="200"/>
      <c r="LBO174" s="201"/>
      <c r="LBP174" s="202"/>
      <c r="LBQ174" s="202"/>
      <c r="LBR174" s="202"/>
      <c r="LBS174" s="202"/>
      <c r="LBT174" s="203"/>
      <c r="LBU174" s="204"/>
      <c r="LBV174" s="204"/>
      <c r="LBW174" s="204"/>
      <c r="LBX174" s="205"/>
      <c r="LBY174" s="206"/>
      <c r="LBZ174" s="207"/>
      <c r="LCA174" s="207"/>
      <c r="LCB174" s="208"/>
      <c r="LCC174" s="209"/>
      <c r="LCD174" s="207"/>
      <c r="LCE174" s="210"/>
      <c r="LCF174" s="209"/>
      <c r="LCG174" s="204"/>
      <c r="LCH174" s="204"/>
      <c r="LCI174" s="204"/>
      <c r="LCJ174" s="199"/>
      <c r="LCK174" s="167"/>
      <c r="LCL174" s="199"/>
      <c r="LCM174" s="200"/>
      <c r="LCN174" s="201"/>
      <c r="LCO174" s="202"/>
      <c r="LCP174" s="202"/>
      <c r="LCQ174" s="202"/>
      <c r="LCR174" s="202"/>
      <c r="LCS174" s="203"/>
      <c r="LCT174" s="204"/>
      <c r="LCU174" s="204"/>
      <c r="LCV174" s="204"/>
      <c r="LCW174" s="205"/>
      <c r="LCX174" s="206"/>
      <c r="LCY174" s="207"/>
      <c r="LCZ174" s="207"/>
      <c r="LDA174" s="208"/>
      <c r="LDB174" s="209"/>
      <c r="LDC174" s="207"/>
      <c r="LDD174" s="210"/>
      <c r="LDE174" s="209"/>
      <c r="LDF174" s="204"/>
      <c r="LDG174" s="204"/>
      <c r="LDH174" s="204"/>
      <c r="LDI174" s="199"/>
      <c r="LDJ174" s="167"/>
      <c r="LDK174" s="199"/>
      <c r="LDL174" s="200"/>
      <c r="LDM174" s="201"/>
      <c r="LDN174" s="202"/>
      <c r="LDO174" s="202"/>
      <c r="LDP174" s="202"/>
      <c r="LDQ174" s="202"/>
      <c r="LDR174" s="203"/>
      <c r="LDS174" s="204"/>
      <c r="LDT174" s="204"/>
      <c r="LDU174" s="204"/>
      <c r="LDV174" s="205"/>
      <c r="LDW174" s="206"/>
      <c r="LDX174" s="207"/>
      <c r="LDY174" s="207"/>
      <c r="LDZ174" s="208"/>
      <c r="LEA174" s="209"/>
      <c r="LEB174" s="207"/>
      <c r="LEC174" s="210"/>
      <c r="LED174" s="209"/>
      <c r="LEE174" s="204"/>
      <c r="LEF174" s="204"/>
      <c r="LEG174" s="204"/>
      <c r="LEH174" s="199"/>
      <c r="LEI174" s="167"/>
      <c r="LEJ174" s="199"/>
      <c r="LEK174" s="200"/>
      <c r="LEL174" s="201"/>
      <c r="LEM174" s="202"/>
      <c r="LEN174" s="202"/>
      <c r="LEO174" s="202"/>
      <c r="LEP174" s="202"/>
      <c r="LEQ174" s="203"/>
      <c r="LER174" s="204"/>
      <c r="LES174" s="204"/>
      <c r="LET174" s="204"/>
      <c r="LEU174" s="205"/>
      <c r="LEV174" s="206"/>
      <c r="LEW174" s="207"/>
      <c r="LEX174" s="207"/>
      <c r="LEY174" s="208"/>
      <c r="LEZ174" s="209"/>
      <c r="LFA174" s="207"/>
      <c r="LFB174" s="210"/>
      <c r="LFC174" s="209"/>
      <c r="LFD174" s="204"/>
      <c r="LFE174" s="204"/>
      <c r="LFF174" s="204"/>
      <c r="LFG174" s="199"/>
      <c r="LFH174" s="167"/>
      <c r="LFI174" s="199"/>
      <c r="LFJ174" s="200"/>
      <c r="LFK174" s="201"/>
      <c r="LFL174" s="202"/>
      <c r="LFM174" s="202"/>
      <c r="LFN174" s="202"/>
      <c r="LFO174" s="202"/>
      <c r="LFP174" s="203"/>
      <c r="LFQ174" s="204"/>
      <c r="LFR174" s="204"/>
      <c r="LFS174" s="204"/>
      <c r="LFT174" s="205"/>
      <c r="LFU174" s="206"/>
      <c r="LFV174" s="207"/>
      <c r="LFW174" s="207"/>
      <c r="LFX174" s="208"/>
      <c r="LFY174" s="209"/>
      <c r="LFZ174" s="207"/>
      <c r="LGA174" s="210"/>
      <c r="LGB174" s="209"/>
      <c r="LGC174" s="204"/>
      <c r="LGD174" s="204"/>
      <c r="LGE174" s="204"/>
      <c r="LGF174" s="199"/>
      <c r="LGG174" s="167"/>
      <c r="LGH174" s="199"/>
      <c r="LGI174" s="200"/>
      <c r="LGJ174" s="201"/>
      <c r="LGK174" s="202"/>
      <c r="LGL174" s="202"/>
      <c r="LGM174" s="202"/>
      <c r="LGN174" s="202"/>
      <c r="LGO174" s="203"/>
      <c r="LGP174" s="204"/>
      <c r="LGQ174" s="204"/>
      <c r="LGR174" s="204"/>
      <c r="LGS174" s="205"/>
      <c r="LGT174" s="206"/>
      <c r="LGU174" s="207"/>
      <c r="LGV174" s="207"/>
      <c r="LGW174" s="208"/>
      <c r="LGX174" s="209"/>
      <c r="LGY174" s="207"/>
      <c r="LGZ174" s="210"/>
      <c r="LHA174" s="209"/>
      <c r="LHB174" s="204"/>
      <c r="LHC174" s="204"/>
      <c r="LHD174" s="204"/>
      <c r="LHE174" s="199"/>
      <c r="LHF174" s="167"/>
      <c r="LHG174" s="199"/>
      <c r="LHH174" s="200"/>
      <c r="LHI174" s="201"/>
      <c r="LHJ174" s="202"/>
      <c r="LHK174" s="202"/>
      <c r="LHL174" s="202"/>
      <c r="LHM174" s="202"/>
      <c r="LHN174" s="203"/>
      <c r="LHO174" s="204"/>
      <c r="LHP174" s="204"/>
      <c r="LHQ174" s="204"/>
      <c r="LHR174" s="205"/>
      <c r="LHS174" s="206"/>
      <c r="LHT174" s="207"/>
      <c r="LHU174" s="207"/>
      <c r="LHV174" s="208"/>
      <c r="LHW174" s="209"/>
      <c r="LHX174" s="207"/>
      <c r="LHY174" s="210"/>
      <c r="LHZ174" s="209"/>
      <c r="LIA174" s="204"/>
      <c r="LIB174" s="204"/>
      <c r="LIC174" s="204"/>
      <c r="LID174" s="199"/>
      <c r="LIE174" s="167"/>
      <c r="LIF174" s="199"/>
      <c r="LIG174" s="200"/>
      <c r="LIH174" s="201"/>
      <c r="LII174" s="202"/>
      <c r="LIJ174" s="202"/>
      <c r="LIK174" s="202"/>
      <c r="LIL174" s="202"/>
      <c r="LIM174" s="203"/>
      <c r="LIN174" s="204"/>
      <c r="LIO174" s="204"/>
      <c r="LIP174" s="204"/>
      <c r="LIQ174" s="205"/>
      <c r="LIR174" s="206"/>
      <c r="LIS174" s="207"/>
      <c r="LIT174" s="207"/>
      <c r="LIU174" s="208"/>
      <c r="LIV174" s="209"/>
      <c r="LIW174" s="207"/>
      <c r="LIX174" s="210"/>
      <c r="LIY174" s="209"/>
      <c r="LIZ174" s="204"/>
      <c r="LJA174" s="204"/>
      <c r="LJB174" s="204"/>
      <c r="LJC174" s="199"/>
      <c r="LJD174" s="167"/>
      <c r="LJE174" s="199"/>
      <c r="LJF174" s="200"/>
      <c r="LJG174" s="201"/>
      <c r="LJH174" s="202"/>
      <c r="LJI174" s="202"/>
      <c r="LJJ174" s="202"/>
      <c r="LJK174" s="202"/>
      <c r="LJL174" s="203"/>
      <c r="LJM174" s="204"/>
      <c r="LJN174" s="204"/>
      <c r="LJO174" s="204"/>
      <c r="LJP174" s="205"/>
      <c r="LJQ174" s="206"/>
      <c r="LJR174" s="207"/>
      <c r="LJS174" s="207"/>
      <c r="LJT174" s="208"/>
      <c r="LJU174" s="209"/>
      <c r="LJV174" s="207"/>
      <c r="LJW174" s="210"/>
      <c r="LJX174" s="209"/>
      <c r="LJY174" s="204"/>
      <c r="LJZ174" s="204"/>
      <c r="LKA174" s="204"/>
      <c r="LKB174" s="199"/>
      <c r="LKC174" s="167"/>
      <c r="LKD174" s="199"/>
      <c r="LKE174" s="200"/>
      <c r="LKF174" s="201"/>
      <c r="LKG174" s="202"/>
      <c r="LKH174" s="202"/>
      <c r="LKI174" s="202"/>
      <c r="LKJ174" s="202"/>
      <c r="LKK174" s="203"/>
      <c r="LKL174" s="204"/>
      <c r="LKM174" s="204"/>
      <c r="LKN174" s="204"/>
      <c r="LKO174" s="205"/>
      <c r="LKP174" s="206"/>
      <c r="LKQ174" s="207"/>
      <c r="LKR174" s="207"/>
      <c r="LKS174" s="208"/>
      <c r="LKT174" s="209"/>
      <c r="LKU174" s="207"/>
      <c r="LKV174" s="210"/>
      <c r="LKW174" s="209"/>
      <c r="LKX174" s="204"/>
      <c r="LKY174" s="204"/>
      <c r="LKZ174" s="204"/>
      <c r="LLA174" s="199"/>
      <c r="LLB174" s="167"/>
      <c r="LLC174" s="199"/>
      <c r="LLD174" s="200"/>
      <c r="LLE174" s="201"/>
      <c r="LLF174" s="202"/>
      <c r="LLG174" s="202"/>
      <c r="LLH174" s="202"/>
      <c r="LLI174" s="202"/>
      <c r="LLJ174" s="203"/>
      <c r="LLK174" s="204"/>
      <c r="LLL174" s="204"/>
      <c r="LLM174" s="204"/>
      <c r="LLN174" s="205"/>
      <c r="LLO174" s="206"/>
      <c r="LLP174" s="207"/>
      <c r="LLQ174" s="207"/>
      <c r="LLR174" s="208"/>
      <c r="LLS174" s="209"/>
      <c r="LLT174" s="207"/>
      <c r="LLU174" s="210"/>
      <c r="LLV174" s="209"/>
      <c r="LLW174" s="204"/>
      <c r="LLX174" s="204"/>
      <c r="LLY174" s="204"/>
      <c r="LLZ174" s="199"/>
      <c r="LMA174" s="167"/>
      <c r="LMB174" s="199"/>
      <c r="LMC174" s="200"/>
      <c r="LMD174" s="201"/>
      <c r="LME174" s="202"/>
      <c r="LMF174" s="202"/>
      <c r="LMG174" s="202"/>
      <c r="LMH174" s="202"/>
      <c r="LMI174" s="203"/>
      <c r="LMJ174" s="204"/>
      <c r="LMK174" s="204"/>
      <c r="LML174" s="204"/>
      <c r="LMM174" s="205"/>
      <c r="LMN174" s="206"/>
      <c r="LMO174" s="207"/>
      <c r="LMP174" s="207"/>
      <c r="LMQ174" s="208"/>
      <c r="LMR174" s="209"/>
      <c r="LMS174" s="207"/>
      <c r="LMT174" s="210"/>
      <c r="LMU174" s="209"/>
      <c r="LMV174" s="204"/>
      <c r="LMW174" s="204"/>
      <c r="LMX174" s="204"/>
      <c r="LMY174" s="199"/>
      <c r="LMZ174" s="167"/>
      <c r="LNA174" s="199"/>
      <c r="LNB174" s="200"/>
      <c r="LNC174" s="201"/>
      <c r="LND174" s="202"/>
      <c r="LNE174" s="202"/>
      <c r="LNF174" s="202"/>
      <c r="LNG174" s="202"/>
      <c r="LNH174" s="203"/>
      <c r="LNI174" s="204"/>
      <c r="LNJ174" s="204"/>
      <c r="LNK174" s="204"/>
      <c r="LNL174" s="205"/>
      <c r="LNM174" s="206"/>
      <c r="LNN174" s="207"/>
      <c r="LNO174" s="207"/>
      <c r="LNP174" s="208"/>
      <c r="LNQ174" s="209"/>
      <c r="LNR174" s="207"/>
      <c r="LNS174" s="210"/>
      <c r="LNT174" s="209"/>
      <c r="LNU174" s="204"/>
      <c r="LNV174" s="204"/>
      <c r="LNW174" s="204"/>
      <c r="LNX174" s="199"/>
      <c r="LNY174" s="167"/>
      <c r="LNZ174" s="199"/>
      <c r="LOA174" s="200"/>
      <c r="LOB174" s="201"/>
      <c r="LOC174" s="202"/>
      <c r="LOD174" s="202"/>
      <c r="LOE174" s="202"/>
      <c r="LOF174" s="202"/>
      <c r="LOG174" s="203"/>
      <c r="LOH174" s="204"/>
      <c r="LOI174" s="204"/>
      <c r="LOJ174" s="204"/>
      <c r="LOK174" s="205"/>
      <c r="LOL174" s="206"/>
      <c r="LOM174" s="207"/>
      <c r="LON174" s="207"/>
      <c r="LOO174" s="208"/>
      <c r="LOP174" s="209"/>
      <c r="LOQ174" s="207"/>
      <c r="LOR174" s="210"/>
      <c r="LOS174" s="209"/>
      <c r="LOT174" s="204"/>
      <c r="LOU174" s="204"/>
      <c r="LOV174" s="204"/>
      <c r="LOW174" s="199"/>
      <c r="LOX174" s="167"/>
      <c r="LOY174" s="199"/>
      <c r="LOZ174" s="200"/>
      <c r="LPA174" s="201"/>
      <c r="LPB174" s="202"/>
      <c r="LPC174" s="202"/>
      <c r="LPD174" s="202"/>
      <c r="LPE174" s="202"/>
      <c r="LPF174" s="203"/>
      <c r="LPG174" s="204"/>
      <c r="LPH174" s="204"/>
      <c r="LPI174" s="204"/>
      <c r="LPJ174" s="205"/>
      <c r="LPK174" s="206"/>
      <c r="LPL174" s="207"/>
      <c r="LPM174" s="207"/>
      <c r="LPN174" s="208"/>
      <c r="LPO174" s="209"/>
      <c r="LPP174" s="207"/>
      <c r="LPQ174" s="210"/>
      <c r="LPR174" s="209"/>
      <c r="LPS174" s="204"/>
      <c r="LPT174" s="204"/>
      <c r="LPU174" s="204"/>
      <c r="LPV174" s="199"/>
      <c r="LPW174" s="167"/>
      <c r="LPX174" s="199"/>
      <c r="LPY174" s="200"/>
      <c r="LPZ174" s="201"/>
      <c r="LQA174" s="202"/>
      <c r="LQB174" s="202"/>
      <c r="LQC174" s="202"/>
      <c r="LQD174" s="202"/>
      <c r="LQE174" s="203"/>
      <c r="LQF174" s="204"/>
      <c r="LQG174" s="204"/>
      <c r="LQH174" s="204"/>
      <c r="LQI174" s="205"/>
      <c r="LQJ174" s="206"/>
      <c r="LQK174" s="207"/>
      <c r="LQL174" s="207"/>
      <c r="LQM174" s="208"/>
      <c r="LQN174" s="209"/>
      <c r="LQO174" s="207"/>
      <c r="LQP174" s="210"/>
      <c r="LQQ174" s="209"/>
      <c r="LQR174" s="204"/>
      <c r="LQS174" s="204"/>
      <c r="LQT174" s="204"/>
      <c r="LQU174" s="199"/>
      <c r="LQV174" s="167"/>
      <c r="LQW174" s="199"/>
      <c r="LQX174" s="200"/>
      <c r="LQY174" s="201"/>
      <c r="LQZ174" s="202"/>
      <c r="LRA174" s="202"/>
      <c r="LRB174" s="202"/>
      <c r="LRC174" s="202"/>
      <c r="LRD174" s="203"/>
      <c r="LRE174" s="204"/>
      <c r="LRF174" s="204"/>
      <c r="LRG174" s="204"/>
      <c r="LRH174" s="205"/>
      <c r="LRI174" s="206"/>
      <c r="LRJ174" s="207"/>
      <c r="LRK174" s="207"/>
      <c r="LRL174" s="208"/>
      <c r="LRM174" s="209"/>
      <c r="LRN174" s="207"/>
      <c r="LRO174" s="210"/>
      <c r="LRP174" s="209"/>
      <c r="LRQ174" s="204"/>
      <c r="LRR174" s="204"/>
      <c r="LRS174" s="204"/>
      <c r="LRT174" s="199"/>
      <c r="LRU174" s="167"/>
      <c r="LRV174" s="199"/>
      <c r="LRW174" s="200"/>
      <c r="LRX174" s="201"/>
      <c r="LRY174" s="202"/>
      <c r="LRZ174" s="202"/>
      <c r="LSA174" s="202"/>
      <c r="LSB174" s="202"/>
      <c r="LSC174" s="203"/>
      <c r="LSD174" s="204"/>
      <c r="LSE174" s="204"/>
      <c r="LSF174" s="204"/>
      <c r="LSG174" s="205"/>
      <c r="LSH174" s="206"/>
      <c r="LSI174" s="207"/>
      <c r="LSJ174" s="207"/>
      <c r="LSK174" s="208"/>
      <c r="LSL174" s="209"/>
      <c r="LSM174" s="207"/>
      <c r="LSN174" s="210"/>
      <c r="LSO174" s="209"/>
      <c r="LSP174" s="204"/>
      <c r="LSQ174" s="204"/>
      <c r="LSR174" s="204"/>
      <c r="LSS174" s="199"/>
      <c r="LST174" s="167"/>
      <c r="LSU174" s="199"/>
      <c r="LSV174" s="200"/>
      <c r="LSW174" s="201"/>
      <c r="LSX174" s="202"/>
      <c r="LSY174" s="202"/>
      <c r="LSZ174" s="202"/>
      <c r="LTA174" s="202"/>
      <c r="LTB174" s="203"/>
      <c r="LTC174" s="204"/>
      <c r="LTD174" s="204"/>
      <c r="LTE174" s="204"/>
      <c r="LTF174" s="205"/>
      <c r="LTG174" s="206"/>
      <c r="LTH174" s="207"/>
      <c r="LTI174" s="207"/>
      <c r="LTJ174" s="208"/>
      <c r="LTK174" s="209"/>
      <c r="LTL174" s="207"/>
      <c r="LTM174" s="210"/>
      <c r="LTN174" s="209"/>
      <c r="LTO174" s="204"/>
      <c r="LTP174" s="204"/>
      <c r="LTQ174" s="204"/>
      <c r="LTR174" s="199"/>
      <c r="LTS174" s="167"/>
      <c r="LTT174" s="199"/>
      <c r="LTU174" s="200"/>
      <c r="LTV174" s="201"/>
      <c r="LTW174" s="202"/>
      <c r="LTX174" s="202"/>
      <c r="LTY174" s="202"/>
      <c r="LTZ174" s="202"/>
      <c r="LUA174" s="203"/>
      <c r="LUB174" s="204"/>
      <c r="LUC174" s="204"/>
      <c r="LUD174" s="204"/>
      <c r="LUE174" s="205"/>
      <c r="LUF174" s="206"/>
      <c r="LUG174" s="207"/>
      <c r="LUH174" s="207"/>
      <c r="LUI174" s="208"/>
      <c r="LUJ174" s="209"/>
      <c r="LUK174" s="207"/>
      <c r="LUL174" s="210"/>
      <c r="LUM174" s="209"/>
      <c r="LUN174" s="204"/>
      <c r="LUO174" s="204"/>
      <c r="LUP174" s="204"/>
      <c r="LUQ174" s="199"/>
      <c r="LUR174" s="167"/>
      <c r="LUS174" s="199"/>
      <c r="LUT174" s="200"/>
      <c r="LUU174" s="201"/>
      <c r="LUV174" s="202"/>
      <c r="LUW174" s="202"/>
      <c r="LUX174" s="202"/>
      <c r="LUY174" s="202"/>
      <c r="LUZ174" s="203"/>
      <c r="LVA174" s="204"/>
      <c r="LVB174" s="204"/>
      <c r="LVC174" s="204"/>
      <c r="LVD174" s="205"/>
      <c r="LVE174" s="206"/>
      <c r="LVF174" s="207"/>
      <c r="LVG174" s="207"/>
      <c r="LVH174" s="208"/>
      <c r="LVI174" s="209"/>
      <c r="LVJ174" s="207"/>
      <c r="LVK174" s="210"/>
      <c r="LVL174" s="209"/>
      <c r="LVM174" s="204"/>
      <c r="LVN174" s="204"/>
      <c r="LVO174" s="204"/>
      <c r="LVP174" s="199"/>
      <c r="LVQ174" s="167"/>
      <c r="LVR174" s="199"/>
      <c r="LVS174" s="200"/>
      <c r="LVT174" s="201"/>
      <c r="LVU174" s="202"/>
      <c r="LVV174" s="202"/>
      <c r="LVW174" s="202"/>
      <c r="LVX174" s="202"/>
      <c r="LVY174" s="203"/>
      <c r="LVZ174" s="204"/>
      <c r="LWA174" s="204"/>
      <c r="LWB174" s="204"/>
      <c r="LWC174" s="205"/>
      <c r="LWD174" s="206"/>
      <c r="LWE174" s="207"/>
      <c r="LWF174" s="207"/>
      <c r="LWG174" s="208"/>
      <c r="LWH174" s="209"/>
      <c r="LWI174" s="207"/>
      <c r="LWJ174" s="210"/>
      <c r="LWK174" s="209"/>
      <c r="LWL174" s="204"/>
      <c r="LWM174" s="204"/>
      <c r="LWN174" s="204"/>
      <c r="LWO174" s="199"/>
      <c r="LWP174" s="167"/>
      <c r="LWQ174" s="199"/>
      <c r="LWR174" s="200"/>
      <c r="LWS174" s="201"/>
      <c r="LWT174" s="202"/>
      <c r="LWU174" s="202"/>
      <c r="LWV174" s="202"/>
      <c r="LWW174" s="202"/>
      <c r="LWX174" s="203"/>
      <c r="LWY174" s="204"/>
      <c r="LWZ174" s="204"/>
      <c r="LXA174" s="204"/>
      <c r="LXB174" s="205"/>
      <c r="LXC174" s="206"/>
      <c r="LXD174" s="207"/>
      <c r="LXE174" s="207"/>
      <c r="LXF174" s="208"/>
      <c r="LXG174" s="209"/>
      <c r="LXH174" s="207"/>
      <c r="LXI174" s="210"/>
      <c r="LXJ174" s="209"/>
      <c r="LXK174" s="204"/>
      <c r="LXL174" s="204"/>
      <c r="LXM174" s="204"/>
      <c r="LXN174" s="199"/>
      <c r="LXO174" s="167"/>
      <c r="LXP174" s="199"/>
      <c r="LXQ174" s="200"/>
      <c r="LXR174" s="201"/>
      <c r="LXS174" s="202"/>
      <c r="LXT174" s="202"/>
      <c r="LXU174" s="202"/>
      <c r="LXV174" s="202"/>
      <c r="LXW174" s="203"/>
      <c r="LXX174" s="204"/>
      <c r="LXY174" s="204"/>
      <c r="LXZ174" s="204"/>
      <c r="LYA174" s="205"/>
      <c r="LYB174" s="206"/>
      <c r="LYC174" s="207"/>
      <c r="LYD174" s="207"/>
      <c r="LYE174" s="208"/>
      <c r="LYF174" s="209"/>
      <c r="LYG174" s="207"/>
      <c r="LYH174" s="210"/>
      <c r="LYI174" s="209"/>
      <c r="LYJ174" s="204"/>
      <c r="LYK174" s="204"/>
      <c r="LYL174" s="204"/>
      <c r="LYM174" s="199"/>
      <c r="LYN174" s="167"/>
      <c r="LYO174" s="199"/>
      <c r="LYP174" s="200"/>
      <c r="LYQ174" s="201"/>
      <c r="LYR174" s="202"/>
      <c r="LYS174" s="202"/>
      <c r="LYT174" s="202"/>
      <c r="LYU174" s="202"/>
      <c r="LYV174" s="203"/>
      <c r="LYW174" s="204"/>
      <c r="LYX174" s="204"/>
      <c r="LYY174" s="204"/>
      <c r="LYZ174" s="205"/>
      <c r="LZA174" s="206"/>
      <c r="LZB174" s="207"/>
      <c r="LZC174" s="207"/>
      <c r="LZD174" s="208"/>
      <c r="LZE174" s="209"/>
      <c r="LZF174" s="207"/>
      <c r="LZG174" s="210"/>
      <c r="LZH174" s="209"/>
      <c r="LZI174" s="204"/>
      <c r="LZJ174" s="204"/>
      <c r="LZK174" s="204"/>
      <c r="LZL174" s="199"/>
      <c r="LZM174" s="167"/>
      <c r="LZN174" s="199"/>
      <c r="LZO174" s="200"/>
      <c r="LZP174" s="201"/>
      <c r="LZQ174" s="202"/>
      <c r="LZR174" s="202"/>
      <c r="LZS174" s="202"/>
      <c r="LZT174" s="202"/>
      <c r="LZU174" s="203"/>
      <c r="LZV174" s="204"/>
      <c r="LZW174" s="204"/>
      <c r="LZX174" s="204"/>
      <c r="LZY174" s="205"/>
      <c r="LZZ174" s="206"/>
      <c r="MAA174" s="207"/>
      <c r="MAB174" s="207"/>
      <c r="MAC174" s="208"/>
      <c r="MAD174" s="209"/>
      <c r="MAE174" s="207"/>
      <c r="MAF174" s="210"/>
      <c r="MAG174" s="209"/>
      <c r="MAH174" s="204"/>
      <c r="MAI174" s="204"/>
      <c r="MAJ174" s="204"/>
      <c r="MAK174" s="199"/>
      <c r="MAL174" s="167"/>
      <c r="MAM174" s="199"/>
      <c r="MAN174" s="200"/>
      <c r="MAO174" s="201"/>
      <c r="MAP174" s="202"/>
      <c r="MAQ174" s="202"/>
      <c r="MAR174" s="202"/>
      <c r="MAS174" s="202"/>
      <c r="MAT174" s="203"/>
      <c r="MAU174" s="204"/>
      <c r="MAV174" s="204"/>
      <c r="MAW174" s="204"/>
      <c r="MAX174" s="205"/>
      <c r="MAY174" s="206"/>
      <c r="MAZ174" s="207"/>
      <c r="MBA174" s="207"/>
      <c r="MBB174" s="208"/>
      <c r="MBC174" s="209"/>
      <c r="MBD174" s="207"/>
      <c r="MBE174" s="210"/>
      <c r="MBF174" s="209"/>
      <c r="MBG174" s="204"/>
      <c r="MBH174" s="204"/>
      <c r="MBI174" s="204"/>
      <c r="MBJ174" s="199"/>
      <c r="MBK174" s="167"/>
      <c r="MBL174" s="199"/>
      <c r="MBM174" s="200"/>
      <c r="MBN174" s="201"/>
      <c r="MBO174" s="202"/>
      <c r="MBP174" s="202"/>
      <c r="MBQ174" s="202"/>
      <c r="MBR174" s="202"/>
      <c r="MBS174" s="203"/>
      <c r="MBT174" s="204"/>
      <c r="MBU174" s="204"/>
      <c r="MBV174" s="204"/>
      <c r="MBW174" s="205"/>
      <c r="MBX174" s="206"/>
      <c r="MBY174" s="207"/>
      <c r="MBZ174" s="207"/>
      <c r="MCA174" s="208"/>
      <c r="MCB174" s="209"/>
      <c r="MCC174" s="207"/>
      <c r="MCD174" s="210"/>
      <c r="MCE174" s="209"/>
      <c r="MCF174" s="204"/>
      <c r="MCG174" s="204"/>
      <c r="MCH174" s="204"/>
      <c r="MCI174" s="199"/>
      <c r="MCJ174" s="167"/>
      <c r="MCK174" s="199"/>
      <c r="MCL174" s="200"/>
      <c r="MCM174" s="201"/>
      <c r="MCN174" s="202"/>
      <c r="MCO174" s="202"/>
      <c r="MCP174" s="202"/>
      <c r="MCQ174" s="202"/>
      <c r="MCR174" s="203"/>
      <c r="MCS174" s="204"/>
      <c r="MCT174" s="204"/>
      <c r="MCU174" s="204"/>
      <c r="MCV174" s="205"/>
      <c r="MCW174" s="206"/>
      <c r="MCX174" s="207"/>
      <c r="MCY174" s="207"/>
      <c r="MCZ174" s="208"/>
      <c r="MDA174" s="209"/>
      <c r="MDB174" s="207"/>
      <c r="MDC174" s="210"/>
      <c r="MDD174" s="209"/>
      <c r="MDE174" s="204"/>
      <c r="MDF174" s="204"/>
      <c r="MDG174" s="204"/>
      <c r="MDH174" s="199"/>
      <c r="MDI174" s="167"/>
      <c r="MDJ174" s="199"/>
      <c r="MDK174" s="200"/>
      <c r="MDL174" s="201"/>
      <c r="MDM174" s="202"/>
      <c r="MDN174" s="202"/>
      <c r="MDO174" s="202"/>
      <c r="MDP174" s="202"/>
      <c r="MDQ174" s="203"/>
      <c r="MDR174" s="204"/>
      <c r="MDS174" s="204"/>
      <c r="MDT174" s="204"/>
      <c r="MDU174" s="205"/>
      <c r="MDV174" s="206"/>
      <c r="MDW174" s="207"/>
      <c r="MDX174" s="207"/>
      <c r="MDY174" s="208"/>
      <c r="MDZ174" s="209"/>
      <c r="MEA174" s="207"/>
      <c r="MEB174" s="210"/>
      <c r="MEC174" s="209"/>
      <c r="MED174" s="204"/>
      <c r="MEE174" s="204"/>
      <c r="MEF174" s="204"/>
      <c r="MEG174" s="199"/>
      <c r="MEH174" s="167"/>
      <c r="MEI174" s="199"/>
      <c r="MEJ174" s="200"/>
      <c r="MEK174" s="201"/>
      <c r="MEL174" s="202"/>
      <c r="MEM174" s="202"/>
      <c r="MEN174" s="202"/>
      <c r="MEO174" s="202"/>
      <c r="MEP174" s="203"/>
      <c r="MEQ174" s="204"/>
      <c r="MER174" s="204"/>
      <c r="MES174" s="204"/>
      <c r="MET174" s="205"/>
      <c r="MEU174" s="206"/>
      <c r="MEV174" s="207"/>
      <c r="MEW174" s="207"/>
      <c r="MEX174" s="208"/>
      <c r="MEY174" s="209"/>
      <c r="MEZ174" s="207"/>
      <c r="MFA174" s="210"/>
      <c r="MFB174" s="209"/>
      <c r="MFC174" s="204"/>
      <c r="MFD174" s="204"/>
      <c r="MFE174" s="204"/>
      <c r="MFF174" s="199"/>
      <c r="MFG174" s="167"/>
      <c r="MFH174" s="199"/>
      <c r="MFI174" s="200"/>
      <c r="MFJ174" s="201"/>
      <c r="MFK174" s="202"/>
      <c r="MFL174" s="202"/>
      <c r="MFM174" s="202"/>
      <c r="MFN174" s="202"/>
      <c r="MFO174" s="203"/>
      <c r="MFP174" s="204"/>
      <c r="MFQ174" s="204"/>
      <c r="MFR174" s="204"/>
      <c r="MFS174" s="205"/>
      <c r="MFT174" s="206"/>
      <c r="MFU174" s="207"/>
      <c r="MFV174" s="207"/>
      <c r="MFW174" s="208"/>
      <c r="MFX174" s="209"/>
      <c r="MFY174" s="207"/>
      <c r="MFZ174" s="210"/>
      <c r="MGA174" s="209"/>
      <c r="MGB174" s="204"/>
      <c r="MGC174" s="204"/>
      <c r="MGD174" s="204"/>
      <c r="MGE174" s="199"/>
      <c r="MGF174" s="167"/>
      <c r="MGG174" s="199"/>
      <c r="MGH174" s="200"/>
      <c r="MGI174" s="201"/>
      <c r="MGJ174" s="202"/>
      <c r="MGK174" s="202"/>
      <c r="MGL174" s="202"/>
      <c r="MGM174" s="202"/>
      <c r="MGN174" s="203"/>
      <c r="MGO174" s="204"/>
      <c r="MGP174" s="204"/>
      <c r="MGQ174" s="204"/>
      <c r="MGR174" s="205"/>
      <c r="MGS174" s="206"/>
      <c r="MGT174" s="207"/>
      <c r="MGU174" s="207"/>
      <c r="MGV174" s="208"/>
      <c r="MGW174" s="209"/>
      <c r="MGX174" s="207"/>
      <c r="MGY174" s="210"/>
      <c r="MGZ174" s="209"/>
      <c r="MHA174" s="204"/>
      <c r="MHB174" s="204"/>
      <c r="MHC174" s="204"/>
      <c r="MHD174" s="199"/>
      <c r="MHE174" s="167"/>
      <c r="MHF174" s="199"/>
      <c r="MHG174" s="200"/>
      <c r="MHH174" s="201"/>
      <c r="MHI174" s="202"/>
      <c r="MHJ174" s="202"/>
      <c r="MHK174" s="202"/>
      <c r="MHL174" s="202"/>
      <c r="MHM174" s="203"/>
      <c r="MHN174" s="204"/>
      <c r="MHO174" s="204"/>
      <c r="MHP174" s="204"/>
      <c r="MHQ174" s="205"/>
      <c r="MHR174" s="206"/>
      <c r="MHS174" s="207"/>
      <c r="MHT174" s="207"/>
      <c r="MHU174" s="208"/>
      <c r="MHV174" s="209"/>
      <c r="MHW174" s="207"/>
      <c r="MHX174" s="210"/>
      <c r="MHY174" s="209"/>
      <c r="MHZ174" s="204"/>
      <c r="MIA174" s="204"/>
      <c r="MIB174" s="204"/>
      <c r="MIC174" s="199"/>
      <c r="MID174" s="167"/>
      <c r="MIE174" s="199"/>
      <c r="MIF174" s="200"/>
      <c r="MIG174" s="201"/>
      <c r="MIH174" s="202"/>
      <c r="MII174" s="202"/>
      <c r="MIJ174" s="202"/>
      <c r="MIK174" s="202"/>
      <c r="MIL174" s="203"/>
      <c r="MIM174" s="204"/>
      <c r="MIN174" s="204"/>
      <c r="MIO174" s="204"/>
      <c r="MIP174" s="205"/>
      <c r="MIQ174" s="206"/>
      <c r="MIR174" s="207"/>
      <c r="MIS174" s="207"/>
      <c r="MIT174" s="208"/>
      <c r="MIU174" s="209"/>
      <c r="MIV174" s="207"/>
      <c r="MIW174" s="210"/>
      <c r="MIX174" s="209"/>
      <c r="MIY174" s="204"/>
      <c r="MIZ174" s="204"/>
      <c r="MJA174" s="204"/>
      <c r="MJB174" s="199"/>
      <c r="MJC174" s="167"/>
      <c r="MJD174" s="199"/>
      <c r="MJE174" s="200"/>
      <c r="MJF174" s="201"/>
      <c r="MJG174" s="202"/>
      <c r="MJH174" s="202"/>
      <c r="MJI174" s="202"/>
      <c r="MJJ174" s="202"/>
      <c r="MJK174" s="203"/>
      <c r="MJL174" s="204"/>
      <c r="MJM174" s="204"/>
      <c r="MJN174" s="204"/>
      <c r="MJO174" s="205"/>
      <c r="MJP174" s="206"/>
      <c r="MJQ174" s="207"/>
      <c r="MJR174" s="207"/>
      <c r="MJS174" s="208"/>
      <c r="MJT174" s="209"/>
      <c r="MJU174" s="207"/>
      <c r="MJV174" s="210"/>
      <c r="MJW174" s="209"/>
      <c r="MJX174" s="204"/>
      <c r="MJY174" s="204"/>
      <c r="MJZ174" s="204"/>
      <c r="MKA174" s="199"/>
      <c r="MKB174" s="167"/>
      <c r="MKC174" s="199"/>
      <c r="MKD174" s="200"/>
      <c r="MKE174" s="201"/>
      <c r="MKF174" s="202"/>
      <c r="MKG174" s="202"/>
      <c r="MKH174" s="202"/>
      <c r="MKI174" s="202"/>
      <c r="MKJ174" s="203"/>
      <c r="MKK174" s="204"/>
      <c r="MKL174" s="204"/>
      <c r="MKM174" s="204"/>
      <c r="MKN174" s="205"/>
      <c r="MKO174" s="206"/>
      <c r="MKP174" s="207"/>
      <c r="MKQ174" s="207"/>
      <c r="MKR174" s="208"/>
      <c r="MKS174" s="209"/>
      <c r="MKT174" s="207"/>
      <c r="MKU174" s="210"/>
      <c r="MKV174" s="209"/>
      <c r="MKW174" s="204"/>
      <c r="MKX174" s="204"/>
      <c r="MKY174" s="204"/>
      <c r="MKZ174" s="199"/>
      <c r="MLA174" s="167"/>
      <c r="MLB174" s="199"/>
      <c r="MLC174" s="200"/>
      <c r="MLD174" s="201"/>
      <c r="MLE174" s="202"/>
      <c r="MLF174" s="202"/>
      <c r="MLG174" s="202"/>
      <c r="MLH174" s="202"/>
      <c r="MLI174" s="203"/>
      <c r="MLJ174" s="204"/>
      <c r="MLK174" s="204"/>
      <c r="MLL174" s="204"/>
      <c r="MLM174" s="205"/>
      <c r="MLN174" s="206"/>
      <c r="MLO174" s="207"/>
      <c r="MLP174" s="207"/>
      <c r="MLQ174" s="208"/>
      <c r="MLR174" s="209"/>
      <c r="MLS174" s="207"/>
      <c r="MLT174" s="210"/>
      <c r="MLU174" s="209"/>
      <c r="MLV174" s="204"/>
      <c r="MLW174" s="204"/>
      <c r="MLX174" s="204"/>
      <c r="MLY174" s="199"/>
      <c r="MLZ174" s="167"/>
      <c r="MMA174" s="199"/>
      <c r="MMB174" s="200"/>
      <c r="MMC174" s="201"/>
      <c r="MMD174" s="202"/>
      <c r="MME174" s="202"/>
      <c r="MMF174" s="202"/>
      <c r="MMG174" s="202"/>
      <c r="MMH174" s="203"/>
      <c r="MMI174" s="204"/>
      <c r="MMJ174" s="204"/>
      <c r="MMK174" s="204"/>
      <c r="MML174" s="205"/>
      <c r="MMM174" s="206"/>
      <c r="MMN174" s="207"/>
      <c r="MMO174" s="207"/>
      <c r="MMP174" s="208"/>
      <c r="MMQ174" s="209"/>
      <c r="MMR174" s="207"/>
      <c r="MMS174" s="210"/>
      <c r="MMT174" s="209"/>
      <c r="MMU174" s="204"/>
      <c r="MMV174" s="204"/>
      <c r="MMW174" s="204"/>
      <c r="MMX174" s="199"/>
      <c r="MMY174" s="167"/>
      <c r="MMZ174" s="199"/>
      <c r="MNA174" s="200"/>
      <c r="MNB174" s="201"/>
      <c r="MNC174" s="202"/>
      <c r="MND174" s="202"/>
      <c r="MNE174" s="202"/>
      <c r="MNF174" s="202"/>
      <c r="MNG174" s="203"/>
      <c r="MNH174" s="204"/>
      <c r="MNI174" s="204"/>
      <c r="MNJ174" s="204"/>
      <c r="MNK174" s="205"/>
      <c r="MNL174" s="206"/>
      <c r="MNM174" s="207"/>
      <c r="MNN174" s="207"/>
      <c r="MNO174" s="208"/>
      <c r="MNP174" s="209"/>
      <c r="MNQ174" s="207"/>
      <c r="MNR174" s="210"/>
      <c r="MNS174" s="209"/>
      <c r="MNT174" s="204"/>
      <c r="MNU174" s="204"/>
      <c r="MNV174" s="204"/>
      <c r="MNW174" s="199"/>
      <c r="MNX174" s="167"/>
      <c r="MNY174" s="199"/>
      <c r="MNZ174" s="200"/>
      <c r="MOA174" s="201"/>
      <c r="MOB174" s="202"/>
      <c r="MOC174" s="202"/>
      <c r="MOD174" s="202"/>
      <c r="MOE174" s="202"/>
      <c r="MOF174" s="203"/>
      <c r="MOG174" s="204"/>
      <c r="MOH174" s="204"/>
      <c r="MOI174" s="204"/>
      <c r="MOJ174" s="205"/>
      <c r="MOK174" s="206"/>
      <c r="MOL174" s="207"/>
      <c r="MOM174" s="207"/>
      <c r="MON174" s="208"/>
      <c r="MOO174" s="209"/>
      <c r="MOP174" s="207"/>
      <c r="MOQ174" s="210"/>
      <c r="MOR174" s="209"/>
      <c r="MOS174" s="204"/>
      <c r="MOT174" s="204"/>
      <c r="MOU174" s="204"/>
      <c r="MOV174" s="199"/>
      <c r="MOW174" s="167"/>
      <c r="MOX174" s="199"/>
      <c r="MOY174" s="200"/>
      <c r="MOZ174" s="201"/>
      <c r="MPA174" s="202"/>
      <c r="MPB174" s="202"/>
      <c r="MPC174" s="202"/>
      <c r="MPD174" s="202"/>
      <c r="MPE174" s="203"/>
      <c r="MPF174" s="204"/>
      <c r="MPG174" s="204"/>
      <c r="MPH174" s="204"/>
      <c r="MPI174" s="205"/>
      <c r="MPJ174" s="206"/>
      <c r="MPK174" s="207"/>
      <c r="MPL174" s="207"/>
      <c r="MPM174" s="208"/>
      <c r="MPN174" s="209"/>
      <c r="MPO174" s="207"/>
      <c r="MPP174" s="210"/>
      <c r="MPQ174" s="209"/>
      <c r="MPR174" s="204"/>
      <c r="MPS174" s="204"/>
      <c r="MPT174" s="204"/>
      <c r="MPU174" s="199"/>
      <c r="MPV174" s="167"/>
      <c r="MPW174" s="199"/>
      <c r="MPX174" s="200"/>
      <c r="MPY174" s="201"/>
      <c r="MPZ174" s="202"/>
      <c r="MQA174" s="202"/>
      <c r="MQB174" s="202"/>
      <c r="MQC174" s="202"/>
      <c r="MQD174" s="203"/>
      <c r="MQE174" s="204"/>
      <c r="MQF174" s="204"/>
      <c r="MQG174" s="204"/>
      <c r="MQH174" s="205"/>
      <c r="MQI174" s="206"/>
      <c r="MQJ174" s="207"/>
      <c r="MQK174" s="207"/>
      <c r="MQL174" s="208"/>
      <c r="MQM174" s="209"/>
      <c r="MQN174" s="207"/>
      <c r="MQO174" s="210"/>
      <c r="MQP174" s="209"/>
      <c r="MQQ174" s="204"/>
      <c r="MQR174" s="204"/>
      <c r="MQS174" s="204"/>
      <c r="MQT174" s="199"/>
      <c r="MQU174" s="167"/>
      <c r="MQV174" s="199"/>
      <c r="MQW174" s="200"/>
      <c r="MQX174" s="201"/>
      <c r="MQY174" s="202"/>
      <c r="MQZ174" s="202"/>
      <c r="MRA174" s="202"/>
      <c r="MRB174" s="202"/>
      <c r="MRC174" s="203"/>
      <c r="MRD174" s="204"/>
      <c r="MRE174" s="204"/>
      <c r="MRF174" s="204"/>
      <c r="MRG174" s="205"/>
      <c r="MRH174" s="206"/>
      <c r="MRI174" s="207"/>
      <c r="MRJ174" s="207"/>
      <c r="MRK174" s="208"/>
      <c r="MRL174" s="209"/>
      <c r="MRM174" s="207"/>
      <c r="MRN174" s="210"/>
      <c r="MRO174" s="209"/>
      <c r="MRP174" s="204"/>
      <c r="MRQ174" s="204"/>
      <c r="MRR174" s="204"/>
      <c r="MRS174" s="199"/>
      <c r="MRT174" s="167"/>
      <c r="MRU174" s="199"/>
      <c r="MRV174" s="200"/>
      <c r="MRW174" s="201"/>
      <c r="MRX174" s="202"/>
      <c r="MRY174" s="202"/>
      <c r="MRZ174" s="202"/>
      <c r="MSA174" s="202"/>
      <c r="MSB174" s="203"/>
      <c r="MSC174" s="204"/>
      <c r="MSD174" s="204"/>
      <c r="MSE174" s="204"/>
      <c r="MSF174" s="205"/>
      <c r="MSG174" s="206"/>
      <c r="MSH174" s="207"/>
      <c r="MSI174" s="207"/>
      <c r="MSJ174" s="208"/>
      <c r="MSK174" s="209"/>
      <c r="MSL174" s="207"/>
      <c r="MSM174" s="210"/>
      <c r="MSN174" s="209"/>
      <c r="MSO174" s="204"/>
      <c r="MSP174" s="204"/>
      <c r="MSQ174" s="204"/>
      <c r="MSR174" s="199"/>
      <c r="MSS174" s="167"/>
      <c r="MST174" s="199"/>
      <c r="MSU174" s="200"/>
      <c r="MSV174" s="201"/>
      <c r="MSW174" s="202"/>
      <c r="MSX174" s="202"/>
      <c r="MSY174" s="202"/>
      <c r="MSZ174" s="202"/>
      <c r="MTA174" s="203"/>
      <c r="MTB174" s="204"/>
      <c r="MTC174" s="204"/>
      <c r="MTD174" s="204"/>
      <c r="MTE174" s="205"/>
      <c r="MTF174" s="206"/>
      <c r="MTG174" s="207"/>
      <c r="MTH174" s="207"/>
      <c r="MTI174" s="208"/>
      <c r="MTJ174" s="209"/>
      <c r="MTK174" s="207"/>
      <c r="MTL174" s="210"/>
      <c r="MTM174" s="209"/>
      <c r="MTN174" s="204"/>
      <c r="MTO174" s="204"/>
      <c r="MTP174" s="204"/>
      <c r="MTQ174" s="199"/>
      <c r="MTR174" s="167"/>
      <c r="MTS174" s="199"/>
      <c r="MTT174" s="200"/>
      <c r="MTU174" s="201"/>
      <c r="MTV174" s="202"/>
      <c r="MTW174" s="202"/>
      <c r="MTX174" s="202"/>
      <c r="MTY174" s="202"/>
      <c r="MTZ174" s="203"/>
      <c r="MUA174" s="204"/>
      <c r="MUB174" s="204"/>
      <c r="MUC174" s="204"/>
      <c r="MUD174" s="205"/>
      <c r="MUE174" s="206"/>
      <c r="MUF174" s="207"/>
      <c r="MUG174" s="207"/>
      <c r="MUH174" s="208"/>
      <c r="MUI174" s="209"/>
      <c r="MUJ174" s="207"/>
      <c r="MUK174" s="210"/>
      <c r="MUL174" s="209"/>
      <c r="MUM174" s="204"/>
      <c r="MUN174" s="204"/>
      <c r="MUO174" s="204"/>
      <c r="MUP174" s="199"/>
      <c r="MUQ174" s="167"/>
      <c r="MUR174" s="199"/>
      <c r="MUS174" s="200"/>
      <c r="MUT174" s="201"/>
      <c r="MUU174" s="202"/>
      <c r="MUV174" s="202"/>
      <c r="MUW174" s="202"/>
      <c r="MUX174" s="202"/>
      <c r="MUY174" s="203"/>
      <c r="MUZ174" s="204"/>
      <c r="MVA174" s="204"/>
      <c r="MVB174" s="204"/>
      <c r="MVC174" s="205"/>
      <c r="MVD174" s="206"/>
      <c r="MVE174" s="207"/>
      <c r="MVF174" s="207"/>
      <c r="MVG174" s="208"/>
      <c r="MVH174" s="209"/>
      <c r="MVI174" s="207"/>
      <c r="MVJ174" s="210"/>
      <c r="MVK174" s="209"/>
      <c r="MVL174" s="204"/>
      <c r="MVM174" s="204"/>
      <c r="MVN174" s="204"/>
      <c r="MVO174" s="199"/>
      <c r="MVP174" s="167"/>
      <c r="MVQ174" s="199"/>
      <c r="MVR174" s="200"/>
      <c r="MVS174" s="201"/>
      <c r="MVT174" s="202"/>
      <c r="MVU174" s="202"/>
      <c r="MVV174" s="202"/>
      <c r="MVW174" s="202"/>
      <c r="MVX174" s="203"/>
      <c r="MVY174" s="204"/>
      <c r="MVZ174" s="204"/>
      <c r="MWA174" s="204"/>
      <c r="MWB174" s="205"/>
      <c r="MWC174" s="206"/>
      <c r="MWD174" s="207"/>
      <c r="MWE174" s="207"/>
      <c r="MWF174" s="208"/>
      <c r="MWG174" s="209"/>
      <c r="MWH174" s="207"/>
      <c r="MWI174" s="210"/>
      <c r="MWJ174" s="209"/>
      <c r="MWK174" s="204"/>
      <c r="MWL174" s="204"/>
      <c r="MWM174" s="204"/>
      <c r="MWN174" s="199"/>
      <c r="MWO174" s="167"/>
      <c r="MWP174" s="199"/>
      <c r="MWQ174" s="200"/>
      <c r="MWR174" s="201"/>
      <c r="MWS174" s="202"/>
      <c r="MWT174" s="202"/>
      <c r="MWU174" s="202"/>
      <c r="MWV174" s="202"/>
      <c r="MWW174" s="203"/>
      <c r="MWX174" s="204"/>
      <c r="MWY174" s="204"/>
      <c r="MWZ174" s="204"/>
      <c r="MXA174" s="205"/>
      <c r="MXB174" s="206"/>
      <c r="MXC174" s="207"/>
      <c r="MXD174" s="207"/>
      <c r="MXE174" s="208"/>
      <c r="MXF174" s="209"/>
      <c r="MXG174" s="207"/>
      <c r="MXH174" s="210"/>
      <c r="MXI174" s="209"/>
      <c r="MXJ174" s="204"/>
      <c r="MXK174" s="204"/>
      <c r="MXL174" s="204"/>
      <c r="MXM174" s="199"/>
      <c r="MXN174" s="167"/>
      <c r="MXO174" s="199"/>
      <c r="MXP174" s="200"/>
      <c r="MXQ174" s="201"/>
      <c r="MXR174" s="202"/>
      <c r="MXS174" s="202"/>
      <c r="MXT174" s="202"/>
      <c r="MXU174" s="202"/>
      <c r="MXV174" s="203"/>
      <c r="MXW174" s="204"/>
      <c r="MXX174" s="204"/>
      <c r="MXY174" s="204"/>
      <c r="MXZ174" s="205"/>
      <c r="MYA174" s="206"/>
      <c r="MYB174" s="207"/>
      <c r="MYC174" s="207"/>
      <c r="MYD174" s="208"/>
      <c r="MYE174" s="209"/>
      <c r="MYF174" s="207"/>
      <c r="MYG174" s="210"/>
      <c r="MYH174" s="209"/>
      <c r="MYI174" s="204"/>
      <c r="MYJ174" s="204"/>
      <c r="MYK174" s="204"/>
      <c r="MYL174" s="199"/>
      <c r="MYM174" s="167"/>
      <c r="MYN174" s="199"/>
      <c r="MYO174" s="200"/>
      <c r="MYP174" s="201"/>
      <c r="MYQ174" s="202"/>
      <c r="MYR174" s="202"/>
      <c r="MYS174" s="202"/>
      <c r="MYT174" s="202"/>
      <c r="MYU174" s="203"/>
      <c r="MYV174" s="204"/>
      <c r="MYW174" s="204"/>
      <c r="MYX174" s="204"/>
      <c r="MYY174" s="205"/>
      <c r="MYZ174" s="206"/>
      <c r="MZA174" s="207"/>
      <c r="MZB174" s="207"/>
      <c r="MZC174" s="208"/>
      <c r="MZD174" s="209"/>
      <c r="MZE174" s="207"/>
      <c r="MZF174" s="210"/>
      <c r="MZG174" s="209"/>
      <c r="MZH174" s="204"/>
      <c r="MZI174" s="204"/>
      <c r="MZJ174" s="204"/>
      <c r="MZK174" s="199"/>
      <c r="MZL174" s="167"/>
      <c r="MZM174" s="199"/>
      <c r="MZN174" s="200"/>
      <c r="MZO174" s="201"/>
      <c r="MZP174" s="202"/>
      <c r="MZQ174" s="202"/>
      <c r="MZR174" s="202"/>
      <c r="MZS174" s="202"/>
      <c r="MZT174" s="203"/>
      <c r="MZU174" s="204"/>
      <c r="MZV174" s="204"/>
      <c r="MZW174" s="204"/>
      <c r="MZX174" s="205"/>
      <c r="MZY174" s="206"/>
      <c r="MZZ174" s="207"/>
      <c r="NAA174" s="207"/>
      <c r="NAB174" s="208"/>
      <c r="NAC174" s="209"/>
      <c r="NAD174" s="207"/>
      <c r="NAE174" s="210"/>
      <c r="NAF174" s="209"/>
      <c r="NAG174" s="204"/>
      <c r="NAH174" s="204"/>
      <c r="NAI174" s="204"/>
      <c r="NAJ174" s="199"/>
      <c r="NAK174" s="167"/>
      <c r="NAL174" s="199"/>
      <c r="NAM174" s="200"/>
      <c r="NAN174" s="201"/>
      <c r="NAO174" s="202"/>
      <c r="NAP174" s="202"/>
      <c r="NAQ174" s="202"/>
      <c r="NAR174" s="202"/>
      <c r="NAS174" s="203"/>
      <c r="NAT174" s="204"/>
      <c r="NAU174" s="204"/>
      <c r="NAV174" s="204"/>
      <c r="NAW174" s="205"/>
      <c r="NAX174" s="206"/>
      <c r="NAY174" s="207"/>
      <c r="NAZ174" s="207"/>
      <c r="NBA174" s="208"/>
      <c r="NBB174" s="209"/>
      <c r="NBC174" s="207"/>
      <c r="NBD174" s="210"/>
      <c r="NBE174" s="209"/>
      <c r="NBF174" s="204"/>
      <c r="NBG174" s="204"/>
      <c r="NBH174" s="204"/>
      <c r="NBI174" s="199"/>
      <c r="NBJ174" s="167"/>
      <c r="NBK174" s="199"/>
      <c r="NBL174" s="200"/>
      <c r="NBM174" s="201"/>
      <c r="NBN174" s="202"/>
      <c r="NBO174" s="202"/>
      <c r="NBP174" s="202"/>
      <c r="NBQ174" s="202"/>
      <c r="NBR174" s="203"/>
      <c r="NBS174" s="204"/>
      <c r="NBT174" s="204"/>
      <c r="NBU174" s="204"/>
      <c r="NBV174" s="205"/>
      <c r="NBW174" s="206"/>
      <c r="NBX174" s="207"/>
      <c r="NBY174" s="207"/>
      <c r="NBZ174" s="208"/>
      <c r="NCA174" s="209"/>
      <c r="NCB174" s="207"/>
      <c r="NCC174" s="210"/>
      <c r="NCD174" s="209"/>
      <c r="NCE174" s="204"/>
      <c r="NCF174" s="204"/>
      <c r="NCG174" s="204"/>
      <c r="NCH174" s="199"/>
      <c r="NCI174" s="167"/>
      <c r="NCJ174" s="199"/>
      <c r="NCK174" s="200"/>
      <c r="NCL174" s="201"/>
      <c r="NCM174" s="202"/>
      <c r="NCN174" s="202"/>
      <c r="NCO174" s="202"/>
      <c r="NCP174" s="202"/>
      <c r="NCQ174" s="203"/>
      <c r="NCR174" s="204"/>
      <c r="NCS174" s="204"/>
      <c r="NCT174" s="204"/>
      <c r="NCU174" s="205"/>
      <c r="NCV174" s="206"/>
      <c r="NCW174" s="207"/>
      <c r="NCX174" s="207"/>
      <c r="NCY174" s="208"/>
      <c r="NCZ174" s="209"/>
      <c r="NDA174" s="207"/>
      <c r="NDB174" s="210"/>
      <c r="NDC174" s="209"/>
      <c r="NDD174" s="204"/>
      <c r="NDE174" s="204"/>
      <c r="NDF174" s="204"/>
      <c r="NDG174" s="199"/>
      <c r="NDH174" s="167"/>
      <c r="NDI174" s="199"/>
      <c r="NDJ174" s="200"/>
      <c r="NDK174" s="201"/>
      <c r="NDL174" s="202"/>
      <c r="NDM174" s="202"/>
      <c r="NDN174" s="202"/>
      <c r="NDO174" s="202"/>
      <c r="NDP174" s="203"/>
      <c r="NDQ174" s="204"/>
      <c r="NDR174" s="204"/>
      <c r="NDS174" s="204"/>
      <c r="NDT174" s="205"/>
      <c r="NDU174" s="206"/>
      <c r="NDV174" s="207"/>
      <c r="NDW174" s="207"/>
      <c r="NDX174" s="208"/>
      <c r="NDY174" s="209"/>
      <c r="NDZ174" s="207"/>
      <c r="NEA174" s="210"/>
      <c r="NEB174" s="209"/>
      <c r="NEC174" s="204"/>
      <c r="NED174" s="204"/>
      <c r="NEE174" s="204"/>
      <c r="NEF174" s="199"/>
      <c r="NEG174" s="167"/>
      <c r="NEH174" s="199"/>
      <c r="NEI174" s="200"/>
      <c r="NEJ174" s="201"/>
      <c r="NEK174" s="202"/>
      <c r="NEL174" s="202"/>
      <c r="NEM174" s="202"/>
      <c r="NEN174" s="202"/>
      <c r="NEO174" s="203"/>
      <c r="NEP174" s="204"/>
      <c r="NEQ174" s="204"/>
      <c r="NER174" s="204"/>
      <c r="NES174" s="205"/>
      <c r="NET174" s="206"/>
      <c r="NEU174" s="207"/>
      <c r="NEV174" s="207"/>
      <c r="NEW174" s="208"/>
      <c r="NEX174" s="209"/>
      <c r="NEY174" s="207"/>
      <c r="NEZ174" s="210"/>
      <c r="NFA174" s="209"/>
      <c r="NFB174" s="204"/>
      <c r="NFC174" s="204"/>
      <c r="NFD174" s="204"/>
      <c r="NFE174" s="199"/>
      <c r="NFF174" s="167"/>
      <c r="NFG174" s="199"/>
      <c r="NFH174" s="200"/>
      <c r="NFI174" s="201"/>
      <c r="NFJ174" s="202"/>
      <c r="NFK174" s="202"/>
      <c r="NFL174" s="202"/>
      <c r="NFM174" s="202"/>
      <c r="NFN174" s="203"/>
      <c r="NFO174" s="204"/>
      <c r="NFP174" s="204"/>
      <c r="NFQ174" s="204"/>
      <c r="NFR174" s="205"/>
      <c r="NFS174" s="206"/>
      <c r="NFT174" s="207"/>
      <c r="NFU174" s="207"/>
      <c r="NFV174" s="208"/>
      <c r="NFW174" s="209"/>
      <c r="NFX174" s="207"/>
      <c r="NFY174" s="210"/>
      <c r="NFZ174" s="209"/>
      <c r="NGA174" s="204"/>
      <c r="NGB174" s="204"/>
      <c r="NGC174" s="204"/>
      <c r="NGD174" s="199"/>
      <c r="NGE174" s="167"/>
      <c r="NGF174" s="199"/>
      <c r="NGG174" s="200"/>
      <c r="NGH174" s="201"/>
      <c r="NGI174" s="202"/>
      <c r="NGJ174" s="202"/>
      <c r="NGK174" s="202"/>
      <c r="NGL174" s="202"/>
      <c r="NGM174" s="203"/>
      <c r="NGN174" s="204"/>
      <c r="NGO174" s="204"/>
      <c r="NGP174" s="204"/>
      <c r="NGQ174" s="205"/>
      <c r="NGR174" s="206"/>
      <c r="NGS174" s="207"/>
      <c r="NGT174" s="207"/>
      <c r="NGU174" s="208"/>
      <c r="NGV174" s="209"/>
      <c r="NGW174" s="207"/>
      <c r="NGX174" s="210"/>
      <c r="NGY174" s="209"/>
      <c r="NGZ174" s="204"/>
      <c r="NHA174" s="204"/>
      <c r="NHB174" s="204"/>
      <c r="NHC174" s="199"/>
      <c r="NHD174" s="167"/>
      <c r="NHE174" s="199"/>
      <c r="NHF174" s="200"/>
      <c r="NHG174" s="201"/>
      <c r="NHH174" s="202"/>
      <c r="NHI174" s="202"/>
      <c r="NHJ174" s="202"/>
      <c r="NHK174" s="202"/>
      <c r="NHL174" s="203"/>
      <c r="NHM174" s="204"/>
      <c r="NHN174" s="204"/>
      <c r="NHO174" s="204"/>
      <c r="NHP174" s="205"/>
      <c r="NHQ174" s="206"/>
      <c r="NHR174" s="207"/>
      <c r="NHS174" s="207"/>
      <c r="NHT174" s="208"/>
      <c r="NHU174" s="209"/>
      <c r="NHV174" s="207"/>
      <c r="NHW174" s="210"/>
      <c r="NHX174" s="209"/>
      <c r="NHY174" s="204"/>
      <c r="NHZ174" s="204"/>
      <c r="NIA174" s="204"/>
      <c r="NIB174" s="199"/>
      <c r="NIC174" s="167"/>
      <c r="NID174" s="199"/>
      <c r="NIE174" s="200"/>
      <c r="NIF174" s="201"/>
      <c r="NIG174" s="202"/>
      <c r="NIH174" s="202"/>
      <c r="NII174" s="202"/>
      <c r="NIJ174" s="202"/>
      <c r="NIK174" s="203"/>
      <c r="NIL174" s="204"/>
      <c r="NIM174" s="204"/>
      <c r="NIN174" s="204"/>
      <c r="NIO174" s="205"/>
      <c r="NIP174" s="206"/>
      <c r="NIQ174" s="207"/>
      <c r="NIR174" s="207"/>
      <c r="NIS174" s="208"/>
      <c r="NIT174" s="209"/>
      <c r="NIU174" s="207"/>
      <c r="NIV174" s="210"/>
      <c r="NIW174" s="209"/>
      <c r="NIX174" s="204"/>
      <c r="NIY174" s="204"/>
      <c r="NIZ174" s="204"/>
      <c r="NJA174" s="199"/>
      <c r="NJB174" s="167"/>
      <c r="NJC174" s="199"/>
      <c r="NJD174" s="200"/>
      <c r="NJE174" s="201"/>
      <c r="NJF174" s="202"/>
      <c r="NJG174" s="202"/>
      <c r="NJH174" s="202"/>
      <c r="NJI174" s="202"/>
      <c r="NJJ174" s="203"/>
      <c r="NJK174" s="204"/>
      <c r="NJL174" s="204"/>
      <c r="NJM174" s="204"/>
      <c r="NJN174" s="205"/>
      <c r="NJO174" s="206"/>
      <c r="NJP174" s="207"/>
      <c r="NJQ174" s="207"/>
      <c r="NJR174" s="208"/>
      <c r="NJS174" s="209"/>
      <c r="NJT174" s="207"/>
      <c r="NJU174" s="210"/>
      <c r="NJV174" s="209"/>
      <c r="NJW174" s="204"/>
      <c r="NJX174" s="204"/>
      <c r="NJY174" s="204"/>
      <c r="NJZ174" s="199"/>
      <c r="NKA174" s="167"/>
      <c r="NKB174" s="199"/>
      <c r="NKC174" s="200"/>
      <c r="NKD174" s="201"/>
      <c r="NKE174" s="202"/>
      <c r="NKF174" s="202"/>
      <c r="NKG174" s="202"/>
      <c r="NKH174" s="202"/>
      <c r="NKI174" s="203"/>
      <c r="NKJ174" s="204"/>
      <c r="NKK174" s="204"/>
      <c r="NKL174" s="204"/>
      <c r="NKM174" s="205"/>
      <c r="NKN174" s="206"/>
      <c r="NKO174" s="207"/>
      <c r="NKP174" s="207"/>
      <c r="NKQ174" s="208"/>
      <c r="NKR174" s="209"/>
      <c r="NKS174" s="207"/>
      <c r="NKT174" s="210"/>
      <c r="NKU174" s="209"/>
      <c r="NKV174" s="204"/>
      <c r="NKW174" s="204"/>
      <c r="NKX174" s="204"/>
      <c r="NKY174" s="199"/>
      <c r="NKZ174" s="167"/>
      <c r="NLA174" s="199"/>
      <c r="NLB174" s="200"/>
      <c r="NLC174" s="201"/>
      <c r="NLD174" s="202"/>
      <c r="NLE174" s="202"/>
      <c r="NLF174" s="202"/>
      <c r="NLG174" s="202"/>
      <c r="NLH174" s="203"/>
      <c r="NLI174" s="204"/>
      <c r="NLJ174" s="204"/>
      <c r="NLK174" s="204"/>
      <c r="NLL174" s="205"/>
      <c r="NLM174" s="206"/>
      <c r="NLN174" s="207"/>
      <c r="NLO174" s="207"/>
      <c r="NLP174" s="208"/>
      <c r="NLQ174" s="209"/>
      <c r="NLR174" s="207"/>
      <c r="NLS174" s="210"/>
      <c r="NLT174" s="209"/>
      <c r="NLU174" s="204"/>
      <c r="NLV174" s="204"/>
      <c r="NLW174" s="204"/>
      <c r="NLX174" s="199"/>
      <c r="NLY174" s="167"/>
      <c r="NLZ174" s="199"/>
      <c r="NMA174" s="200"/>
      <c r="NMB174" s="201"/>
      <c r="NMC174" s="202"/>
      <c r="NMD174" s="202"/>
      <c r="NME174" s="202"/>
      <c r="NMF174" s="202"/>
      <c r="NMG174" s="203"/>
      <c r="NMH174" s="204"/>
      <c r="NMI174" s="204"/>
      <c r="NMJ174" s="204"/>
      <c r="NMK174" s="205"/>
      <c r="NML174" s="206"/>
      <c r="NMM174" s="207"/>
      <c r="NMN174" s="207"/>
      <c r="NMO174" s="208"/>
      <c r="NMP174" s="209"/>
      <c r="NMQ174" s="207"/>
      <c r="NMR174" s="210"/>
      <c r="NMS174" s="209"/>
      <c r="NMT174" s="204"/>
      <c r="NMU174" s="204"/>
      <c r="NMV174" s="204"/>
      <c r="NMW174" s="199"/>
      <c r="NMX174" s="167"/>
      <c r="NMY174" s="199"/>
      <c r="NMZ174" s="200"/>
      <c r="NNA174" s="201"/>
      <c r="NNB174" s="202"/>
      <c r="NNC174" s="202"/>
      <c r="NND174" s="202"/>
      <c r="NNE174" s="202"/>
      <c r="NNF174" s="203"/>
      <c r="NNG174" s="204"/>
      <c r="NNH174" s="204"/>
      <c r="NNI174" s="204"/>
      <c r="NNJ174" s="205"/>
      <c r="NNK174" s="206"/>
      <c r="NNL174" s="207"/>
      <c r="NNM174" s="207"/>
      <c r="NNN174" s="208"/>
      <c r="NNO174" s="209"/>
      <c r="NNP174" s="207"/>
      <c r="NNQ174" s="210"/>
      <c r="NNR174" s="209"/>
      <c r="NNS174" s="204"/>
      <c r="NNT174" s="204"/>
      <c r="NNU174" s="204"/>
      <c r="NNV174" s="199"/>
      <c r="NNW174" s="167"/>
      <c r="NNX174" s="199"/>
      <c r="NNY174" s="200"/>
      <c r="NNZ174" s="201"/>
      <c r="NOA174" s="202"/>
      <c r="NOB174" s="202"/>
      <c r="NOC174" s="202"/>
      <c r="NOD174" s="202"/>
      <c r="NOE174" s="203"/>
      <c r="NOF174" s="204"/>
      <c r="NOG174" s="204"/>
      <c r="NOH174" s="204"/>
      <c r="NOI174" s="205"/>
      <c r="NOJ174" s="206"/>
      <c r="NOK174" s="207"/>
      <c r="NOL174" s="207"/>
      <c r="NOM174" s="208"/>
      <c r="NON174" s="209"/>
      <c r="NOO174" s="207"/>
      <c r="NOP174" s="210"/>
      <c r="NOQ174" s="209"/>
      <c r="NOR174" s="204"/>
      <c r="NOS174" s="204"/>
      <c r="NOT174" s="204"/>
      <c r="NOU174" s="199"/>
      <c r="NOV174" s="167"/>
      <c r="NOW174" s="199"/>
      <c r="NOX174" s="200"/>
      <c r="NOY174" s="201"/>
      <c r="NOZ174" s="202"/>
      <c r="NPA174" s="202"/>
      <c r="NPB174" s="202"/>
      <c r="NPC174" s="202"/>
      <c r="NPD174" s="203"/>
      <c r="NPE174" s="204"/>
      <c r="NPF174" s="204"/>
      <c r="NPG174" s="204"/>
      <c r="NPH174" s="205"/>
      <c r="NPI174" s="206"/>
      <c r="NPJ174" s="207"/>
      <c r="NPK174" s="207"/>
      <c r="NPL174" s="208"/>
      <c r="NPM174" s="209"/>
      <c r="NPN174" s="207"/>
      <c r="NPO174" s="210"/>
      <c r="NPP174" s="209"/>
      <c r="NPQ174" s="204"/>
      <c r="NPR174" s="204"/>
      <c r="NPS174" s="204"/>
      <c r="NPT174" s="199"/>
      <c r="NPU174" s="167"/>
      <c r="NPV174" s="199"/>
      <c r="NPW174" s="200"/>
      <c r="NPX174" s="201"/>
      <c r="NPY174" s="202"/>
      <c r="NPZ174" s="202"/>
      <c r="NQA174" s="202"/>
      <c r="NQB174" s="202"/>
      <c r="NQC174" s="203"/>
      <c r="NQD174" s="204"/>
      <c r="NQE174" s="204"/>
      <c r="NQF174" s="204"/>
      <c r="NQG174" s="205"/>
      <c r="NQH174" s="206"/>
      <c r="NQI174" s="207"/>
      <c r="NQJ174" s="207"/>
      <c r="NQK174" s="208"/>
      <c r="NQL174" s="209"/>
      <c r="NQM174" s="207"/>
      <c r="NQN174" s="210"/>
      <c r="NQO174" s="209"/>
      <c r="NQP174" s="204"/>
      <c r="NQQ174" s="204"/>
      <c r="NQR174" s="204"/>
      <c r="NQS174" s="199"/>
      <c r="NQT174" s="167"/>
      <c r="NQU174" s="199"/>
      <c r="NQV174" s="200"/>
      <c r="NQW174" s="201"/>
      <c r="NQX174" s="202"/>
      <c r="NQY174" s="202"/>
      <c r="NQZ174" s="202"/>
      <c r="NRA174" s="202"/>
      <c r="NRB174" s="203"/>
      <c r="NRC174" s="204"/>
      <c r="NRD174" s="204"/>
      <c r="NRE174" s="204"/>
      <c r="NRF174" s="205"/>
      <c r="NRG174" s="206"/>
      <c r="NRH174" s="207"/>
      <c r="NRI174" s="207"/>
      <c r="NRJ174" s="208"/>
      <c r="NRK174" s="209"/>
      <c r="NRL174" s="207"/>
      <c r="NRM174" s="210"/>
      <c r="NRN174" s="209"/>
      <c r="NRO174" s="204"/>
      <c r="NRP174" s="204"/>
      <c r="NRQ174" s="204"/>
      <c r="NRR174" s="199"/>
      <c r="NRS174" s="167"/>
      <c r="NRT174" s="199"/>
      <c r="NRU174" s="200"/>
      <c r="NRV174" s="201"/>
      <c r="NRW174" s="202"/>
      <c r="NRX174" s="202"/>
      <c r="NRY174" s="202"/>
      <c r="NRZ174" s="202"/>
      <c r="NSA174" s="203"/>
      <c r="NSB174" s="204"/>
      <c r="NSC174" s="204"/>
      <c r="NSD174" s="204"/>
      <c r="NSE174" s="205"/>
      <c r="NSF174" s="206"/>
      <c r="NSG174" s="207"/>
      <c r="NSH174" s="207"/>
      <c r="NSI174" s="208"/>
      <c r="NSJ174" s="209"/>
      <c r="NSK174" s="207"/>
      <c r="NSL174" s="210"/>
      <c r="NSM174" s="209"/>
      <c r="NSN174" s="204"/>
      <c r="NSO174" s="204"/>
      <c r="NSP174" s="204"/>
      <c r="NSQ174" s="199"/>
      <c r="NSR174" s="167"/>
      <c r="NSS174" s="199"/>
      <c r="NST174" s="200"/>
      <c r="NSU174" s="201"/>
      <c r="NSV174" s="202"/>
      <c r="NSW174" s="202"/>
      <c r="NSX174" s="202"/>
      <c r="NSY174" s="202"/>
      <c r="NSZ174" s="203"/>
      <c r="NTA174" s="204"/>
      <c r="NTB174" s="204"/>
      <c r="NTC174" s="204"/>
      <c r="NTD174" s="205"/>
      <c r="NTE174" s="206"/>
      <c r="NTF174" s="207"/>
      <c r="NTG174" s="207"/>
      <c r="NTH174" s="208"/>
      <c r="NTI174" s="209"/>
      <c r="NTJ174" s="207"/>
      <c r="NTK174" s="210"/>
      <c r="NTL174" s="209"/>
      <c r="NTM174" s="204"/>
      <c r="NTN174" s="204"/>
      <c r="NTO174" s="204"/>
      <c r="NTP174" s="199"/>
      <c r="NTQ174" s="167"/>
      <c r="NTR174" s="199"/>
      <c r="NTS174" s="200"/>
      <c r="NTT174" s="201"/>
      <c r="NTU174" s="202"/>
      <c r="NTV174" s="202"/>
      <c r="NTW174" s="202"/>
      <c r="NTX174" s="202"/>
      <c r="NTY174" s="203"/>
      <c r="NTZ174" s="204"/>
      <c r="NUA174" s="204"/>
      <c r="NUB174" s="204"/>
      <c r="NUC174" s="205"/>
      <c r="NUD174" s="206"/>
      <c r="NUE174" s="207"/>
      <c r="NUF174" s="207"/>
      <c r="NUG174" s="208"/>
      <c r="NUH174" s="209"/>
      <c r="NUI174" s="207"/>
      <c r="NUJ174" s="210"/>
      <c r="NUK174" s="209"/>
      <c r="NUL174" s="204"/>
      <c r="NUM174" s="204"/>
      <c r="NUN174" s="204"/>
      <c r="NUO174" s="199"/>
      <c r="NUP174" s="167"/>
      <c r="NUQ174" s="199"/>
      <c r="NUR174" s="200"/>
      <c r="NUS174" s="201"/>
      <c r="NUT174" s="202"/>
      <c r="NUU174" s="202"/>
      <c r="NUV174" s="202"/>
      <c r="NUW174" s="202"/>
      <c r="NUX174" s="203"/>
      <c r="NUY174" s="204"/>
      <c r="NUZ174" s="204"/>
      <c r="NVA174" s="204"/>
      <c r="NVB174" s="205"/>
      <c r="NVC174" s="206"/>
      <c r="NVD174" s="207"/>
      <c r="NVE174" s="207"/>
      <c r="NVF174" s="208"/>
      <c r="NVG174" s="209"/>
      <c r="NVH174" s="207"/>
      <c r="NVI174" s="210"/>
      <c r="NVJ174" s="209"/>
      <c r="NVK174" s="204"/>
      <c r="NVL174" s="204"/>
      <c r="NVM174" s="204"/>
      <c r="NVN174" s="199"/>
      <c r="NVO174" s="167"/>
      <c r="NVP174" s="199"/>
      <c r="NVQ174" s="200"/>
      <c r="NVR174" s="201"/>
      <c r="NVS174" s="202"/>
      <c r="NVT174" s="202"/>
      <c r="NVU174" s="202"/>
      <c r="NVV174" s="202"/>
      <c r="NVW174" s="203"/>
      <c r="NVX174" s="204"/>
      <c r="NVY174" s="204"/>
      <c r="NVZ174" s="204"/>
      <c r="NWA174" s="205"/>
      <c r="NWB174" s="206"/>
      <c r="NWC174" s="207"/>
      <c r="NWD174" s="207"/>
      <c r="NWE174" s="208"/>
      <c r="NWF174" s="209"/>
      <c r="NWG174" s="207"/>
      <c r="NWH174" s="210"/>
      <c r="NWI174" s="209"/>
      <c r="NWJ174" s="204"/>
      <c r="NWK174" s="204"/>
      <c r="NWL174" s="204"/>
      <c r="NWM174" s="199"/>
      <c r="NWN174" s="167"/>
      <c r="NWO174" s="199"/>
      <c r="NWP174" s="200"/>
      <c r="NWQ174" s="201"/>
      <c r="NWR174" s="202"/>
      <c r="NWS174" s="202"/>
      <c r="NWT174" s="202"/>
      <c r="NWU174" s="202"/>
      <c r="NWV174" s="203"/>
      <c r="NWW174" s="204"/>
      <c r="NWX174" s="204"/>
      <c r="NWY174" s="204"/>
      <c r="NWZ174" s="205"/>
      <c r="NXA174" s="206"/>
      <c r="NXB174" s="207"/>
      <c r="NXC174" s="207"/>
      <c r="NXD174" s="208"/>
      <c r="NXE174" s="209"/>
      <c r="NXF174" s="207"/>
      <c r="NXG174" s="210"/>
      <c r="NXH174" s="209"/>
      <c r="NXI174" s="204"/>
      <c r="NXJ174" s="204"/>
      <c r="NXK174" s="204"/>
      <c r="NXL174" s="199"/>
      <c r="NXM174" s="167"/>
      <c r="NXN174" s="199"/>
      <c r="NXO174" s="200"/>
      <c r="NXP174" s="201"/>
      <c r="NXQ174" s="202"/>
      <c r="NXR174" s="202"/>
      <c r="NXS174" s="202"/>
      <c r="NXT174" s="202"/>
      <c r="NXU174" s="203"/>
      <c r="NXV174" s="204"/>
      <c r="NXW174" s="204"/>
      <c r="NXX174" s="204"/>
      <c r="NXY174" s="205"/>
      <c r="NXZ174" s="206"/>
      <c r="NYA174" s="207"/>
      <c r="NYB174" s="207"/>
      <c r="NYC174" s="208"/>
      <c r="NYD174" s="209"/>
      <c r="NYE174" s="207"/>
      <c r="NYF174" s="210"/>
      <c r="NYG174" s="209"/>
      <c r="NYH174" s="204"/>
      <c r="NYI174" s="204"/>
      <c r="NYJ174" s="204"/>
      <c r="NYK174" s="199"/>
      <c r="NYL174" s="167"/>
      <c r="NYM174" s="199"/>
      <c r="NYN174" s="200"/>
      <c r="NYO174" s="201"/>
      <c r="NYP174" s="202"/>
      <c r="NYQ174" s="202"/>
      <c r="NYR174" s="202"/>
      <c r="NYS174" s="202"/>
      <c r="NYT174" s="203"/>
      <c r="NYU174" s="204"/>
      <c r="NYV174" s="204"/>
      <c r="NYW174" s="204"/>
      <c r="NYX174" s="205"/>
      <c r="NYY174" s="206"/>
      <c r="NYZ174" s="207"/>
      <c r="NZA174" s="207"/>
      <c r="NZB174" s="208"/>
      <c r="NZC174" s="209"/>
      <c r="NZD174" s="207"/>
      <c r="NZE174" s="210"/>
      <c r="NZF174" s="209"/>
      <c r="NZG174" s="204"/>
      <c r="NZH174" s="204"/>
      <c r="NZI174" s="204"/>
      <c r="NZJ174" s="199"/>
      <c r="NZK174" s="167"/>
      <c r="NZL174" s="199"/>
      <c r="NZM174" s="200"/>
      <c r="NZN174" s="201"/>
      <c r="NZO174" s="202"/>
      <c r="NZP174" s="202"/>
      <c r="NZQ174" s="202"/>
      <c r="NZR174" s="202"/>
      <c r="NZS174" s="203"/>
      <c r="NZT174" s="204"/>
      <c r="NZU174" s="204"/>
      <c r="NZV174" s="204"/>
      <c r="NZW174" s="205"/>
      <c r="NZX174" s="206"/>
      <c r="NZY174" s="207"/>
      <c r="NZZ174" s="207"/>
      <c r="OAA174" s="208"/>
      <c r="OAB174" s="209"/>
      <c r="OAC174" s="207"/>
      <c r="OAD174" s="210"/>
      <c r="OAE174" s="209"/>
      <c r="OAF174" s="204"/>
      <c r="OAG174" s="204"/>
      <c r="OAH174" s="204"/>
      <c r="OAI174" s="199"/>
      <c r="OAJ174" s="167"/>
      <c r="OAK174" s="199"/>
      <c r="OAL174" s="200"/>
      <c r="OAM174" s="201"/>
      <c r="OAN174" s="202"/>
      <c r="OAO174" s="202"/>
      <c r="OAP174" s="202"/>
      <c r="OAQ174" s="202"/>
      <c r="OAR174" s="203"/>
      <c r="OAS174" s="204"/>
      <c r="OAT174" s="204"/>
      <c r="OAU174" s="204"/>
      <c r="OAV174" s="205"/>
      <c r="OAW174" s="206"/>
      <c r="OAX174" s="207"/>
      <c r="OAY174" s="207"/>
      <c r="OAZ174" s="208"/>
      <c r="OBA174" s="209"/>
      <c r="OBB174" s="207"/>
      <c r="OBC174" s="210"/>
      <c r="OBD174" s="209"/>
      <c r="OBE174" s="204"/>
      <c r="OBF174" s="204"/>
      <c r="OBG174" s="204"/>
      <c r="OBH174" s="199"/>
      <c r="OBI174" s="167"/>
      <c r="OBJ174" s="199"/>
      <c r="OBK174" s="200"/>
      <c r="OBL174" s="201"/>
      <c r="OBM174" s="202"/>
      <c r="OBN174" s="202"/>
      <c r="OBO174" s="202"/>
      <c r="OBP174" s="202"/>
      <c r="OBQ174" s="203"/>
      <c r="OBR174" s="204"/>
      <c r="OBS174" s="204"/>
      <c r="OBT174" s="204"/>
      <c r="OBU174" s="205"/>
      <c r="OBV174" s="206"/>
      <c r="OBW174" s="207"/>
      <c r="OBX174" s="207"/>
      <c r="OBY174" s="208"/>
      <c r="OBZ174" s="209"/>
      <c r="OCA174" s="207"/>
      <c r="OCB174" s="210"/>
      <c r="OCC174" s="209"/>
      <c r="OCD174" s="204"/>
      <c r="OCE174" s="204"/>
      <c r="OCF174" s="204"/>
      <c r="OCG174" s="199"/>
      <c r="OCH174" s="167"/>
      <c r="OCI174" s="199"/>
      <c r="OCJ174" s="200"/>
      <c r="OCK174" s="201"/>
      <c r="OCL174" s="202"/>
      <c r="OCM174" s="202"/>
      <c r="OCN174" s="202"/>
      <c r="OCO174" s="202"/>
      <c r="OCP174" s="203"/>
      <c r="OCQ174" s="204"/>
      <c r="OCR174" s="204"/>
      <c r="OCS174" s="204"/>
      <c r="OCT174" s="205"/>
      <c r="OCU174" s="206"/>
      <c r="OCV174" s="207"/>
      <c r="OCW174" s="207"/>
      <c r="OCX174" s="208"/>
      <c r="OCY174" s="209"/>
      <c r="OCZ174" s="207"/>
      <c r="ODA174" s="210"/>
      <c r="ODB174" s="209"/>
      <c r="ODC174" s="204"/>
      <c r="ODD174" s="204"/>
      <c r="ODE174" s="204"/>
      <c r="ODF174" s="199"/>
      <c r="ODG174" s="167"/>
      <c r="ODH174" s="199"/>
      <c r="ODI174" s="200"/>
      <c r="ODJ174" s="201"/>
      <c r="ODK174" s="202"/>
      <c r="ODL174" s="202"/>
      <c r="ODM174" s="202"/>
      <c r="ODN174" s="202"/>
      <c r="ODO174" s="203"/>
      <c r="ODP174" s="204"/>
      <c r="ODQ174" s="204"/>
      <c r="ODR174" s="204"/>
      <c r="ODS174" s="205"/>
      <c r="ODT174" s="206"/>
      <c r="ODU174" s="207"/>
      <c r="ODV174" s="207"/>
      <c r="ODW174" s="208"/>
      <c r="ODX174" s="209"/>
      <c r="ODY174" s="207"/>
      <c r="ODZ174" s="210"/>
      <c r="OEA174" s="209"/>
      <c r="OEB174" s="204"/>
      <c r="OEC174" s="204"/>
      <c r="OED174" s="204"/>
      <c r="OEE174" s="199"/>
      <c r="OEF174" s="167"/>
      <c r="OEG174" s="199"/>
      <c r="OEH174" s="200"/>
      <c r="OEI174" s="201"/>
      <c r="OEJ174" s="202"/>
      <c r="OEK174" s="202"/>
      <c r="OEL174" s="202"/>
      <c r="OEM174" s="202"/>
      <c r="OEN174" s="203"/>
      <c r="OEO174" s="204"/>
      <c r="OEP174" s="204"/>
      <c r="OEQ174" s="204"/>
      <c r="OER174" s="205"/>
      <c r="OES174" s="206"/>
      <c r="OET174" s="207"/>
      <c r="OEU174" s="207"/>
      <c r="OEV174" s="208"/>
      <c r="OEW174" s="209"/>
      <c r="OEX174" s="207"/>
      <c r="OEY174" s="210"/>
      <c r="OEZ174" s="209"/>
      <c r="OFA174" s="204"/>
      <c r="OFB174" s="204"/>
      <c r="OFC174" s="204"/>
      <c r="OFD174" s="199"/>
      <c r="OFE174" s="167"/>
      <c r="OFF174" s="199"/>
      <c r="OFG174" s="200"/>
      <c r="OFH174" s="201"/>
      <c r="OFI174" s="202"/>
      <c r="OFJ174" s="202"/>
      <c r="OFK174" s="202"/>
      <c r="OFL174" s="202"/>
      <c r="OFM174" s="203"/>
      <c r="OFN174" s="204"/>
      <c r="OFO174" s="204"/>
      <c r="OFP174" s="204"/>
      <c r="OFQ174" s="205"/>
      <c r="OFR174" s="206"/>
      <c r="OFS174" s="207"/>
      <c r="OFT174" s="207"/>
      <c r="OFU174" s="208"/>
      <c r="OFV174" s="209"/>
      <c r="OFW174" s="207"/>
      <c r="OFX174" s="210"/>
      <c r="OFY174" s="209"/>
      <c r="OFZ174" s="204"/>
      <c r="OGA174" s="204"/>
      <c r="OGB174" s="204"/>
      <c r="OGC174" s="199"/>
      <c r="OGD174" s="167"/>
      <c r="OGE174" s="199"/>
      <c r="OGF174" s="200"/>
      <c r="OGG174" s="201"/>
      <c r="OGH174" s="202"/>
      <c r="OGI174" s="202"/>
      <c r="OGJ174" s="202"/>
      <c r="OGK174" s="202"/>
      <c r="OGL174" s="203"/>
      <c r="OGM174" s="204"/>
      <c r="OGN174" s="204"/>
      <c r="OGO174" s="204"/>
      <c r="OGP174" s="205"/>
      <c r="OGQ174" s="206"/>
      <c r="OGR174" s="207"/>
      <c r="OGS174" s="207"/>
      <c r="OGT174" s="208"/>
      <c r="OGU174" s="209"/>
      <c r="OGV174" s="207"/>
      <c r="OGW174" s="210"/>
      <c r="OGX174" s="209"/>
      <c r="OGY174" s="204"/>
      <c r="OGZ174" s="204"/>
      <c r="OHA174" s="204"/>
      <c r="OHB174" s="199"/>
      <c r="OHC174" s="167"/>
      <c r="OHD174" s="199"/>
      <c r="OHE174" s="200"/>
      <c r="OHF174" s="201"/>
      <c r="OHG174" s="202"/>
      <c r="OHH174" s="202"/>
      <c r="OHI174" s="202"/>
      <c r="OHJ174" s="202"/>
      <c r="OHK174" s="203"/>
      <c r="OHL174" s="204"/>
      <c r="OHM174" s="204"/>
      <c r="OHN174" s="204"/>
      <c r="OHO174" s="205"/>
      <c r="OHP174" s="206"/>
      <c r="OHQ174" s="207"/>
      <c r="OHR174" s="207"/>
      <c r="OHS174" s="208"/>
      <c r="OHT174" s="209"/>
      <c r="OHU174" s="207"/>
      <c r="OHV174" s="210"/>
      <c r="OHW174" s="209"/>
      <c r="OHX174" s="204"/>
      <c r="OHY174" s="204"/>
      <c r="OHZ174" s="204"/>
      <c r="OIA174" s="199"/>
      <c r="OIB174" s="167"/>
      <c r="OIC174" s="199"/>
      <c r="OID174" s="200"/>
      <c r="OIE174" s="201"/>
      <c r="OIF174" s="202"/>
      <c r="OIG174" s="202"/>
      <c r="OIH174" s="202"/>
      <c r="OII174" s="202"/>
      <c r="OIJ174" s="203"/>
      <c r="OIK174" s="204"/>
      <c r="OIL174" s="204"/>
      <c r="OIM174" s="204"/>
      <c r="OIN174" s="205"/>
      <c r="OIO174" s="206"/>
      <c r="OIP174" s="207"/>
      <c r="OIQ174" s="207"/>
      <c r="OIR174" s="208"/>
      <c r="OIS174" s="209"/>
      <c r="OIT174" s="207"/>
      <c r="OIU174" s="210"/>
      <c r="OIV174" s="209"/>
      <c r="OIW174" s="204"/>
      <c r="OIX174" s="204"/>
      <c r="OIY174" s="204"/>
      <c r="OIZ174" s="199"/>
      <c r="OJA174" s="167"/>
      <c r="OJB174" s="199"/>
      <c r="OJC174" s="200"/>
      <c r="OJD174" s="201"/>
      <c r="OJE174" s="202"/>
      <c r="OJF174" s="202"/>
      <c r="OJG174" s="202"/>
      <c r="OJH174" s="202"/>
      <c r="OJI174" s="203"/>
      <c r="OJJ174" s="204"/>
      <c r="OJK174" s="204"/>
      <c r="OJL174" s="204"/>
      <c r="OJM174" s="205"/>
      <c r="OJN174" s="206"/>
      <c r="OJO174" s="207"/>
      <c r="OJP174" s="207"/>
      <c r="OJQ174" s="208"/>
      <c r="OJR174" s="209"/>
      <c r="OJS174" s="207"/>
      <c r="OJT174" s="210"/>
      <c r="OJU174" s="209"/>
      <c r="OJV174" s="204"/>
      <c r="OJW174" s="204"/>
      <c r="OJX174" s="204"/>
      <c r="OJY174" s="199"/>
      <c r="OJZ174" s="167"/>
      <c r="OKA174" s="199"/>
      <c r="OKB174" s="200"/>
      <c r="OKC174" s="201"/>
      <c r="OKD174" s="202"/>
      <c r="OKE174" s="202"/>
      <c r="OKF174" s="202"/>
      <c r="OKG174" s="202"/>
      <c r="OKH174" s="203"/>
      <c r="OKI174" s="204"/>
      <c r="OKJ174" s="204"/>
      <c r="OKK174" s="204"/>
      <c r="OKL174" s="205"/>
      <c r="OKM174" s="206"/>
      <c r="OKN174" s="207"/>
      <c r="OKO174" s="207"/>
      <c r="OKP174" s="208"/>
      <c r="OKQ174" s="209"/>
      <c r="OKR174" s="207"/>
      <c r="OKS174" s="210"/>
      <c r="OKT174" s="209"/>
      <c r="OKU174" s="204"/>
      <c r="OKV174" s="204"/>
      <c r="OKW174" s="204"/>
      <c r="OKX174" s="199"/>
      <c r="OKY174" s="167"/>
      <c r="OKZ174" s="199"/>
      <c r="OLA174" s="200"/>
      <c r="OLB174" s="201"/>
      <c r="OLC174" s="202"/>
      <c r="OLD174" s="202"/>
      <c r="OLE174" s="202"/>
      <c r="OLF174" s="202"/>
      <c r="OLG174" s="203"/>
      <c r="OLH174" s="204"/>
      <c r="OLI174" s="204"/>
      <c r="OLJ174" s="204"/>
      <c r="OLK174" s="205"/>
      <c r="OLL174" s="206"/>
      <c r="OLM174" s="207"/>
      <c r="OLN174" s="207"/>
      <c r="OLO174" s="208"/>
      <c r="OLP174" s="209"/>
      <c r="OLQ174" s="207"/>
      <c r="OLR174" s="210"/>
      <c r="OLS174" s="209"/>
      <c r="OLT174" s="204"/>
      <c r="OLU174" s="204"/>
      <c r="OLV174" s="204"/>
      <c r="OLW174" s="199"/>
      <c r="OLX174" s="167"/>
      <c r="OLY174" s="199"/>
      <c r="OLZ174" s="200"/>
      <c r="OMA174" s="201"/>
      <c r="OMB174" s="202"/>
      <c r="OMC174" s="202"/>
      <c r="OMD174" s="202"/>
      <c r="OME174" s="202"/>
      <c r="OMF174" s="203"/>
      <c r="OMG174" s="204"/>
      <c r="OMH174" s="204"/>
      <c r="OMI174" s="204"/>
      <c r="OMJ174" s="205"/>
      <c r="OMK174" s="206"/>
      <c r="OML174" s="207"/>
      <c r="OMM174" s="207"/>
      <c r="OMN174" s="208"/>
      <c r="OMO174" s="209"/>
      <c r="OMP174" s="207"/>
      <c r="OMQ174" s="210"/>
      <c r="OMR174" s="209"/>
      <c r="OMS174" s="204"/>
      <c r="OMT174" s="204"/>
      <c r="OMU174" s="204"/>
      <c r="OMV174" s="199"/>
      <c r="OMW174" s="167"/>
      <c r="OMX174" s="199"/>
      <c r="OMY174" s="200"/>
      <c r="OMZ174" s="201"/>
      <c r="ONA174" s="202"/>
      <c r="ONB174" s="202"/>
      <c r="ONC174" s="202"/>
      <c r="OND174" s="202"/>
      <c r="ONE174" s="203"/>
      <c r="ONF174" s="204"/>
      <c r="ONG174" s="204"/>
      <c r="ONH174" s="204"/>
      <c r="ONI174" s="205"/>
      <c r="ONJ174" s="206"/>
      <c r="ONK174" s="207"/>
      <c r="ONL174" s="207"/>
      <c r="ONM174" s="208"/>
      <c r="ONN174" s="209"/>
      <c r="ONO174" s="207"/>
      <c r="ONP174" s="210"/>
      <c r="ONQ174" s="209"/>
      <c r="ONR174" s="204"/>
      <c r="ONS174" s="204"/>
      <c r="ONT174" s="204"/>
      <c r="ONU174" s="199"/>
      <c r="ONV174" s="167"/>
      <c r="ONW174" s="199"/>
      <c r="ONX174" s="200"/>
      <c r="ONY174" s="201"/>
      <c r="ONZ174" s="202"/>
      <c r="OOA174" s="202"/>
      <c r="OOB174" s="202"/>
      <c r="OOC174" s="202"/>
      <c r="OOD174" s="203"/>
      <c r="OOE174" s="204"/>
      <c r="OOF174" s="204"/>
      <c r="OOG174" s="204"/>
      <c r="OOH174" s="205"/>
      <c r="OOI174" s="206"/>
      <c r="OOJ174" s="207"/>
      <c r="OOK174" s="207"/>
      <c r="OOL174" s="208"/>
      <c r="OOM174" s="209"/>
      <c r="OON174" s="207"/>
      <c r="OOO174" s="210"/>
      <c r="OOP174" s="209"/>
      <c r="OOQ174" s="204"/>
      <c r="OOR174" s="204"/>
      <c r="OOS174" s="204"/>
      <c r="OOT174" s="199"/>
      <c r="OOU174" s="167"/>
      <c r="OOV174" s="199"/>
      <c r="OOW174" s="200"/>
      <c r="OOX174" s="201"/>
      <c r="OOY174" s="202"/>
      <c r="OOZ174" s="202"/>
      <c r="OPA174" s="202"/>
      <c r="OPB174" s="202"/>
      <c r="OPC174" s="203"/>
      <c r="OPD174" s="204"/>
      <c r="OPE174" s="204"/>
      <c r="OPF174" s="204"/>
      <c r="OPG174" s="205"/>
      <c r="OPH174" s="206"/>
      <c r="OPI174" s="207"/>
      <c r="OPJ174" s="207"/>
      <c r="OPK174" s="208"/>
      <c r="OPL174" s="209"/>
      <c r="OPM174" s="207"/>
      <c r="OPN174" s="210"/>
      <c r="OPO174" s="209"/>
      <c r="OPP174" s="204"/>
      <c r="OPQ174" s="204"/>
      <c r="OPR174" s="204"/>
      <c r="OPS174" s="199"/>
      <c r="OPT174" s="167"/>
      <c r="OPU174" s="199"/>
      <c r="OPV174" s="200"/>
      <c r="OPW174" s="201"/>
      <c r="OPX174" s="202"/>
      <c r="OPY174" s="202"/>
      <c r="OPZ174" s="202"/>
      <c r="OQA174" s="202"/>
      <c r="OQB174" s="203"/>
      <c r="OQC174" s="204"/>
      <c r="OQD174" s="204"/>
      <c r="OQE174" s="204"/>
      <c r="OQF174" s="205"/>
      <c r="OQG174" s="206"/>
      <c r="OQH174" s="207"/>
      <c r="OQI174" s="207"/>
      <c r="OQJ174" s="208"/>
      <c r="OQK174" s="209"/>
      <c r="OQL174" s="207"/>
      <c r="OQM174" s="210"/>
      <c r="OQN174" s="209"/>
      <c r="OQO174" s="204"/>
      <c r="OQP174" s="204"/>
      <c r="OQQ174" s="204"/>
      <c r="OQR174" s="199"/>
      <c r="OQS174" s="167"/>
      <c r="OQT174" s="199"/>
      <c r="OQU174" s="200"/>
      <c r="OQV174" s="201"/>
      <c r="OQW174" s="202"/>
      <c r="OQX174" s="202"/>
      <c r="OQY174" s="202"/>
      <c r="OQZ174" s="202"/>
      <c r="ORA174" s="203"/>
      <c r="ORB174" s="204"/>
      <c r="ORC174" s="204"/>
      <c r="ORD174" s="204"/>
      <c r="ORE174" s="205"/>
      <c r="ORF174" s="206"/>
      <c r="ORG174" s="207"/>
      <c r="ORH174" s="207"/>
      <c r="ORI174" s="208"/>
      <c r="ORJ174" s="209"/>
      <c r="ORK174" s="207"/>
      <c r="ORL174" s="210"/>
      <c r="ORM174" s="209"/>
      <c r="ORN174" s="204"/>
      <c r="ORO174" s="204"/>
      <c r="ORP174" s="204"/>
      <c r="ORQ174" s="199"/>
      <c r="ORR174" s="167"/>
      <c r="ORS174" s="199"/>
      <c r="ORT174" s="200"/>
      <c r="ORU174" s="201"/>
      <c r="ORV174" s="202"/>
      <c r="ORW174" s="202"/>
      <c r="ORX174" s="202"/>
      <c r="ORY174" s="202"/>
      <c r="ORZ174" s="203"/>
      <c r="OSA174" s="204"/>
      <c r="OSB174" s="204"/>
      <c r="OSC174" s="204"/>
      <c r="OSD174" s="205"/>
      <c r="OSE174" s="206"/>
      <c r="OSF174" s="207"/>
      <c r="OSG174" s="207"/>
      <c r="OSH174" s="208"/>
      <c r="OSI174" s="209"/>
      <c r="OSJ174" s="207"/>
      <c r="OSK174" s="210"/>
      <c r="OSL174" s="209"/>
      <c r="OSM174" s="204"/>
      <c r="OSN174" s="204"/>
      <c r="OSO174" s="204"/>
      <c r="OSP174" s="199"/>
      <c r="OSQ174" s="167"/>
      <c r="OSR174" s="199"/>
      <c r="OSS174" s="200"/>
      <c r="OST174" s="201"/>
      <c r="OSU174" s="202"/>
      <c r="OSV174" s="202"/>
      <c r="OSW174" s="202"/>
      <c r="OSX174" s="202"/>
      <c r="OSY174" s="203"/>
      <c r="OSZ174" s="204"/>
      <c r="OTA174" s="204"/>
      <c r="OTB174" s="204"/>
      <c r="OTC174" s="205"/>
      <c r="OTD174" s="206"/>
      <c r="OTE174" s="207"/>
      <c r="OTF174" s="207"/>
      <c r="OTG174" s="208"/>
      <c r="OTH174" s="209"/>
      <c r="OTI174" s="207"/>
      <c r="OTJ174" s="210"/>
      <c r="OTK174" s="209"/>
      <c r="OTL174" s="204"/>
      <c r="OTM174" s="204"/>
      <c r="OTN174" s="204"/>
      <c r="OTO174" s="199"/>
      <c r="OTP174" s="167"/>
      <c r="OTQ174" s="199"/>
      <c r="OTR174" s="200"/>
      <c r="OTS174" s="201"/>
      <c r="OTT174" s="202"/>
      <c r="OTU174" s="202"/>
      <c r="OTV174" s="202"/>
      <c r="OTW174" s="202"/>
      <c r="OTX174" s="203"/>
      <c r="OTY174" s="204"/>
      <c r="OTZ174" s="204"/>
      <c r="OUA174" s="204"/>
      <c r="OUB174" s="205"/>
      <c r="OUC174" s="206"/>
      <c r="OUD174" s="207"/>
      <c r="OUE174" s="207"/>
      <c r="OUF174" s="208"/>
      <c r="OUG174" s="209"/>
      <c r="OUH174" s="207"/>
      <c r="OUI174" s="210"/>
      <c r="OUJ174" s="209"/>
      <c r="OUK174" s="204"/>
      <c r="OUL174" s="204"/>
      <c r="OUM174" s="204"/>
      <c r="OUN174" s="199"/>
      <c r="OUO174" s="167"/>
      <c r="OUP174" s="199"/>
      <c r="OUQ174" s="200"/>
      <c r="OUR174" s="201"/>
      <c r="OUS174" s="202"/>
      <c r="OUT174" s="202"/>
      <c r="OUU174" s="202"/>
      <c r="OUV174" s="202"/>
      <c r="OUW174" s="203"/>
      <c r="OUX174" s="204"/>
      <c r="OUY174" s="204"/>
      <c r="OUZ174" s="204"/>
      <c r="OVA174" s="205"/>
      <c r="OVB174" s="206"/>
      <c r="OVC174" s="207"/>
      <c r="OVD174" s="207"/>
      <c r="OVE174" s="208"/>
      <c r="OVF174" s="209"/>
      <c r="OVG174" s="207"/>
      <c r="OVH174" s="210"/>
      <c r="OVI174" s="209"/>
      <c r="OVJ174" s="204"/>
      <c r="OVK174" s="204"/>
      <c r="OVL174" s="204"/>
      <c r="OVM174" s="199"/>
      <c r="OVN174" s="167"/>
      <c r="OVO174" s="199"/>
      <c r="OVP174" s="200"/>
      <c r="OVQ174" s="201"/>
      <c r="OVR174" s="202"/>
      <c r="OVS174" s="202"/>
      <c r="OVT174" s="202"/>
      <c r="OVU174" s="202"/>
      <c r="OVV174" s="203"/>
      <c r="OVW174" s="204"/>
      <c r="OVX174" s="204"/>
      <c r="OVY174" s="204"/>
      <c r="OVZ174" s="205"/>
      <c r="OWA174" s="206"/>
      <c r="OWB174" s="207"/>
      <c r="OWC174" s="207"/>
      <c r="OWD174" s="208"/>
      <c r="OWE174" s="209"/>
      <c r="OWF174" s="207"/>
      <c r="OWG174" s="210"/>
      <c r="OWH174" s="209"/>
      <c r="OWI174" s="204"/>
      <c r="OWJ174" s="204"/>
      <c r="OWK174" s="204"/>
      <c r="OWL174" s="199"/>
      <c r="OWM174" s="167"/>
      <c r="OWN174" s="199"/>
      <c r="OWO174" s="200"/>
      <c r="OWP174" s="201"/>
      <c r="OWQ174" s="202"/>
      <c r="OWR174" s="202"/>
      <c r="OWS174" s="202"/>
      <c r="OWT174" s="202"/>
      <c r="OWU174" s="203"/>
      <c r="OWV174" s="204"/>
      <c r="OWW174" s="204"/>
      <c r="OWX174" s="204"/>
      <c r="OWY174" s="205"/>
      <c r="OWZ174" s="206"/>
      <c r="OXA174" s="207"/>
      <c r="OXB174" s="207"/>
      <c r="OXC174" s="208"/>
      <c r="OXD174" s="209"/>
      <c r="OXE174" s="207"/>
      <c r="OXF174" s="210"/>
      <c r="OXG174" s="209"/>
      <c r="OXH174" s="204"/>
      <c r="OXI174" s="204"/>
      <c r="OXJ174" s="204"/>
      <c r="OXK174" s="199"/>
      <c r="OXL174" s="167"/>
      <c r="OXM174" s="199"/>
      <c r="OXN174" s="200"/>
      <c r="OXO174" s="201"/>
      <c r="OXP174" s="202"/>
      <c r="OXQ174" s="202"/>
      <c r="OXR174" s="202"/>
      <c r="OXS174" s="202"/>
      <c r="OXT174" s="203"/>
      <c r="OXU174" s="204"/>
      <c r="OXV174" s="204"/>
      <c r="OXW174" s="204"/>
      <c r="OXX174" s="205"/>
      <c r="OXY174" s="206"/>
      <c r="OXZ174" s="207"/>
      <c r="OYA174" s="207"/>
      <c r="OYB174" s="208"/>
      <c r="OYC174" s="209"/>
      <c r="OYD174" s="207"/>
      <c r="OYE174" s="210"/>
      <c r="OYF174" s="209"/>
      <c r="OYG174" s="204"/>
      <c r="OYH174" s="204"/>
      <c r="OYI174" s="204"/>
      <c r="OYJ174" s="199"/>
      <c r="OYK174" s="167"/>
      <c r="OYL174" s="199"/>
      <c r="OYM174" s="200"/>
      <c r="OYN174" s="201"/>
      <c r="OYO174" s="202"/>
      <c r="OYP174" s="202"/>
      <c r="OYQ174" s="202"/>
      <c r="OYR174" s="202"/>
      <c r="OYS174" s="203"/>
      <c r="OYT174" s="204"/>
      <c r="OYU174" s="204"/>
      <c r="OYV174" s="204"/>
      <c r="OYW174" s="205"/>
      <c r="OYX174" s="206"/>
      <c r="OYY174" s="207"/>
      <c r="OYZ174" s="207"/>
      <c r="OZA174" s="208"/>
      <c r="OZB174" s="209"/>
      <c r="OZC174" s="207"/>
      <c r="OZD174" s="210"/>
      <c r="OZE174" s="209"/>
      <c r="OZF174" s="204"/>
      <c r="OZG174" s="204"/>
      <c r="OZH174" s="204"/>
      <c r="OZI174" s="199"/>
      <c r="OZJ174" s="167"/>
      <c r="OZK174" s="199"/>
      <c r="OZL174" s="200"/>
      <c r="OZM174" s="201"/>
      <c r="OZN174" s="202"/>
      <c r="OZO174" s="202"/>
      <c r="OZP174" s="202"/>
      <c r="OZQ174" s="202"/>
      <c r="OZR174" s="203"/>
      <c r="OZS174" s="204"/>
      <c r="OZT174" s="204"/>
      <c r="OZU174" s="204"/>
      <c r="OZV174" s="205"/>
      <c r="OZW174" s="206"/>
      <c r="OZX174" s="207"/>
      <c r="OZY174" s="207"/>
      <c r="OZZ174" s="208"/>
      <c r="PAA174" s="209"/>
      <c r="PAB174" s="207"/>
      <c r="PAC174" s="210"/>
      <c r="PAD174" s="209"/>
      <c r="PAE174" s="204"/>
      <c r="PAF174" s="204"/>
      <c r="PAG174" s="204"/>
      <c r="PAH174" s="199"/>
      <c r="PAI174" s="167"/>
      <c r="PAJ174" s="199"/>
      <c r="PAK174" s="200"/>
      <c r="PAL174" s="201"/>
      <c r="PAM174" s="202"/>
      <c r="PAN174" s="202"/>
      <c r="PAO174" s="202"/>
      <c r="PAP174" s="202"/>
      <c r="PAQ174" s="203"/>
      <c r="PAR174" s="204"/>
      <c r="PAS174" s="204"/>
      <c r="PAT174" s="204"/>
      <c r="PAU174" s="205"/>
      <c r="PAV174" s="206"/>
      <c r="PAW174" s="207"/>
      <c r="PAX174" s="207"/>
      <c r="PAY174" s="208"/>
      <c r="PAZ174" s="209"/>
      <c r="PBA174" s="207"/>
      <c r="PBB174" s="210"/>
      <c r="PBC174" s="209"/>
      <c r="PBD174" s="204"/>
      <c r="PBE174" s="204"/>
      <c r="PBF174" s="204"/>
      <c r="PBG174" s="199"/>
      <c r="PBH174" s="167"/>
      <c r="PBI174" s="199"/>
      <c r="PBJ174" s="200"/>
      <c r="PBK174" s="201"/>
      <c r="PBL174" s="202"/>
      <c r="PBM174" s="202"/>
      <c r="PBN174" s="202"/>
      <c r="PBO174" s="202"/>
      <c r="PBP174" s="203"/>
      <c r="PBQ174" s="204"/>
      <c r="PBR174" s="204"/>
      <c r="PBS174" s="204"/>
      <c r="PBT174" s="205"/>
      <c r="PBU174" s="206"/>
      <c r="PBV174" s="207"/>
      <c r="PBW174" s="207"/>
      <c r="PBX174" s="208"/>
      <c r="PBY174" s="209"/>
      <c r="PBZ174" s="207"/>
      <c r="PCA174" s="210"/>
      <c r="PCB174" s="209"/>
      <c r="PCC174" s="204"/>
      <c r="PCD174" s="204"/>
      <c r="PCE174" s="204"/>
      <c r="PCF174" s="199"/>
      <c r="PCG174" s="167"/>
      <c r="PCH174" s="199"/>
      <c r="PCI174" s="200"/>
      <c r="PCJ174" s="201"/>
      <c r="PCK174" s="202"/>
      <c r="PCL174" s="202"/>
      <c r="PCM174" s="202"/>
      <c r="PCN174" s="202"/>
      <c r="PCO174" s="203"/>
      <c r="PCP174" s="204"/>
      <c r="PCQ174" s="204"/>
      <c r="PCR174" s="204"/>
      <c r="PCS174" s="205"/>
      <c r="PCT174" s="206"/>
      <c r="PCU174" s="207"/>
      <c r="PCV174" s="207"/>
      <c r="PCW174" s="208"/>
      <c r="PCX174" s="209"/>
      <c r="PCY174" s="207"/>
      <c r="PCZ174" s="210"/>
      <c r="PDA174" s="209"/>
      <c r="PDB174" s="204"/>
      <c r="PDC174" s="204"/>
      <c r="PDD174" s="204"/>
      <c r="PDE174" s="199"/>
      <c r="PDF174" s="167"/>
      <c r="PDG174" s="199"/>
      <c r="PDH174" s="200"/>
      <c r="PDI174" s="201"/>
      <c r="PDJ174" s="202"/>
      <c r="PDK174" s="202"/>
      <c r="PDL174" s="202"/>
      <c r="PDM174" s="202"/>
      <c r="PDN174" s="203"/>
      <c r="PDO174" s="204"/>
      <c r="PDP174" s="204"/>
      <c r="PDQ174" s="204"/>
      <c r="PDR174" s="205"/>
      <c r="PDS174" s="206"/>
      <c r="PDT174" s="207"/>
      <c r="PDU174" s="207"/>
      <c r="PDV174" s="208"/>
      <c r="PDW174" s="209"/>
      <c r="PDX174" s="207"/>
      <c r="PDY174" s="210"/>
      <c r="PDZ174" s="209"/>
      <c r="PEA174" s="204"/>
      <c r="PEB174" s="204"/>
      <c r="PEC174" s="204"/>
      <c r="PED174" s="199"/>
      <c r="PEE174" s="167"/>
      <c r="PEF174" s="199"/>
      <c r="PEG174" s="200"/>
      <c r="PEH174" s="201"/>
      <c r="PEI174" s="202"/>
      <c r="PEJ174" s="202"/>
      <c r="PEK174" s="202"/>
      <c r="PEL174" s="202"/>
      <c r="PEM174" s="203"/>
      <c r="PEN174" s="204"/>
      <c r="PEO174" s="204"/>
      <c r="PEP174" s="204"/>
      <c r="PEQ174" s="205"/>
      <c r="PER174" s="206"/>
      <c r="PES174" s="207"/>
      <c r="PET174" s="207"/>
      <c r="PEU174" s="208"/>
      <c r="PEV174" s="209"/>
      <c r="PEW174" s="207"/>
      <c r="PEX174" s="210"/>
      <c r="PEY174" s="209"/>
      <c r="PEZ174" s="204"/>
      <c r="PFA174" s="204"/>
      <c r="PFB174" s="204"/>
      <c r="PFC174" s="199"/>
      <c r="PFD174" s="167"/>
      <c r="PFE174" s="199"/>
      <c r="PFF174" s="200"/>
      <c r="PFG174" s="201"/>
      <c r="PFH174" s="202"/>
      <c r="PFI174" s="202"/>
      <c r="PFJ174" s="202"/>
      <c r="PFK174" s="202"/>
      <c r="PFL174" s="203"/>
      <c r="PFM174" s="204"/>
      <c r="PFN174" s="204"/>
      <c r="PFO174" s="204"/>
      <c r="PFP174" s="205"/>
      <c r="PFQ174" s="206"/>
      <c r="PFR174" s="207"/>
      <c r="PFS174" s="207"/>
      <c r="PFT174" s="208"/>
      <c r="PFU174" s="209"/>
      <c r="PFV174" s="207"/>
      <c r="PFW174" s="210"/>
      <c r="PFX174" s="209"/>
      <c r="PFY174" s="204"/>
      <c r="PFZ174" s="204"/>
      <c r="PGA174" s="204"/>
      <c r="PGB174" s="199"/>
      <c r="PGC174" s="167"/>
      <c r="PGD174" s="199"/>
      <c r="PGE174" s="200"/>
      <c r="PGF174" s="201"/>
      <c r="PGG174" s="202"/>
      <c r="PGH174" s="202"/>
      <c r="PGI174" s="202"/>
      <c r="PGJ174" s="202"/>
      <c r="PGK174" s="203"/>
      <c r="PGL174" s="204"/>
      <c r="PGM174" s="204"/>
      <c r="PGN174" s="204"/>
      <c r="PGO174" s="205"/>
      <c r="PGP174" s="206"/>
      <c r="PGQ174" s="207"/>
      <c r="PGR174" s="207"/>
      <c r="PGS174" s="208"/>
      <c r="PGT174" s="209"/>
      <c r="PGU174" s="207"/>
      <c r="PGV174" s="210"/>
      <c r="PGW174" s="209"/>
      <c r="PGX174" s="204"/>
      <c r="PGY174" s="204"/>
      <c r="PGZ174" s="204"/>
      <c r="PHA174" s="199"/>
      <c r="PHB174" s="167"/>
      <c r="PHC174" s="199"/>
      <c r="PHD174" s="200"/>
      <c r="PHE174" s="201"/>
      <c r="PHF174" s="202"/>
      <c r="PHG174" s="202"/>
      <c r="PHH174" s="202"/>
      <c r="PHI174" s="202"/>
      <c r="PHJ174" s="203"/>
      <c r="PHK174" s="204"/>
      <c r="PHL174" s="204"/>
      <c r="PHM174" s="204"/>
      <c r="PHN174" s="205"/>
      <c r="PHO174" s="206"/>
      <c r="PHP174" s="207"/>
      <c r="PHQ174" s="207"/>
      <c r="PHR174" s="208"/>
      <c r="PHS174" s="209"/>
      <c r="PHT174" s="207"/>
      <c r="PHU174" s="210"/>
      <c r="PHV174" s="209"/>
      <c r="PHW174" s="204"/>
      <c r="PHX174" s="204"/>
      <c r="PHY174" s="204"/>
      <c r="PHZ174" s="199"/>
      <c r="PIA174" s="167"/>
      <c r="PIB174" s="199"/>
      <c r="PIC174" s="200"/>
      <c r="PID174" s="201"/>
      <c r="PIE174" s="202"/>
      <c r="PIF174" s="202"/>
      <c r="PIG174" s="202"/>
      <c r="PIH174" s="202"/>
      <c r="PII174" s="203"/>
      <c r="PIJ174" s="204"/>
      <c r="PIK174" s="204"/>
      <c r="PIL174" s="204"/>
      <c r="PIM174" s="205"/>
      <c r="PIN174" s="206"/>
      <c r="PIO174" s="207"/>
      <c r="PIP174" s="207"/>
      <c r="PIQ174" s="208"/>
      <c r="PIR174" s="209"/>
      <c r="PIS174" s="207"/>
      <c r="PIT174" s="210"/>
      <c r="PIU174" s="209"/>
      <c r="PIV174" s="204"/>
      <c r="PIW174" s="204"/>
      <c r="PIX174" s="204"/>
      <c r="PIY174" s="199"/>
      <c r="PIZ174" s="167"/>
      <c r="PJA174" s="199"/>
      <c r="PJB174" s="200"/>
      <c r="PJC174" s="201"/>
      <c r="PJD174" s="202"/>
      <c r="PJE174" s="202"/>
      <c r="PJF174" s="202"/>
      <c r="PJG174" s="202"/>
      <c r="PJH174" s="203"/>
      <c r="PJI174" s="204"/>
      <c r="PJJ174" s="204"/>
      <c r="PJK174" s="204"/>
      <c r="PJL174" s="205"/>
      <c r="PJM174" s="206"/>
      <c r="PJN174" s="207"/>
      <c r="PJO174" s="207"/>
      <c r="PJP174" s="208"/>
      <c r="PJQ174" s="209"/>
      <c r="PJR174" s="207"/>
      <c r="PJS174" s="210"/>
      <c r="PJT174" s="209"/>
      <c r="PJU174" s="204"/>
      <c r="PJV174" s="204"/>
      <c r="PJW174" s="204"/>
      <c r="PJX174" s="199"/>
      <c r="PJY174" s="167"/>
      <c r="PJZ174" s="199"/>
      <c r="PKA174" s="200"/>
      <c r="PKB174" s="201"/>
      <c r="PKC174" s="202"/>
      <c r="PKD174" s="202"/>
      <c r="PKE174" s="202"/>
      <c r="PKF174" s="202"/>
      <c r="PKG174" s="203"/>
      <c r="PKH174" s="204"/>
      <c r="PKI174" s="204"/>
      <c r="PKJ174" s="204"/>
      <c r="PKK174" s="205"/>
      <c r="PKL174" s="206"/>
      <c r="PKM174" s="207"/>
      <c r="PKN174" s="207"/>
      <c r="PKO174" s="208"/>
      <c r="PKP174" s="209"/>
      <c r="PKQ174" s="207"/>
      <c r="PKR174" s="210"/>
      <c r="PKS174" s="209"/>
      <c r="PKT174" s="204"/>
      <c r="PKU174" s="204"/>
      <c r="PKV174" s="204"/>
      <c r="PKW174" s="199"/>
      <c r="PKX174" s="167"/>
      <c r="PKY174" s="199"/>
      <c r="PKZ174" s="200"/>
      <c r="PLA174" s="201"/>
      <c r="PLB174" s="202"/>
      <c r="PLC174" s="202"/>
      <c r="PLD174" s="202"/>
      <c r="PLE174" s="202"/>
      <c r="PLF174" s="203"/>
      <c r="PLG174" s="204"/>
      <c r="PLH174" s="204"/>
      <c r="PLI174" s="204"/>
      <c r="PLJ174" s="205"/>
      <c r="PLK174" s="206"/>
      <c r="PLL174" s="207"/>
      <c r="PLM174" s="207"/>
      <c r="PLN174" s="208"/>
      <c r="PLO174" s="209"/>
      <c r="PLP174" s="207"/>
      <c r="PLQ174" s="210"/>
      <c r="PLR174" s="209"/>
      <c r="PLS174" s="204"/>
      <c r="PLT174" s="204"/>
      <c r="PLU174" s="204"/>
      <c r="PLV174" s="199"/>
      <c r="PLW174" s="167"/>
      <c r="PLX174" s="199"/>
      <c r="PLY174" s="200"/>
      <c r="PLZ174" s="201"/>
      <c r="PMA174" s="202"/>
      <c r="PMB174" s="202"/>
      <c r="PMC174" s="202"/>
      <c r="PMD174" s="202"/>
      <c r="PME174" s="203"/>
      <c r="PMF174" s="204"/>
      <c r="PMG174" s="204"/>
      <c r="PMH174" s="204"/>
      <c r="PMI174" s="205"/>
      <c r="PMJ174" s="206"/>
      <c r="PMK174" s="207"/>
      <c r="PML174" s="207"/>
      <c r="PMM174" s="208"/>
      <c r="PMN174" s="209"/>
      <c r="PMO174" s="207"/>
      <c r="PMP174" s="210"/>
      <c r="PMQ174" s="209"/>
      <c r="PMR174" s="204"/>
      <c r="PMS174" s="204"/>
      <c r="PMT174" s="204"/>
      <c r="PMU174" s="199"/>
      <c r="PMV174" s="167"/>
      <c r="PMW174" s="199"/>
      <c r="PMX174" s="200"/>
      <c r="PMY174" s="201"/>
      <c r="PMZ174" s="202"/>
      <c r="PNA174" s="202"/>
      <c r="PNB174" s="202"/>
      <c r="PNC174" s="202"/>
      <c r="PND174" s="203"/>
      <c r="PNE174" s="204"/>
      <c r="PNF174" s="204"/>
      <c r="PNG174" s="204"/>
      <c r="PNH174" s="205"/>
      <c r="PNI174" s="206"/>
      <c r="PNJ174" s="207"/>
      <c r="PNK174" s="207"/>
      <c r="PNL174" s="208"/>
      <c r="PNM174" s="209"/>
      <c r="PNN174" s="207"/>
      <c r="PNO174" s="210"/>
      <c r="PNP174" s="209"/>
      <c r="PNQ174" s="204"/>
      <c r="PNR174" s="204"/>
      <c r="PNS174" s="204"/>
      <c r="PNT174" s="199"/>
      <c r="PNU174" s="167"/>
      <c r="PNV174" s="199"/>
      <c r="PNW174" s="200"/>
      <c r="PNX174" s="201"/>
      <c r="PNY174" s="202"/>
      <c r="PNZ174" s="202"/>
      <c r="POA174" s="202"/>
      <c r="POB174" s="202"/>
      <c r="POC174" s="203"/>
      <c r="POD174" s="204"/>
      <c r="POE174" s="204"/>
      <c r="POF174" s="204"/>
      <c r="POG174" s="205"/>
      <c r="POH174" s="206"/>
      <c r="POI174" s="207"/>
      <c r="POJ174" s="207"/>
      <c r="POK174" s="208"/>
      <c r="POL174" s="209"/>
      <c r="POM174" s="207"/>
      <c r="PON174" s="210"/>
      <c r="POO174" s="209"/>
      <c r="POP174" s="204"/>
      <c r="POQ174" s="204"/>
      <c r="POR174" s="204"/>
      <c r="POS174" s="199"/>
      <c r="POT174" s="167"/>
      <c r="POU174" s="199"/>
      <c r="POV174" s="200"/>
      <c r="POW174" s="201"/>
      <c r="POX174" s="202"/>
      <c r="POY174" s="202"/>
      <c r="POZ174" s="202"/>
      <c r="PPA174" s="202"/>
      <c r="PPB174" s="203"/>
      <c r="PPC174" s="204"/>
      <c r="PPD174" s="204"/>
      <c r="PPE174" s="204"/>
      <c r="PPF174" s="205"/>
      <c r="PPG174" s="206"/>
      <c r="PPH174" s="207"/>
      <c r="PPI174" s="207"/>
      <c r="PPJ174" s="208"/>
      <c r="PPK174" s="209"/>
      <c r="PPL174" s="207"/>
      <c r="PPM174" s="210"/>
      <c r="PPN174" s="209"/>
      <c r="PPO174" s="204"/>
      <c r="PPP174" s="204"/>
      <c r="PPQ174" s="204"/>
      <c r="PPR174" s="199"/>
      <c r="PPS174" s="167"/>
      <c r="PPT174" s="199"/>
      <c r="PPU174" s="200"/>
      <c r="PPV174" s="201"/>
      <c r="PPW174" s="202"/>
      <c r="PPX174" s="202"/>
      <c r="PPY174" s="202"/>
      <c r="PPZ174" s="202"/>
      <c r="PQA174" s="203"/>
      <c r="PQB174" s="204"/>
      <c r="PQC174" s="204"/>
      <c r="PQD174" s="204"/>
      <c r="PQE174" s="205"/>
      <c r="PQF174" s="206"/>
      <c r="PQG174" s="207"/>
      <c r="PQH174" s="207"/>
      <c r="PQI174" s="208"/>
      <c r="PQJ174" s="209"/>
      <c r="PQK174" s="207"/>
      <c r="PQL174" s="210"/>
      <c r="PQM174" s="209"/>
      <c r="PQN174" s="204"/>
      <c r="PQO174" s="204"/>
      <c r="PQP174" s="204"/>
      <c r="PQQ174" s="199"/>
      <c r="PQR174" s="167"/>
      <c r="PQS174" s="199"/>
      <c r="PQT174" s="200"/>
      <c r="PQU174" s="201"/>
      <c r="PQV174" s="202"/>
      <c r="PQW174" s="202"/>
      <c r="PQX174" s="202"/>
      <c r="PQY174" s="202"/>
      <c r="PQZ174" s="203"/>
      <c r="PRA174" s="204"/>
      <c r="PRB174" s="204"/>
      <c r="PRC174" s="204"/>
      <c r="PRD174" s="205"/>
      <c r="PRE174" s="206"/>
      <c r="PRF174" s="207"/>
      <c r="PRG174" s="207"/>
      <c r="PRH174" s="208"/>
      <c r="PRI174" s="209"/>
      <c r="PRJ174" s="207"/>
      <c r="PRK174" s="210"/>
      <c r="PRL174" s="209"/>
      <c r="PRM174" s="204"/>
      <c r="PRN174" s="204"/>
      <c r="PRO174" s="204"/>
      <c r="PRP174" s="199"/>
      <c r="PRQ174" s="167"/>
      <c r="PRR174" s="199"/>
      <c r="PRS174" s="200"/>
      <c r="PRT174" s="201"/>
      <c r="PRU174" s="202"/>
      <c r="PRV174" s="202"/>
      <c r="PRW174" s="202"/>
      <c r="PRX174" s="202"/>
      <c r="PRY174" s="203"/>
      <c r="PRZ174" s="204"/>
      <c r="PSA174" s="204"/>
      <c r="PSB174" s="204"/>
      <c r="PSC174" s="205"/>
      <c r="PSD174" s="206"/>
      <c r="PSE174" s="207"/>
      <c r="PSF174" s="207"/>
      <c r="PSG174" s="208"/>
      <c r="PSH174" s="209"/>
      <c r="PSI174" s="207"/>
      <c r="PSJ174" s="210"/>
      <c r="PSK174" s="209"/>
      <c r="PSL174" s="204"/>
      <c r="PSM174" s="204"/>
      <c r="PSN174" s="204"/>
      <c r="PSO174" s="199"/>
      <c r="PSP174" s="167"/>
      <c r="PSQ174" s="199"/>
      <c r="PSR174" s="200"/>
      <c r="PSS174" s="201"/>
      <c r="PST174" s="202"/>
      <c r="PSU174" s="202"/>
      <c r="PSV174" s="202"/>
      <c r="PSW174" s="202"/>
      <c r="PSX174" s="203"/>
      <c r="PSY174" s="204"/>
      <c r="PSZ174" s="204"/>
      <c r="PTA174" s="204"/>
      <c r="PTB174" s="205"/>
      <c r="PTC174" s="206"/>
      <c r="PTD174" s="207"/>
      <c r="PTE174" s="207"/>
      <c r="PTF174" s="208"/>
      <c r="PTG174" s="209"/>
      <c r="PTH174" s="207"/>
      <c r="PTI174" s="210"/>
      <c r="PTJ174" s="209"/>
      <c r="PTK174" s="204"/>
      <c r="PTL174" s="204"/>
      <c r="PTM174" s="204"/>
      <c r="PTN174" s="199"/>
      <c r="PTO174" s="167"/>
      <c r="PTP174" s="199"/>
      <c r="PTQ174" s="200"/>
      <c r="PTR174" s="201"/>
      <c r="PTS174" s="202"/>
      <c r="PTT174" s="202"/>
      <c r="PTU174" s="202"/>
      <c r="PTV174" s="202"/>
      <c r="PTW174" s="203"/>
      <c r="PTX174" s="204"/>
      <c r="PTY174" s="204"/>
      <c r="PTZ174" s="204"/>
      <c r="PUA174" s="205"/>
      <c r="PUB174" s="206"/>
      <c r="PUC174" s="207"/>
      <c r="PUD174" s="207"/>
      <c r="PUE174" s="208"/>
      <c r="PUF174" s="209"/>
      <c r="PUG174" s="207"/>
      <c r="PUH174" s="210"/>
      <c r="PUI174" s="209"/>
      <c r="PUJ174" s="204"/>
      <c r="PUK174" s="204"/>
      <c r="PUL174" s="204"/>
      <c r="PUM174" s="199"/>
      <c r="PUN174" s="167"/>
      <c r="PUO174" s="199"/>
      <c r="PUP174" s="200"/>
      <c r="PUQ174" s="201"/>
      <c r="PUR174" s="202"/>
      <c r="PUS174" s="202"/>
      <c r="PUT174" s="202"/>
      <c r="PUU174" s="202"/>
      <c r="PUV174" s="203"/>
      <c r="PUW174" s="204"/>
      <c r="PUX174" s="204"/>
      <c r="PUY174" s="204"/>
      <c r="PUZ174" s="205"/>
      <c r="PVA174" s="206"/>
      <c r="PVB174" s="207"/>
      <c r="PVC174" s="207"/>
      <c r="PVD174" s="208"/>
      <c r="PVE174" s="209"/>
      <c r="PVF174" s="207"/>
      <c r="PVG174" s="210"/>
      <c r="PVH174" s="209"/>
      <c r="PVI174" s="204"/>
      <c r="PVJ174" s="204"/>
      <c r="PVK174" s="204"/>
      <c r="PVL174" s="199"/>
      <c r="PVM174" s="167"/>
      <c r="PVN174" s="199"/>
      <c r="PVO174" s="200"/>
      <c r="PVP174" s="201"/>
      <c r="PVQ174" s="202"/>
      <c r="PVR174" s="202"/>
      <c r="PVS174" s="202"/>
      <c r="PVT174" s="202"/>
      <c r="PVU174" s="203"/>
      <c r="PVV174" s="204"/>
      <c r="PVW174" s="204"/>
      <c r="PVX174" s="204"/>
      <c r="PVY174" s="205"/>
      <c r="PVZ174" s="206"/>
      <c r="PWA174" s="207"/>
      <c r="PWB174" s="207"/>
      <c r="PWC174" s="208"/>
      <c r="PWD174" s="209"/>
      <c r="PWE174" s="207"/>
      <c r="PWF174" s="210"/>
      <c r="PWG174" s="209"/>
      <c r="PWH174" s="204"/>
      <c r="PWI174" s="204"/>
      <c r="PWJ174" s="204"/>
      <c r="PWK174" s="199"/>
      <c r="PWL174" s="167"/>
      <c r="PWM174" s="199"/>
      <c r="PWN174" s="200"/>
      <c r="PWO174" s="201"/>
      <c r="PWP174" s="202"/>
      <c r="PWQ174" s="202"/>
      <c r="PWR174" s="202"/>
      <c r="PWS174" s="202"/>
      <c r="PWT174" s="203"/>
      <c r="PWU174" s="204"/>
      <c r="PWV174" s="204"/>
      <c r="PWW174" s="204"/>
      <c r="PWX174" s="205"/>
      <c r="PWY174" s="206"/>
      <c r="PWZ174" s="207"/>
      <c r="PXA174" s="207"/>
      <c r="PXB174" s="208"/>
      <c r="PXC174" s="209"/>
      <c r="PXD174" s="207"/>
      <c r="PXE174" s="210"/>
      <c r="PXF174" s="209"/>
      <c r="PXG174" s="204"/>
      <c r="PXH174" s="204"/>
      <c r="PXI174" s="204"/>
      <c r="PXJ174" s="199"/>
      <c r="PXK174" s="167"/>
      <c r="PXL174" s="199"/>
      <c r="PXM174" s="200"/>
      <c r="PXN174" s="201"/>
      <c r="PXO174" s="202"/>
      <c r="PXP174" s="202"/>
      <c r="PXQ174" s="202"/>
      <c r="PXR174" s="202"/>
      <c r="PXS174" s="203"/>
      <c r="PXT174" s="204"/>
      <c r="PXU174" s="204"/>
      <c r="PXV174" s="204"/>
      <c r="PXW174" s="205"/>
      <c r="PXX174" s="206"/>
      <c r="PXY174" s="207"/>
      <c r="PXZ174" s="207"/>
      <c r="PYA174" s="208"/>
      <c r="PYB174" s="209"/>
      <c r="PYC174" s="207"/>
      <c r="PYD174" s="210"/>
      <c r="PYE174" s="209"/>
      <c r="PYF174" s="204"/>
      <c r="PYG174" s="204"/>
      <c r="PYH174" s="204"/>
      <c r="PYI174" s="199"/>
      <c r="PYJ174" s="167"/>
      <c r="PYK174" s="199"/>
      <c r="PYL174" s="200"/>
      <c r="PYM174" s="201"/>
      <c r="PYN174" s="202"/>
      <c r="PYO174" s="202"/>
      <c r="PYP174" s="202"/>
      <c r="PYQ174" s="202"/>
      <c r="PYR174" s="203"/>
      <c r="PYS174" s="204"/>
      <c r="PYT174" s="204"/>
      <c r="PYU174" s="204"/>
      <c r="PYV174" s="205"/>
      <c r="PYW174" s="206"/>
      <c r="PYX174" s="207"/>
      <c r="PYY174" s="207"/>
      <c r="PYZ174" s="208"/>
      <c r="PZA174" s="209"/>
      <c r="PZB174" s="207"/>
      <c r="PZC174" s="210"/>
      <c r="PZD174" s="209"/>
      <c r="PZE174" s="204"/>
      <c r="PZF174" s="204"/>
      <c r="PZG174" s="204"/>
      <c r="PZH174" s="199"/>
      <c r="PZI174" s="167"/>
      <c r="PZJ174" s="199"/>
      <c r="PZK174" s="200"/>
      <c r="PZL174" s="201"/>
      <c r="PZM174" s="202"/>
      <c r="PZN174" s="202"/>
      <c r="PZO174" s="202"/>
      <c r="PZP174" s="202"/>
      <c r="PZQ174" s="203"/>
      <c r="PZR174" s="204"/>
      <c r="PZS174" s="204"/>
      <c r="PZT174" s="204"/>
      <c r="PZU174" s="205"/>
      <c r="PZV174" s="206"/>
      <c r="PZW174" s="207"/>
      <c r="PZX174" s="207"/>
      <c r="PZY174" s="208"/>
      <c r="PZZ174" s="209"/>
      <c r="QAA174" s="207"/>
      <c r="QAB174" s="210"/>
      <c r="QAC174" s="209"/>
      <c r="QAD174" s="204"/>
      <c r="QAE174" s="204"/>
      <c r="QAF174" s="204"/>
      <c r="QAG174" s="199"/>
      <c r="QAH174" s="167"/>
      <c r="QAI174" s="199"/>
      <c r="QAJ174" s="200"/>
      <c r="QAK174" s="201"/>
      <c r="QAL174" s="202"/>
      <c r="QAM174" s="202"/>
      <c r="QAN174" s="202"/>
      <c r="QAO174" s="202"/>
      <c r="QAP174" s="203"/>
      <c r="QAQ174" s="204"/>
      <c r="QAR174" s="204"/>
      <c r="QAS174" s="204"/>
      <c r="QAT174" s="205"/>
      <c r="QAU174" s="206"/>
      <c r="QAV174" s="207"/>
      <c r="QAW174" s="207"/>
      <c r="QAX174" s="208"/>
      <c r="QAY174" s="209"/>
      <c r="QAZ174" s="207"/>
      <c r="QBA174" s="210"/>
      <c r="QBB174" s="209"/>
      <c r="QBC174" s="204"/>
      <c r="QBD174" s="204"/>
      <c r="QBE174" s="204"/>
      <c r="QBF174" s="199"/>
      <c r="QBG174" s="167"/>
      <c r="QBH174" s="199"/>
      <c r="QBI174" s="200"/>
      <c r="QBJ174" s="201"/>
      <c r="QBK174" s="202"/>
      <c r="QBL174" s="202"/>
      <c r="QBM174" s="202"/>
      <c r="QBN174" s="202"/>
      <c r="QBO174" s="203"/>
      <c r="QBP174" s="204"/>
      <c r="QBQ174" s="204"/>
      <c r="QBR174" s="204"/>
      <c r="QBS174" s="205"/>
      <c r="QBT174" s="206"/>
      <c r="QBU174" s="207"/>
      <c r="QBV174" s="207"/>
      <c r="QBW174" s="208"/>
      <c r="QBX174" s="209"/>
      <c r="QBY174" s="207"/>
      <c r="QBZ174" s="210"/>
      <c r="QCA174" s="209"/>
      <c r="QCB174" s="204"/>
      <c r="QCC174" s="204"/>
      <c r="QCD174" s="204"/>
      <c r="QCE174" s="199"/>
      <c r="QCF174" s="167"/>
      <c r="QCG174" s="199"/>
      <c r="QCH174" s="200"/>
      <c r="QCI174" s="201"/>
      <c r="QCJ174" s="202"/>
      <c r="QCK174" s="202"/>
      <c r="QCL174" s="202"/>
      <c r="QCM174" s="202"/>
      <c r="QCN174" s="203"/>
      <c r="QCO174" s="204"/>
      <c r="QCP174" s="204"/>
      <c r="QCQ174" s="204"/>
      <c r="QCR174" s="205"/>
      <c r="QCS174" s="206"/>
      <c r="QCT174" s="207"/>
      <c r="QCU174" s="207"/>
      <c r="QCV174" s="208"/>
      <c r="QCW174" s="209"/>
      <c r="QCX174" s="207"/>
      <c r="QCY174" s="210"/>
      <c r="QCZ174" s="209"/>
      <c r="QDA174" s="204"/>
      <c r="QDB174" s="204"/>
      <c r="QDC174" s="204"/>
      <c r="QDD174" s="199"/>
      <c r="QDE174" s="167"/>
      <c r="QDF174" s="199"/>
      <c r="QDG174" s="200"/>
      <c r="QDH174" s="201"/>
      <c r="QDI174" s="202"/>
      <c r="QDJ174" s="202"/>
      <c r="QDK174" s="202"/>
      <c r="QDL174" s="202"/>
      <c r="QDM174" s="203"/>
      <c r="QDN174" s="204"/>
      <c r="QDO174" s="204"/>
      <c r="QDP174" s="204"/>
      <c r="QDQ174" s="205"/>
      <c r="QDR174" s="206"/>
      <c r="QDS174" s="207"/>
      <c r="QDT174" s="207"/>
      <c r="QDU174" s="208"/>
      <c r="QDV174" s="209"/>
      <c r="QDW174" s="207"/>
      <c r="QDX174" s="210"/>
      <c r="QDY174" s="209"/>
      <c r="QDZ174" s="204"/>
      <c r="QEA174" s="204"/>
      <c r="QEB174" s="204"/>
      <c r="QEC174" s="199"/>
      <c r="QED174" s="167"/>
      <c r="QEE174" s="199"/>
      <c r="QEF174" s="200"/>
      <c r="QEG174" s="201"/>
      <c r="QEH174" s="202"/>
      <c r="QEI174" s="202"/>
      <c r="QEJ174" s="202"/>
      <c r="QEK174" s="202"/>
      <c r="QEL174" s="203"/>
      <c r="QEM174" s="204"/>
      <c r="QEN174" s="204"/>
      <c r="QEO174" s="204"/>
      <c r="QEP174" s="205"/>
      <c r="QEQ174" s="206"/>
      <c r="QER174" s="207"/>
      <c r="QES174" s="207"/>
      <c r="QET174" s="208"/>
      <c r="QEU174" s="209"/>
      <c r="QEV174" s="207"/>
      <c r="QEW174" s="210"/>
      <c r="QEX174" s="209"/>
      <c r="QEY174" s="204"/>
      <c r="QEZ174" s="204"/>
      <c r="QFA174" s="204"/>
      <c r="QFB174" s="199"/>
      <c r="QFC174" s="167"/>
      <c r="QFD174" s="199"/>
      <c r="QFE174" s="200"/>
      <c r="QFF174" s="201"/>
      <c r="QFG174" s="202"/>
      <c r="QFH174" s="202"/>
      <c r="QFI174" s="202"/>
      <c r="QFJ174" s="202"/>
      <c r="QFK174" s="203"/>
      <c r="QFL174" s="204"/>
      <c r="QFM174" s="204"/>
      <c r="QFN174" s="204"/>
      <c r="QFO174" s="205"/>
      <c r="QFP174" s="206"/>
      <c r="QFQ174" s="207"/>
      <c r="QFR174" s="207"/>
      <c r="QFS174" s="208"/>
      <c r="QFT174" s="209"/>
      <c r="QFU174" s="207"/>
      <c r="QFV174" s="210"/>
      <c r="QFW174" s="209"/>
      <c r="QFX174" s="204"/>
      <c r="QFY174" s="204"/>
      <c r="QFZ174" s="204"/>
      <c r="QGA174" s="199"/>
      <c r="QGB174" s="167"/>
      <c r="QGC174" s="199"/>
      <c r="QGD174" s="200"/>
      <c r="QGE174" s="201"/>
      <c r="QGF174" s="202"/>
      <c r="QGG174" s="202"/>
      <c r="QGH174" s="202"/>
      <c r="QGI174" s="202"/>
      <c r="QGJ174" s="203"/>
      <c r="QGK174" s="204"/>
      <c r="QGL174" s="204"/>
      <c r="QGM174" s="204"/>
      <c r="QGN174" s="205"/>
      <c r="QGO174" s="206"/>
      <c r="QGP174" s="207"/>
      <c r="QGQ174" s="207"/>
      <c r="QGR174" s="208"/>
      <c r="QGS174" s="209"/>
      <c r="QGT174" s="207"/>
      <c r="QGU174" s="210"/>
      <c r="QGV174" s="209"/>
      <c r="QGW174" s="204"/>
      <c r="QGX174" s="204"/>
      <c r="QGY174" s="204"/>
      <c r="QGZ174" s="199"/>
      <c r="QHA174" s="167"/>
      <c r="QHB174" s="199"/>
      <c r="QHC174" s="200"/>
      <c r="QHD174" s="201"/>
      <c r="QHE174" s="202"/>
      <c r="QHF174" s="202"/>
      <c r="QHG174" s="202"/>
      <c r="QHH174" s="202"/>
      <c r="QHI174" s="203"/>
      <c r="QHJ174" s="204"/>
      <c r="QHK174" s="204"/>
      <c r="QHL174" s="204"/>
      <c r="QHM174" s="205"/>
      <c r="QHN174" s="206"/>
      <c r="QHO174" s="207"/>
      <c r="QHP174" s="207"/>
      <c r="QHQ174" s="208"/>
      <c r="QHR174" s="209"/>
      <c r="QHS174" s="207"/>
      <c r="QHT174" s="210"/>
      <c r="QHU174" s="209"/>
      <c r="QHV174" s="204"/>
      <c r="QHW174" s="204"/>
      <c r="QHX174" s="204"/>
      <c r="QHY174" s="199"/>
      <c r="QHZ174" s="167"/>
      <c r="QIA174" s="199"/>
      <c r="QIB174" s="200"/>
      <c r="QIC174" s="201"/>
      <c r="QID174" s="202"/>
      <c r="QIE174" s="202"/>
      <c r="QIF174" s="202"/>
      <c r="QIG174" s="202"/>
      <c r="QIH174" s="203"/>
      <c r="QII174" s="204"/>
      <c r="QIJ174" s="204"/>
      <c r="QIK174" s="204"/>
      <c r="QIL174" s="205"/>
      <c r="QIM174" s="206"/>
      <c r="QIN174" s="207"/>
      <c r="QIO174" s="207"/>
      <c r="QIP174" s="208"/>
      <c r="QIQ174" s="209"/>
      <c r="QIR174" s="207"/>
      <c r="QIS174" s="210"/>
      <c r="QIT174" s="209"/>
      <c r="QIU174" s="204"/>
      <c r="QIV174" s="204"/>
      <c r="QIW174" s="204"/>
      <c r="QIX174" s="199"/>
      <c r="QIY174" s="167"/>
      <c r="QIZ174" s="199"/>
      <c r="QJA174" s="200"/>
      <c r="QJB174" s="201"/>
      <c r="QJC174" s="202"/>
      <c r="QJD174" s="202"/>
      <c r="QJE174" s="202"/>
      <c r="QJF174" s="202"/>
      <c r="QJG174" s="203"/>
      <c r="QJH174" s="204"/>
      <c r="QJI174" s="204"/>
      <c r="QJJ174" s="204"/>
      <c r="QJK174" s="205"/>
      <c r="QJL174" s="206"/>
      <c r="QJM174" s="207"/>
      <c r="QJN174" s="207"/>
      <c r="QJO174" s="208"/>
      <c r="QJP174" s="209"/>
      <c r="QJQ174" s="207"/>
      <c r="QJR174" s="210"/>
      <c r="QJS174" s="209"/>
      <c r="QJT174" s="204"/>
      <c r="QJU174" s="204"/>
      <c r="QJV174" s="204"/>
      <c r="QJW174" s="199"/>
      <c r="QJX174" s="167"/>
      <c r="QJY174" s="199"/>
      <c r="QJZ174" s="200"/>
      <c r="QKA174" s="201"/>
      <c r="QKB174" s="202"/>
      <c r="QKC174" s="202"/>
      <c r="QKD174" s="202"/>
      <c r="QKE174" s="202"/>
      <c r="QKF174" s="203"/>
      <c r="QKG174" s="204"/>
      <c r="QKH174" s="204"/>
      <c r="QKI174" s="204"/>
      <c r="QKJ174" s="205"/>
      <c r="QKK174" s="206"/>
      <c r="QKL174" s="207"/>
      <c r="QKM174" s="207"/>
      <c r="QKN174" s="208"/>
      <c r="QKO174" s="209"/>
      <c r="QKP174" s="207"/>
      <c r="QKQ174" s="210"/>
      <c r="QKR174" s="209"/>
      <c r="QKS174" s="204"/>
      <c r="QKT174" s="204"/>
      <c r="QKU174" s="204"/>
      <c r="QKV174" s="199"/>
      <c r="QKW174" s="167"/>
      <c r="QKX174" s="199"/>
      <c r="QKY174" s="200"/>
      <c r="QKZ174" s="201"/>
      <c r="QLA174" s="202"/>
      <c r="QLB174" s="202"/>
      <c r="QLC174" s="202"/>
      <c r="QLD174" s="202"/>
      <c r="QLE174" s="203"/>
      <c r="QLF174" s="204"/>
      <c r="QLG174" s="204"/>
      <c r="QLH174" s="204"/>
      <c r="QLI174" s="205"/>
      <c r="QLJ174" s="206"/>
      <c r="QLK174" s="207"/>
      <c r="QLL174" s="207"/>
      <c r="QLM174" s="208"/>
      <c r="QLN174" s="209"/>
      <c r="QLO174" s="207"/>
      <c r="QLP174" s="210"/>
      <c r="QLQ174" s="209"/>
      <c r="QLR174" s="204"/>
      <c r="QLS174" s="204"/>
      <c r="QLT174" s="204"/>
      <c r="QLU174" s="199"/>
      <c r="QLV174" s="167"/>
      <c r="QLW174" s="199"/>
      <c r="QLX174" s="200"/>
      <c r="QLY174" s="201"/>
      <c r="QLZ174" s="202"/>
      <c r="QMA174" s="202"/>
      <c r="QMB174" s="202"/>
      <c r="QMC174" s="202"/>
      <c r="QMD174" s="203"/>
      <c r="QME174" s="204"/>
      <c r="QMF174" s="204"/>
      <c r="QMG174" s="204"/>
      <c r="QMH174" s="205"/>
      <c r="QMI174" s="206"/>
      <c r="QMJ174" s="207"/>
      <c r="QMK174" s="207"/>
      <c r="QML174" s="208"/>
      <c r="QMM174" s="209"/>
      <c r="QMN174" s="207"/>
      <c r="QMO174" s="210"/>
      <c r="QMP174" s="209"/>
      <c r="QMQ174" s="204"/>
      <c r="QMR174" s="204"/>
      <c r="QMS174" s="204"/>
      <c r="QMT174" s="199"/>
      <c r="QMU174" s="167"/>
      <c r="QMV174" s="199"/>
      <c r="QMW174" s="200"/>
      <c r="QMX174" s="201"/>
      <c r="QMY174" s="202"/>
      <c r="QMZ174" s="202"/>
      <c r="QNA174" s="202"/>
      <c r="QNB174" s="202"/>
      <c r="QNC174" s="203"/>
      <c r="QND174" s="204"/>
      <c r="QNE174" s="204"/>
      <c r="QNF174" s="204"/>
      <c r="QNG174" s="205"/>
      <c r="QNH174" s="206"/>
      <c r="QNI174" s="207"/>
      <c r="QNJ174" s="207"/>
      <c r="QNK174" s="208"/>
      <c r="QNL174" s="209"/>
      <c r="QNM174" s="207"/>
      <c r="QNN174" s="210"/>
      <c r="QNO174" s="209"/>
      <c r="QNP174" s="204"/>
      <c r="QNQ174" s="204"/>
      <c r="QNR174" s="204"/>
      <c r="QNS174" s="199"/>
      <c r="QNT174" s="167"/>
      <c r="QNU174" s="199"/>
      <c r="QNV174" s="200"/>
      <c r="QNW174" s="201"/>
      <c r="QNX174" s="202"/>
      <c r="QNY174" s="202"/>
      <c r="QNZ174" s="202"/>
      <c r="QOA174" s="202"/>
      <c r="QOB174" s="203"/>
      <c r="QOC174" s="204"/>
      <c r="QOD174" s="204"/>
      <c r="QOE174" s="204"/>
      <c r="QOF174" s="205"/>
      <c r="QOG174" s="206"/>
      <c r="QOH174" s="207"/>
      <c r="QOI174" s="207"/>
      <c r="QOJ174" s="208"/>
      <c r="QOK174" s="209"/>
      <c r="QOL174" s="207"/>
      <c r="QOM174" s="210"/>
      <c r="QON174" s="209"/>
      <c r="QOO174" s="204"/>
      <c r="QOP174" s="204"/>
      <c r="QOQ174" s="204"/>
      <c r="QOR174" s="199"/>
      <c r="QOS174" s="167"/>
      <c r="QOT174" s="199"/>
      <c r="QOU174" s="200"/>
      <c r="QOV174" s="201"/>
      <c r="QOW174" s="202"/>
      <c r="QOX174" s="202"/>
      <c r="QOY174" s="202"/>
      <c r="QOZ174" s="202"/>
      <c r="QPA174" s="203"/>
      <c r="QPB174" s="204"/>
      <c r="QPC174" s="204"/>
      <c r="QPD174" s="204"/>
      <c r="QPE174" s="205"/>
      <c r="QPF174" s="206"/>
      <c r="QPG174" s="207"/>
      <c r="QPH174" s="207"/>
      <c r="QPI174" s="208"/>
      <c r="QPJ174" s="209"/>
      <c r="QPK174" s="207"/>
      <c r="QPL174" s="210"/>
      <c r="QPM174" s="209"/>
      <c r="QPN174" s="204"/>
      <c r="QPO174" s="204"/>
      <c r="QPP174" s="204"/>
      <c r="QPQ174" s="199"/>
      <c r="QPR174" s="167"/>
      <c r="QPS174" s="199"/>
      <c r="QPT174" s="200"/>
      <c r="QPU174" s="201"/>
      <c r="QPV174" s="202"/>
      <c r="QPW174" s="202"/>
      <c r="QPX174" s="202"/>
      <c r="QPY174" s="202"/>
      <c r="QPZ174" s="203"/>
      <c r="QQA174" s="204"/>
      <c r="QQB174" s="204"/>
      <c r="QQC174" s="204"/>
      <c r="QQD174" s="205"/>
      <c r="QQE174" s="206"/>
      <c r="QQF174" s="207"/>
      <c r="QQG174" s="207"/>
      <c r="QQH174" s="208"/>
      <c r="QQI174" s="209"/>
      <c r="QQJ174" s="207"/>
      <c r="QQK174" s="210"/>
      <c r="QQL174" s="209"/>
      <c r="QQM174" s="204"/>
      <c r="QQN174" s="204"/>
      <c r="QQO174" s="204"/>
      <c r="QQP174" s="199"/>
      <c r="QQQ174" s="167"/>
      <c r="QQR174" s="199"/>
      <c r="QQS174" s="200"/>
      <c r="QQT174" s="201"/>
      <c r="QQU174" s="202"/>
      <c r="QQV174" s="202"/>
      <c r="QQW174" s="202"/>
      <c r="QQX174" s="202"/>
      <c r="QQY174" s="203"/>
      <c r="QQZ174" s="204"/>
      <c r="QRA174" s="204"/>
      <c r="QRB174" s="204"/>
      <c r="QRC174" s="205"/>
      <c r="QRD174" s="206"/>
      <c r="QRE174" s="207"/>
      <c r="QRF174" s="207"/>
      <c r="QRG174" s="208"/>
      <c r="QRH174" s="209"/>
      <c r="QRI174" s="207"/>
      <c r="QRJ174" s="210"/>
      <c r="QRK174" s="209"/>
      <c r="QRL174" s="204"/>
      <c r="QRM174" s="204"/>
      <c r="QRN174" s="204"/>
      <c r="QRO174" s="199"/>
      <c r="QRP174" s="167"/>
      <c r="QRQ174" s="199"/>
      <c r="QRR174" s="200"/>
      <c r="QRS174" s="201"/>
      <c r="QRT174" s="202"/>
      <c r="QRU174" s="202"/>
      <c r="QRV174" s="202"/>
      <c r="QRW174" s="202"/>
      <c r="QRX174" s="203"/>
      <c r="QRY174" s="204"/>
      <c r="QRZ174" s="204"/>
      <c r="QSA174" s="204"/>
      <c r="QSB174" s="205"/>
      <c r="QSC174" s="206"/>
      <c r="QSD174" s="207"/>
      <c r="QSE174" s="207"/>
      <c r="QSF174" s="208"/>
      <c r="QSG174" s="209"/>
      <c r="QSH174" s="207"/>
      <c r="QSI174" s="210"/>
      <c r="QSJ174" s="209"/>
      <c r="QSK174" s="204"/>
      <c r="QSL174" s="204"/>
      <c r="QSM174" s="204"/>
      <c r="QSN174" s="199"/>
      <c r="QSO174" s="167"/>
      <c r="QSP174" s="199"/>
      <c r="QSQ174" s="200"/>
      <c r="QSR174" s="201"/>
      <c r="QSS174" s="202"/>
      <c r="QST174" s="202"/>
      <c r="QSU174" s="202"/>
      <c r="QSV174" s="202"/>
      <c r="QSW174" s="203"/>
      <c r="QSX174" s="204"/>
      <c r="QSY174" s="204"/>
      <c r="QSZ174" s="204"/>
      <c r="QTA174" s="205"/>
      <c r="QTB174" s="206"/>
      <c r="QTC174" s="207"/>
      <c r="QTD174" s="207"/>
      <c r="QTE174" s="208"/>
      <c r="QTF174" s="209"/>
      <c r="QTG174" s="207"/>
      <c r="QTH174" s="210"/>
      <c r="QTI174" s="209"/>
      <c r="QTJ174" s="204"/>
      <c r="QTK174" s="204"/>
      <c r="QTL174" s="204"/>
      <c r="QTM174" s="199"/>
      <c r="QTN174" s="167"/>
      <c r="QTO174" s="199"/>
      <c r="QTP174" s="200"/>
      <c r="QTQ174" s="201"/>
      <c r="QTR174" s="202"/>
      <c r="QTS174" s="202"/>
      <c r="QTT174" s="202"/>
      <c r="QTU174" s="202"/>
      <c r="QTV174" s="203"/>
      <c r="QTW174" s="204"/>
      <c r="QTX174" s="204"/>
      <c r="QTY174" s="204"/>
      <c r="QTZ174" s="205"/>
      <c r="QUA174" s="206"/>
      <c r="QUB174" s="207"/>
      <c r="QUC174" s="207"/>
      <c r="QUD174" s="208"/>
      <c r="QUE174" s="209"/>
      <c r="QUF174" s="207"/>
      <c r="QUG174" s="210"/>
      <c r="QUH174" s="209"/>
      <c r="QUI174" s="204"/>
      <c r="QUJ174" s="204"/>
      <c r="QUK174" s="204"/>
      <c r="QUL174" s="199"/>
      <c r="QUM174" s="167"/>
      <c r="QUN174" s="199"/>
      <c r="QUO174" s="200"/>
      <c r="QUP174" s="201"/>
      <c r="QUQ174" s="202"/>
      <c r="QUR174" s="202"/>
      <c r="QUS174" s="202"/>
      <c r="QUT174" s="202"/>
      <c r="QUU174" s="203"/>
      <c r="QUV174" s="204"/>
      <c r="QUW174" s="204"/>
      <c r="QUX174" s="204"/>
      <c r="QUY174" s="205"/>
      <c r="QUZ174" s="206"/>
      <c r="QVA174" s="207"/>
      <c r="QVB174" s="207"/>
      <c r="QVC174" s="208"/>
      <c r="QVD174" s="209"/>
      <c r="QVE174" s="207"/>
      <c r="QVF174" s="210"/>
      <c r="QVG174" s="209"/>
      <c r="QVH174" s="204"/>
      <c r="QVI174" s="204"/>
      <c r="QVJ174" s="204"/>
      <c r="QVK174" s="199"/>
      <c r="QVL174" s="167"/>
      <c r="QVM174" s="199"/>
      <c r="QVN174" s="200"/>
      <c r="QVO174" s="201"/>
      <c r="QVP174" s="202"/>
      <c r="QVQ174" s="202"/>
      <c r="QVR174" s="202"/>
      <c r="QVS174" s="202"/>
      <c r="QVT174" s="203"/>
      <c r="QVU174" s="204"/>
      <c r="QVV174" s="204"/>
      <c r="QVW174" s="204"/>
      <c r="QVX174" s="205"/>
      <c r="QVY174" s="206"/>
      <c r="QVZ174" s="207"/>
      <c r="QWA174" s="207"/>
      <c r="QWB174" s="208"/>
      <c r="QWC174" s="209"/>
      <c r="QWD174" s="207"/>
      <c r="QWE174" s="210"/>
      <c r="QWF174" s="209"/>
      <c r="QWG174" s="204"/>
      <c r="QWH174" s="204"/>
      <c r="QWI174" s="204"/>
      <c r="QWJ174" s="199"/>
      <c r="QWK174" s="167"/>
      <c r="QWL174" s="199"/>
      <c r="QWM174" s="200"/>
      <c r="QWN174" s="201"/>
      <c r="QWO174" s="202"/>
      <c r="QWP174" s="202"/>
      <c r="QWQ174" s="202"/>
      <c r="QWR174" s="202"/>
      <c r="QWS174" s="203"/>
      <c r="QWT174" s="204"/>
      <c r="QWU174" s="204"/>
      <c r="QWV174" s="204"/>
      <c r="QWW174" s="205"/>
      <c r="QWX174" s="206"/>
      <c r="QWY174" s="207"/>
      <c r="QWZ174" s="207"/>
      <c r="QXA174" s="208"/>
      <c r="QXB174" s="209"/>
      <c r="QXC174" s="207"/>
      <c r="QXD174" s="210"/>
      <c r="QXE174" s="209"/>
      <c r="QXF174" s="204"/>
      <c r="QXG174" s="204"/>
      <c r="QXH174" s="204"/>
      <c r="QXI174" s="199"/>
      <c r="QXJ174" s="167"/>
      <c r="QXK174" s="199"/>
      <c r="QXL174" s="200"/>
      <c r="QXM174" s="201"/>
      <c r="QXN174" s="202"/>
      <c r="QXO174" s="202"/>
      <c r="QXP174" s="202"/>
      <c r="QXQ174" s="202"/>
      <c r="QXR174" s="203"/>
      <c r="QXS174" s="204"/>
      <c r="QXT174" s="204"/>
      <c r="QXU174" s="204"/>
      <c r="QXV174" s="205"/>
      <c r="QXW174" s="206"/>
      <c r="QXX174" s="207"/>
      <c r="QXY174" s="207"/>
      <c r="QXZ174" s="208"/>
      <c r="QYA174" s="209"/>
      <c r="QYB174" s="207"/>
      <c r="QYC174" s="210"/>
      <c r="QYD174" s="209"/>
      <c r="QYE174" s="204"/>
      <c r="QYF174" s="204"/>
      <c r="QYG174" s="204"/>
      <c r="QYH174" s="199"/>
      <c r="QYI174" s="167"/>
      <c r="QYJ174" s="199"/>
      <c r="QYK174" s="200"/>
      <c r="QYL174" s="201"/>
      <c r="QYM174" s="202"/>
      <c r="QYN174" s="202"/>
      <c r="QYO174" s="202"/>
      <c r="QYP174" s="202"/>
      <c r="QYQ174" s="203"/>
      <c r="QYR174" s="204"/>
      <c r="QYS174" s="204"/>
      <c r="QYT174" s="204"/>
      <c r="QYU174" s="205"/>
      <c r="QYV174" s="206"/>
      <c r="QYW174" s="207"/>
      <c r="QYX174" s="207"/>
      <c r="QYY174" s="208"/>
      <c r="QYZ174" s="209"/>
      <c r="QZA174" s="207"/>
      <c r="QZB174" s="210"/>
      <c r="QZC174" s="209"/>
      <c r="QZD174" s="204"/>
      <c r="QZE174" s="204"/>
      <c r="QZF174" s="204"/>
      <c r="QZG174" s="199"/>
      <c r="QZH174" s="167"/>
      <c r="QZI174" s="199"/>
      <c r="QZJ174" s="200"/>
      <c r="QZK174" s="201"/>
      <c r="QZL174" s="202"/>
      <c r="QZM174" s="202"/>
      <c r="QZN174" s="202"/>
      <c r="QZO174" s="202"/>
      <c r="QZP174" s="203"/>
      <c r="QZQ174" s="204"/>
      <c r="QZR174" s="204"/>
      <c r="QZS174" s="204"/>
      <c r="QZT174" s="205"/>
      <c r="QZU174" s="206"/>
      <c r="QZV174" s="207"/>
      <c r="QZW174" s="207"/>
      <c r="QZX174" s="208"/>
      <c r="QZY174" s="209"/>
      <c r="QZZ174" s="207"/>
      <c r="RAA174" s="210"/>
      <c r="RAB174" s="209"/>
      <c r="RAC174" s="204"/>
      <c r="RAD174" s="204"/>
      <c r="RAE174" s="204"/>
      <c r="RAF174" s="199"/>
      <c r="RAG174" s="167"/>
      <c r="RAH174" s="199"/>
      <c r="RAI174" s="200"/>
      <c r="RAJ174" s="201"/>
      <c r="RAK174" s="202"/>
      <c r="RAL174" s="202"/>
      <c r="RAM174" s="202"/>
      <c r="RAN174" s="202"/>
      <c r="RAO174" s="203"/>
      <c r="RAP174" s="204"/>
      <c r="RAQ174" s="204"/>
      <c r="RAR174" s="204"/>
      <c r="RAS174" s="205"/>
      <c r="RAT174" s="206"/>
      <c r="RAU174" s="207"/>
      <c r="RAV174" s="207"/>
      <c r="RAW174" s="208"/>
      <c r="RAX174" s="209"/>
      <c r="RAY174" s="207"/>
      <c r="RAZ174" s="210"/>
      <c r="RBA174" s="209"/>
      <c r="RBB174" s="204"/>
      <c r="RBC174" s="204"/>
      <c r="RBD174" s="204"/>
      <c r="RBE174" s="199"/>
      <c r="RBF174" s="167"/>
      <c r="RBG174" s="199"/>
      <c r="RBH174" s="200"/>
      <c r="RBI174" s="201"/>
      <c r="RBJ174" s="202"/>
      <c r="RBK174" s="202"/>
      <c r="RBL174" s="202"/>
      <c r="RBM174" s="202"/>
      <c r="RBN174" s="203"/>
      <c r="RBO174" s="204"/>
      <c r="RBP174" s="204"/>
      <c r="RBQ174" s="204"/>
      <c r="RBR174" s="205"/>
      <c r="RBS174" s="206"/>
      <c r="RBT174" s="207"/>
      <c r="RBU174" s="207"/>
      <c r="RBV174" s="208"/>
      <c r="RBW174" s="209"/>
      <c r="RBX174" s="207"/>
      <c r="RBY174" s="210"/>
      <c r="RBZ174" s="209"/>
      <c r="RCA174" s="204"/>
      <c r="RCB174" s="204"/>
      <c r="RCC174" s="204"/>
      <c r="RCD174" s="199"/>
      <c r="RCE174" s="167"/>
      <c r="RCF174" s="199"/>
      <c r="RCG174" s="200"/>
      <c r="RCH174" s="201"/>
      <c r="RCI174" s="202"/>
      <c r="RCJ174" s="202"/>
      <c r="RCK174" s="202"/>
      <c r="RCL174" s="202"/>
      <c r="RCM174" s="203"/>
      <c r="RCN174" s="204"/>
      <c r="RCO174" s="204"/>
      <c r="RCP174" s="204"/>
      <c r="RCQ174" s="205"/>
      <c r="RCR174" s="206"/>
      <c r="RCS174" s="207"/>
      <c r="RCT174" s="207"/>
      <c r="RCU174" s="208"/>
      <c r="RCV174" s="209"/>
      <c r="RCW174" s="207"/>
      <c r="RCX174" s="210"/>
      <c r="RCY174" s="209"/>
      <c r="RCZ174" s="204"/>
      <c r="RDA174" s="204"/>
      <c r="RDB174" s="204"/>
      <c r="RDC174" s="199"/>
      <c r="RDD174" s="167"/>
      <c r="RDE174" s="199"/>
      <c r="RDF174" s="200"/>
      <c r="RDG174" s="201"/>
      <c r="RDH174" s="202"/>
      <c r="RDI174" s="202"/>
      <c r="RDJ174" s="202"/>
      <c r="RDK174" s="202"/>
      <c r="RDL174" s="203"/>
      <c r="RDM174" s="204"/>
      <c r="RDN174" s="204"/>
      <c r="RDO174" s="204"/>
      <c r="RDP174" s="205"/>
      <c r="RDQ174" s="206"/>
      <c r="RDR174" s="207"/>
      <c r="RDS174" s="207"/>
      <c r="RDT174" s="208"/>
      <c r="RDU174" s="209"/>
      <c r="RDV174" s="207"/>
      <c r="RDW174" s="210"/>
      <c r="RDX174" s="209"/>
      <c r="RDY174" s="204"/>
      <c r="RDZ174" s="204"/>
      <c r="REA174" s="204"/>
      <c r="REB174" s="199"/>
      <c r="REC174" s="167"/>
      <c r="RED174" s="199"/>
      <c r="REE174" s="200"/>
      <c r="REF174" s="201"/>
      <c r="REG174" s="202"/>
      <c r="REH174" s="202"/>
      <c r="REI174" s="202"/>
      <c r="REJ174" s="202"/>
      <c r="REK174" s="203"/>
      <c r="REL174" s="204"/>
      <c r="REM174" s="204"/>
      <c r="REN174" s="204"/>
      <c r="REO174" s="205"/>
      <c r="REP174" s="206"/>
      <c r="REQ174" s="207"/>
      <c r="RER174" s="207"/>
      <c r="RES174" s="208"/>
      <c r="RET174" s="209"/>
      <c r="REU174" s="207"/>
      <c r="REV174" s="210"/>
      <c r="REW174" s="209"/>
      <c r="REX174" s="204"/>
      <c r="REY174" s="204"/>
      <c r="REZ174" s="204"/>
      <c r="RFA174" s="199"/>
      <c r="RFB174" s="167"/>
      <c r="RFC174" s="199"/>
      <c r="RFD174" s="200"/>
      <c r="RFE174" s="201"/>
      <c r="RFF174" s="202"/>
      <c r="RFG174" s="202"/>
      <c r="RFH174" s="202"/>
      <c r="RFI174" s="202"/>
      <c r="RFJ174" s="203"/>
      <c r="RFK174" s="204"/>
      <c r="RFL174" s="204"/>
      <c r="RFM174" s="204"/>
      <c r="RFN174" s="205"/>
      <c r="RFO174" s="206"/>
      <c r="RFP174" s="207"/>
      <c r="RFQ174" s="207"/>
      <c r="RFR174" s="208"/>
      <c r="RFS174" s="209"/>
      <c r="RFT174" s="207"/>
      <c r="RFU174" s="210"/>
      <c r="RFV174" s="209"/>
      <c r="RFW174" s="204"/>
      <c r="RFX174" s="204"/>
      <c r="RFY174" s="204"/>
      <c r="RFZ174" s="199"/>
      <c r="RGA174" s="167"/>
      <c r="RGB174" s="199"/>
      <c r="RGC174" s="200"/>
      <c r="RGD174" s="201"/>
      <c r="RGE174" s="202"/>
      <c r="RGF174" s="202"/>
      <c r="RGG174" s="202"/>
      <c r="RGH174" s="202"/>
      <c r="RGI174" s="203"/>
      <c r="RGJ174" s="204"/>
      <c r="RGK174" s="204"/>
      <c r="RGL174" s="204"/>
      <c r="RGM174" s="205"/>
      <c r="RGN174" s="206"/>
      <c r="RGO174" s="207"/>
      <c r="RGP174" s="207"/>
      <c r="RGQ174" s="208"/>
      <c r="RGR174" s="209"/>
      <c r="RGS174" s="207"/>
      <c r="RGT174" s="210"/>
      <c r="RGU174" s="209"/>
      <c r="RGV174" s="204"/>
      <c r="RGW174" s="204"/>
      <c r="RGX174" s="204"/>
      <c r="RGY174" s="199"/>
      <c r="RGZ174" s="167"/>
      <c r="RHA174" s="199"/>
      <c r="RHB174" s="200"/>
      <c r="RHC174" s="201"/>
      <c r="RHD174" s="202"/>
      <c r="RHE174" s="202"/>
      <c r="RHF174" s="202"/>
      <c r="RHG174" s="202"/>
      <c r="RHH174" s="203"/>
      <c r="RHI174" s="204"/>
      <c r="RHJ174" s="204"/>
      <c r="RHK174" s="204"/>
      <c r="RHL174" s="205"/>
      <c r="RHM174" s="206"/>
      <c r="RHN174" s="207"/>
      <c r="RHO174" s="207"/>
      <c r="RHP174" s="208"/>
      <c r="RHQ174" s="209"/>
      <c r="RHR174" s="207"/>
      <c r="RHS174" s="210"/>
      <c r="RHT174" s="209"/>
      <c r="RHU174" s="204"/>
      <c r="RHV174" s="204"/>
      <c r="RHW174" s="204"/>
      <c r="RHX174" s="199"/>
      <c r="RHY174" s="167"/>
      <c r="RHZ174" s="199"/>
      <c r="RIA174" s="200"/>
      <c r="RIB174" s="201"/>
      <c r="RIC174" s="202"/>
      <c r="RID174" s="202"/>
      <c r="RIE174" s="202"/>
      <c r="RIF174" s="202"/>
      <c r="RIG174" s="203"/>
      <c r="RIH174" s="204"/>
      <c r="RII174" s="204"/>
      <c r="RIJ174" s="204"/>
      <c r="RIK174" s="205"/>
      <c r="RIL174" s="206"/>
      <c r="RIM174" s="207"/>
      <c r="RIN174" s="207"/>
      <c r="RIO174" s="208"/>
      <c r="RIP174" s="209"/>
      <c r="RIQ174" s="207"/>
      <c r="RIR174" s="210"/>
      <c r="RIS174" s="209"/>
      <c r="RIT174" s="204"/>
      <c r="RIU174" s="204"/>
      <c r="RIV174" s="204"/>
      <c r="RIW174" s="199"/>
      <c r="RIX174" s="167"/>
      <c r="RIY174" s="199"/>
      <c r="RIZ174" s="200"/>
      <c r="RJA174" s="201"/>
      <c r="RJB174" s="202"/>
      <c r="RJC174" s="202"/>
      <c r="RJD174" s="202"/>
      <c r="RJE174" s="202"/>
      <c r="RJF174" s="203"/>
      <c r="RJG174" s="204"/>
      <c r="RJH174" s="204"/>
      <c r="RJI174" s="204"/>
      <c r="RJJ174" s="205"/>
      <c r="RJK174" s="206"/>
      <c r="RJL174" s="207"/>
      <c r="RJM174" s="207"/>
      <c r="RJN174" s="208"/>
      <c r="RJO174" s="209"/>
      <c r="RJP174" s="207"/>
      <c r="RJQ174" s="210"/>
      <c r="RJR174" s="209"/>
      <c r="RJS174" s="204"/>
      <c r="RJT174" s="204"/>
      <c r="RJU174" s="204"/>
      <c r="RJV174" s="199"/>
      <c r="RJW174" s="167"/>
      <c r="RJX174" s="199"/>
      <c r="RJY174" s="200"/>
      <c r="RJZ174" s="201"/>
      <c r="RKA174" s="202"/>
      <c r="RKB174" s="202"/>
      <c r="RKC174" s="202"/>
      <c r="RKD174" s="202"/>
      <c r="RKE174" s="203"/>
      <c r="RKF174" s="204"/>
      <c r="RKG174" s="204"/>
      <c r="RKH174" s="204"/>
      <c r="RKI174" s="205"/>
      <c r="RKJ174" s="206"/>
      <c r="RKK174" s="207"/>
      <c r="RKL174" s="207"/>
      <c r="RKM174" s="208"/>
      <c r="RKN174" s="209"/>
      <c r="RKO174" s="207"/>
      <c r="RKP174" s="210"/>
      <c r="RKQ174" s="209"/>
      <c r="RKR174" s="204"/>
      <c r="RKS174" s="204"/>
      <c r="RKT174" s="204"/>
      <c r="RKU174" s="199"/>
      <c r="RKV174" s="167"/>
      <c r="RKW174" s="199"/>
      <c r="RKX174" s="200"/>
      <c r="RKY174" s="201"/>
      <c r="RKZ174" s="202"/>
      <c r="RLA174" s="202"/>
      <c r="RLB174" s="202"/>
      <c r="RLC174" s="202"/>
      <c r="RLD174" s="203"/>
      <c r="RLE174" s="204"/>
      <c r="RLF174" s="204"/>
      <c r="RLG174" s="204"/>
      <c r="RLH174" s="205"/>
      <c r="RLI174" s="206"/>
      <c r="RLJ174" s="207"/>
      <c r="RLK174" s="207"/>
      <c r="RLL174" s="208"/>
      <c r="RLM174" s="209"/>
      <c r="RLN174" s="207"/>
      <c r="RLO174" s="210"/>
      <c r="RLP174" s="209"/>
      <c r="RLQ174" s="204"/>
      <c r="RLR174" s="204"/>
      <c r="RLS174" s="204"/>
      <c r="RLT174" s="199"/>
      <c r="RLU174" s="167"/>
      <c r="RLV174" s="199"/>
      <c r="RLW174" s="200"/>
      <c r="RLX174" s="201"/>
      <c r="RLY174" s="202"/>
      <c r="RLZ174" s="202"/>
      <c r="RMA174" s="202"/>
      <c r="RMB174" s="202"/>
      <c r="RMC174" s="203"/>
      <c r="RMD174" s="204"/>
      <c r="RME174" s="204"/>
      <c r="RMF174" s="204"/>
      <c r="RMG174" s="205"/>
      <c r="RMH174" s="206"/>
      <c r="RMI174" s="207"/>
      <c r="RMJ174" s="207"/>
      <c r="RMK174" s="208"/>
      <c r="RML174" s="209"/>
      <c r="RMM174" s="207"/>
      <c r="RMN174" s="210"/>
      <c r="RMO174" s="209"/>
      <c r="RMP174" s="204"/>
      <c r="RMQ174" s="204"/>
      <c r="RMR174" s="204"/>
      <c r="RMS174" s="199"/>
      <c r="RMT174" s="167"/>
      <c r="RMU174" s="199"/>
      <c r="RMV174" s="200"/>
      <c r="RMW174" s="201"/>
      <c r="RMX174" s="202"/>
      <c r="RMY174" s="202"/>
      <c r="RMZ174" s="202"/>
      <c r="RNA174" s="202"/>
      <c r="RNB174" s="203"/>
      <c r="RNC174" s="204"/>
      <c r="RND174" s="204"/>
      <c r="RNE174" s="204"/>
      <c r="RNF174" s="205"/>
      <c r="RNG174" s="206"/>
      <c r="RNH174" s="207"/>
      <c r="RNI174" s="207"/>
      <c r="RNJ174" s="208"/>
      <c r="RNK174" s="209"/>
      <c r="RNL174" s="207"/>
      <c r="RNM174" s="210"/>
      <c r="RNN174" s="209"/>
      <c r="RNO174" s="204"/>
      <c r="RNP174" s="204"/>
      <c r="RNQ174" s="204"/>
      <c r="RNR174" s="199"/>
      <c r="RNS174" s="167"/>
      <c r="RNT174" s="199"/>
      <c r="RNU174" s="200"/>
      <c r="RNV174" s="201"/>
      <c r="RNW174" s="202"/>
      <c r="RNX174" s="202"/>
      <c r="RNY174" s="202"/>
      <c r="RNZ174" s="202"/>
      <c r="ROA174" s="203"/>
      <c r="ROB174" s="204"/>
      <c r="ROC174" s="204"/>
      <c r="ROD174" s="204"/>
      <c r="ROE174" s="205"/>
      <c r="ROF174" s="206"/>
      <c r="ROG174" s="207"/>
      <c r="ROH174" s="207"/>
      <c r="ROI174" s="208"/>
      <c r="ROJ174" s="209"/>
      <c r="ROK174" s="207"/>
      <c r="ROL174" s="210"/>
      <c r="ROM174" s="209"/>
      <c r="RON174" s="204"/>
      <c r="ROO174" s="204"/>
      <c r="ROP174" s="204"/>
      <c r="ROQ174" s="199"/>
      <c r="ROR174" s="167"/>
      <c r="ROS174" s="199"/>
      <c r="ROT174" s="200"/>
      <c r="ROU174" s="201"/>
      <c r="ROV174" s="202"/>
      <c r="ROW174" s="202"/>
      <c r="ROX174" s="202"/>
      <c r="ROY174" s="202"/>
      <c r="ROZ174" s="203"/>
      <c r="RPA174" s="204"/>
      <c r="RPB174" s="204"/>
      <c r="RPC174" s="204"/>
      <c r="RPD174" s="205"/>
      <c r="RPE174" s="206"/>
      <c r="RPF174" s="207"/>
      <c r="RPG174" s="207"/>
      <c r="RPH174" s="208"/>
      <c r="RPI174" s="209"/>
      <c r="RPJ174" s="207"/>
      <c r="RPK174" s="210"/>
      <c r="RPL174" s="209"/>
      <c r="RPM174" s="204"/>
      <c r="RPN174" s="204"/>
      <c r="RPO174" s="204"/>
      <c r="RPP174" s="199"/>
      <c r="RPQ174" s="167"/>
      <c r="RPR174" s="199"/>
      <c r="RPS174" s="200"/>
      <c r="RPT174" s="201"/>
      <c r="RPU174" s="202"/>
      <c r="RPV174" s="202"/>
      <c r="RPW174" s="202"/>
      <c r="RPX174" s="202"/>
      <c r="RPY174" s="203"/>
      <c r="RPZ174" s="204"/>
      <c r="RQA174" s="204"/>
      <c r="RQB174" s="204"/>
      <c r="RQC174" s="205"/>
      <c r="RQD174" s="206"/>
      <c r="RQE174" s="207"/>
      <c r="RQF174" s="207"/>
      <c r="RQG174" s="208"/>
      <c r="RQH174" s="209"/>
      <c r="RQI174" s="207"/>
      <c r="RQJ174" s="210"/>
      <c r="RQK174" s="209"/>
      <c r="RQL174" s="204"/>
      <c r="RQM174" s="204"/>
      <c r="RQN174" s="204"/>
      <c r="RQO174" s="199"/>
      <c r="RQP174" s="167"/>
      <c r="RQQ174" s="199"/>
      <c r="RQR174" s="200"/>
      <c r="RQS174" s="201"/>
      <c r="RQT174" s="202"/>
      <c r="RQU174" s="202"/>
      <c r="RQV174" s="202"/>
      <c r="RQW174" s="202"/>
      <c r="RQX174" s="203"/>
      <c r="RQY174" s="204"/>
      <c r="RQZ174" s="204"/>
      <c r="RRA174" s="204"/>
      <c r="RRB174" s="205"/>
      <c r="RRC174" s="206"/>
      <c r="RRD174" s="207"/>
      <c r="RRE174" s="207"/>
      <c r="RRF174" s="208"/>
      <c r="RRG174" s="209"/>
      <c r="RRH174" s="207"/>
      <c r="RRI174" s="210"/>
      <c r="RRJ174" s="209"/>
      <c r="RRK174" s="204"/>
      <c r="RRL174" s="204"/>
      <c r="RRM174" s="204"/>
      <c r="RRN174" s="199"/>
      <c r="RRO174" s="167"/>
      <c r="RRP174" s="199"/>
      <c r="RRQ174" s="200"/>
      <c r="RRR174" s="201"/>
      <c r="RRS174" s="202"/>
      <c r="RRT174" s="202"/>
      <c r="RRU174" s="202"/>
      <c r="RRV174" s="202"/>
      <c r="RRW174" s="203"/>
      <c r="RRX174" s="204"/>
      <c r="RRY174" s="204"/>
      <c r="RRZ174" s="204"/>
      <c r="RSA174" s="205"/>
      <c r="RSB174" s="206"/>
      <c r="RSC174" s="207"/>
      <c r="RSD174" s="207"/>
      <c r="RSE174" s="208"/>
      <c r="RSF174" s="209"/>
      <c r="RSG174" s="207"/>
      <c r="RSH174" s="210"/>
      <c r="RSI174" s="209"/>
      <c r="RSJ174" s="204"/>
      <c r="RSK174" s="204"/>
      <c r="RSL174" s="204"/>
      <c r="RSM174" s="199"/>
      <c r="RSN174" s="167"/>
      <c r="RSO174" s="199"/>
      <c r="RSP174" s="200"/>
      <c r="RSQ174" s="201"/>
      <c r="RSR174" s="202"/>
      <c r="RSS174" s="202"/>
      <c r="RST174" s="202"/>
      <c r="RSU174" s="202"/>
      <c r="RSV174" s="203"/>
      <c r="RSW174" s="204"/>
      <c r="RSX174" s="204"/>
      <c r="RSY174" s="204"/>
      <c r="RSZ174" s="205"/>
      <c r="RTA174" s="206"/>
      <c r="RTB174" s="207"/>
      <c r="RTC174" s="207"/>
      <c r="RTD174" s="208"/>
      <c r="RTE174" s="209"/>
      <c r="RTF174" s="207"/>
      <c r="RTG174" s="210"/>
      <c r="RTH174" s="209"/>
      <c r="RTI174" s="204"/>
      <c r="RTJ174" s="204"/>
      <c r="RTK174" s="204"/>
      <c r="RTL174" s="199"/>
      <c r="RTM174" s="167"/>
      <c r="RTN174" s="199"/>
      <c r="RTO174" s="200"/>
      <c r="RTP174" s="201"/>
      <c r="RTQ174" s="202"/>
      <c r="RTR174" s="202"/>
      <c r="RTS174" s="202"/>
      <c r="RTT174" s="202"/>
      <c r="RTU174" s="203"/>
      <c r="RTV174" s="204"/>
      <c r="RTW174" s="204"/>
      <c r="RTX174" s="204"/>
      <c r="RTY174" s="205"/>
      <c r="RTZ174" s="206"/>
      <c r="RUA174" s="207"/>
      <c r="RUB174" s="207"/>
      <c r="RUC174" s="208"/>
      <c r="RUD174" s="209"/>
      <c r="RUE174" s="207"/>
      <c r="RUF174" s="210"/>
      <c r="RUG174" s="209"/>
      <c r="RUH174" s="204"/>
      <c r="RUI174" s="204"/>
      <c r="RUJ174" s="204"/>
      <c r="RUK174" s="199"/>
      <c r="RUL174" s="167"/>
      <c r="RUM174" s="199"/>
      <c r="RUN174" s="200"/>
      <c r="RUO174" s="201"/>
      <c r="RUP174" s="202"/>
      <c r="RUQ174" s="202"/>
      <c r="RUR174" s="202"/>
      <c r="RUS174" s="202"/>
      <c r="RUT174" s="203"/>
      <c r="RUU174" s="204"/>
      <c r="RUV174" s="204"/>
      <c r="RUW174" s="204"/>
      <c r="RUX174" s="205"/>
      <c r="RUY174" s="206"/>
      <c r="RUZ174" s="207"/>
      <c r="RVA174" s="207"/>
      <c r="RVB174" s="208"/>
      <c r="RVC174" s="209"/>
      <c r="RVD174" s="207"/>
      <c r="RVE174" s="210"/>
      <c r="RVF174" s="209"/>
      <c r="RVG174" s="204"/>
      <c r="RVH174" s="204"/>
      <c r="RVI174" s="204"/>
      <c r="RVJ174" s="199"/>
      <c r="RVK174" s="167"/>
      <c r="RVL174" s="199"/>
      <c r="RVM174" s="200"/>
      <c r="RVN174" s="201"/>
      <c r="RVO174" s="202"/>
      <c r="RVP174" s="202"/>
      <c r="RVQ174" s="202"/>
      <c r="RVR174" s="202"/>
      <c r="RVS174" s="203"/>
      <c r="RVT174" s="204"/>
      <c r="RVU174" s="204"/>
      <c r="RVV174" s="204"/>
      <c r="RVW174" s="205"/>
      <c r="RVX174" s="206"/>
      <c r="RVY174" s="207"/>
      <c r="RVZ174" s="207"/>
      <c r="RWA174" s="208"/>
      <c r="RWB174" s="209"/>
      <c r="RWC174" s="207"/>
      <c r="RWD174" s="210"/>
      <c r="RWE174" s="209"/>
      <c r="RWF174" s="204"/>
      <c r="RWG174" s="204"/>
      <c r="RWH174" s="204"/>
      <c r="RWI174" s="199"/>
      <c r="RWJ174" s="167"/>
      <c r="RWK174" s="199"/>
      <c r="RWL174" s="200"/>
      <c r="RWM174" s="201"/>
      <c r="RWN174" s="202"/>
      <c r="RWO174" s="202"/>
      <c r="RWP174" s="202"/>
      <c r="RWQ174" s="202"/>
      <c r="RWR174" s="203"/>
      <c r="RWS174" s="204"/>
      <c r="RWT174" s="204"/>
      <c r="RWU174" s="204"/>
      <c r="RWV174" s="205"/>
      <c r="RWW174" s="206"/>
      <c r="RWX174" s="207"/>
      <c r="RWY174" s="207"/>
      <c r="RWZ174" s="208"/>
      <c r="RXA174" s="209"/>
      <c r="RXB174" s="207"/>
      <c r="RXC174" s="210"/>
      <c r="RXD174" s="209"/>
      <c r="RXE174" s="204"/>
      <c r="RXF174" s="204"/>
      <c r="RXG174" s="204"/>
      <c r="RXH174" s="199"/>
      <c r="RXI174" s="167"/>
      <c r="RXJ174" s="199"/>
      <c r="RXK174" s="200"/>
      <c r="RXL174" s="201"/>
      <c r="RXM174" s="202"/>
      <c r="RXN174" s="202"/>
      <c r="RXO174" s="202"/>
      <c r="RXP174" s="202"/>
      <c r="RXQ174" s="203"/>
      <c r="RXR174" s="204"/>
      <c r="RXS174" s="204"/>
      <c r="RXT174" s="204"/>
      <c r="RXU174" s="205"/>
      <c r="RXV174" s="206"/>
      <c r="RXW174" s="207"/>
      <c r="RXX174" s="207"/>
      <c r="RXY174" s="208"/>
      <c r="RXZ174" s="209"/>
      <c r="RYA174" s="207"/>
      <c r="RYB174" s="210"/>
      <c r="RYC174" s="209"/>
      <c r="RYD174" s="204"/>
      <c r="RYE174" s="204"/>
      <c r="RYF174" s="204"/>
      <c r="RYG174" s="199"/>
      <c r="RYH174" s="167"/>
      <c r="RYI174" s="199"/>
      <c r="RYJ174" s="200"/>
      <c r="RYK174" s="201"/>
      <c r="RYL174" s="202"/>
      <c r="RYM174" s="202"/>
      <c r="RYN174" s="202"/>
      <c r="RYO174" s="202"/>
      <c r="RYP174" s="203"/>
      <c r="RYQ174" s="204"/>
      <c r="RYR174" s="204"/>
      <c r="RYS174" s="204"/>
      <c r="RYT174" s="205"/>
      <c r="RYU174" s="206"/>
      <c r="RYV174" s="207"/>
      <c r="RYW174" s="207"/>
      <c r="RYX174" s="208"/>
      <c r="RYY174" s="209"/>
      <c r="RYZ174" s="207"/>
      <c r="RZA174" s="210"/>
      <c r="RZB174" s="209"/>
      <c r="RZC174" s="204"/>
      <c r="RZD174" s="204"/>
      <c r="RZE174" s="204"/>
      <c r="RZF174" s="199"/>
      <c r="RZG174" s="167"/>
      <c r="RZH174" s="199"/>
      <c r="RZI174" s="200"/>
      <c r="RZJ174" s="201"/>
      <c r="RZK174" s="202"/>
      <c r="RZL174" s="202"/>
      <c r="RZM174" s="202"/>
      <c r="RZN174" s="202"/>
      <c r="RZO174" s="203"/>
      <c r="RZP174" s="204"/>
      <c r="RZQ174" s="204"/>
      <c r="RZR174" s="204"/>
      <c r="RZS174" s="205"/>
      <c r="RZT174" s="206"/>
      <c r="RZU174" s="207"/>
      <c r="RZV174" s="207"/>
      <c r="RZW174" s="208"/>
      <c r="RZX174" s="209"/>
      <c r="RZY174" s="207"/>
      <c r="RZZ174" s="210"/>
      <c r="SAA174" s="209"/>
      <c r="SAB174" s="204"/>
      <c r="SAC174" s="204"/>
      <c r="SAD174" s="204"/>
      <c r="SAE174" s="199"/>
      <c r="SAF174" s="167"/>
      <c r="SAG174" s="199"/>
      <c r="SAH174" s="200"/>
      <c r="SAI174" s="201"/>
      <c r="SAJ174" s="202"/>
      <c r="SAK174" s="202"/>
      <c r="SAL174" s="202"/>
      <c r="SAM174" s="202"/>
      <c r="SAN174" s="203"/>
      <c r="SAO174" s="204"/>
      <c r="SAP174" s="204"/>
      <c r="SAQ174" s="204"/>
      <c r="SAR174" s="205"/>
      <c r="SAS174" s="206"/>
      <c r="SAT174" s="207"/>
      <c r="SAU174" s="207"/>
      <c r="SAV174" s="208"/>
      <c r="SAW174" s="209"/>
      <c r="SAX174" s="207"/>
      <c r="SAY174" s="210"/>
      <c r="SAZ174" s="209"/>
      <c r="SBA174" s="204"/>
      <c r="SBB174" s="204"/>
      <c r="SBC174" s="204"/>
      <c r="SBD174" s="199"/>
      <c r="SBE174" s="167"/>
      <c r="SBF174" s="199"/>
      <c r="SBG174" s="200"/>
      <c r="SBH174" s="201"/>
      <c r="SBI174" s="202"/>
      <c r="SBJ174" s="202"/>
      <c r="SBK174" s="202"/>
      <c r="SBL174" s="202"/>
      <c r="SBM174" s="203"/>
      <c r="SBN174" s="204"/>
      <c r="SBO174" s="204"/>
      <c r="SBP174" s="204"/>
      <c r="SBQ174" s="205"/>
      <c r="SBR174" s="206"/>
      <c r="SBS174" s="207"/>
      <c r="SBT174" s="207"/>
      <c r="SBU174" s="208"/>
      <c r="SBV174" s="209"/>
      <c r="SBW174" s="207"/>
      <c r="SBX174" s="210"/>
      <c r="SBY174" s="209"/>
      <c r="SBZ174" s="204"/>
      <c r="SCA174" s="204"/>
      <c r="SCB174" s="204"/>
      <c r="SCC174" s="199"/>
      <c r="SCD174" s="167"/>
      <c r="SCE174" s="199"/>
      <c r="SCF174" s="200"/>
      <c r="SCG174" s="201"/>
      <c r="SCH174" s="202"/>
      <c r="SCI174" s="202"/>
      <c r="SCJ174" s="202"/>
      <c r="SCK174" s="202"/>
      <c r="SCL174" s="203"/>
      <c r="SCM174" s="204"/>
      <c r="SCN174" s="204"/>
      <c r="SCO174" s="204"/>
      <c r="SCP174" s="205"/>
      <c r="SCQ174" s="206"/>
      <c r="SCR174" s="207"/>
      <c r="SCS174" s="207"/>
      <c r="SCT174" s="208"/>
      <c r="SCU174" s="209"/>
      <c r="SCV174" s="207"/>
      <c r="SCW174" s="210"/>
      <c r="SCX174" s="209"/>
      <c r="SCY174" s="204"/>
      <c r="SCZ174" s="204"/>
      <c r="SDA174" s="204"/>
      <c r="SDB174" s="199"/>
      <c r="SDC174" s="167"/>
      <c r="SDD174" s="199"/>
      <c r="SDE174" s="200"/>
      <c r="SDF174" s="201"/>
      <c r="SDG174" s="202"/>
      <c r="SDH174" s="202"/>
      <c r="SDI174" s="202"/>
      <c r="SDJ174" s="202"/>
      <c r="SDK174" s="203"/>
      <c r="SDL174" s="204"/>
      <c r="SDM174" s="204"/>
      <c r="SDN174" s="204"/>
      <c r="SDO174" s="205"/>
      <c r="SDP174" s="206"/>
      <c r="SDQ174" s="207"/>
      <c r="SDR174" s="207"/>
      <c r="SDS174" s="208"/>
      <c r="SDT174" s="209"/>
      <c r="SDU174" s="207"/>
      <c r="SDV174" s="210"/>
      <c r="SDW174" s="209"/>
      <c r="SDX174" s="204"/>
      <c r="SDY174" s="204"/>
      <c r="SDZ174" s="204"/>
      <c r="SEA174" s="199"/>
      <c r="SEB174" s="167"/>
      <c r="SEC174" s="199"/>
      <c r="SED174" s="200"/>
      <c r="SEE174" s="201"/>
      <c r="SEF174" s="202"/>
      <c r="SEG174" s="202"/>
      <c r="SEH174" s="202"/>
      <c r="SEI174" s="202"/>
      <c r="SEJ174" s="203"/>
      <c r="SEK174" s="204"/>
      <c r="SEL174" s="204"/>
      <c r="SEM174" s="204"/>
      <c r="SEN174" s="205"/>
      <c r="SEO174" s="206"/>
      <c r="SEP174" s="207"/>
      <c r="SEQ174" s="207"/>
      <c r="SER174" s="208"/>
      <c r="SES174" s="209"/>
      <c r="SET174" s="207"/>
      <c r="SEU174" s="210"/>
      <c r="SEV174" s="209"/>
      <c r="SEW174" s="204"/>
      <c r="SEX174" s="204"/>
      <c r="SEY174" s="204"/>
      <c r="SEZ174" s="199"/>
      <c r="SFA174" s="167"/>
      <c r="SFB174" s="199"/>
      <c r="SFC174" s="200"/>
      <c r="SFD174" s="201"/>
      <c r="SFE174" s="202"/>
      <c r="SFF174" s="202"/>
      <c r="SFG174" s="202"/>
      <c r="SFH174" s="202"/>
      <c r="SFI174" s="203"/>
      <c r="SFJ174" s="204"/>
      <c r="SFK174" s="204"/>
      <c r="SFL174" s="204"/>
      <c r="SFM174" s="205"/>
      <c r="SFN174" s="206"/>
      <c r="SFO174" s="207"/>
      <c r="SFP174" s="207"/>
      <c r="SFQ174" s="208"/>
      <c r="SFR174" s="209"/>
      <c r="SFS174" s="207"/>
      <c r="SFT174" s="210"/>
      <c r="SFU174" s="209"/>
      <c r="SFV174" s="204"/>
      <c r="SFW174" s="204"/>
      <c r="SFX174" s="204"/>
      <c r="SFY174" s="199"/>
      <c r="SFZ174" s="167"/>
      <c r="SGA174" s="199"/>
      <c r="SGB174" s="200"/>
      <c r="SGC174" s="201"/>
      <c r="SGD174" s="202"/>
      <c r="SGE174" s="202"/>
      <c r="SGF174" s="202"/>
      <c r="SGG174" s="202"/>
      <c r="SGH174" s="203"/>
      <c r="SGI174" s="204"/>
      <c r="SGJ174" s="204"/>
      <c r="SGK174" s="204"/>
      <c r="SGL174" s="205"/>
      <c r="SGM174" s="206"/>
      <c r="SGN174" s="207"/>
      <c r="SGO174" s="207"/>
      <c r="SGP174" s="208"/>
      <c r="SGQ174" s="209"/>
      <c r="SGR174" s="207"/>
      <c r="SGS174" s="210"/>
      <c r="SGT174" s="209"/>
      <c r="SGU174" s="204"/>
      <c r="SGV174" s="204"/>
      <c r="SGW174" s="204"/>
      <c r="SGX174" s="199"/>
      <c r="SGY174" s="167"/>
      <c r="SGZ174" s="199"/>
      <c r="SHA174" s="200"/>
      <c r="SHB174" s="201"/>
      <c r="SHC174" s="202"/>
      <c r="SHD174" s="202"/>
      <c r="SHE174" s="202"/>
      <c r="SHF174" s="202"/>
      <c r="SHG174" s="203"/>
      <c r="SHH174" s="204"/>
      <c r="SHI174" s="204"/>
      <c r="SHJ174" s="204"/>
      <c r="SHK174" s="205"/>
      <c r="SHL174" s="206"/>
      <c r="SHM174" s="207"/>
      <c r="SHN174" s="207"/>
      <c r="SHO174" s="208"/>
      <c r="SHP174" s="209"/>
      <c r="SHQ174" s="207"/>
      <c r="SHR174" s="210"/>
      <c r="SHS174" s="209"/>
      <c r="SHT174" s="204"/>
      <c r="SHU174" s="204"/>
      <c r="SHV174" s="204"/>
      <c r="SHW174" s="199"/>
      <c r="SHX174" s="167"/>
      <c r="SHY174" s="199"/>
      <c r="SHZ174" s="200"/>
      <c r="SIA174" s="201"/>
      <c r="SIB174" s="202"/>
      <c r="SIC174" s="202"/>
      <c r="SID174" s="202"/>
      <c r="SIE174" s="202"/>
      <c r="SIF174" s="203"/>
      <c r="SIG174" s="204"/>
      <c r="SIH174" s="204"/>
      <c r="SII174" s="204"/>
      <c r="SIJ174" s="205"/>
      <c r="SIK174" s="206"/>
      <c r="SIL174" s="207"/>
      <c r="SIM174" s="207"/>
      <c r="SIN174" s="208"/>
      <c r="SIO174" s="209"/>
      <c r="SIP174" s="207"/>
      <c r="SIQ174" s="210"/>
      <c r="SIR174" s="209"/>
      <c r="SIS174" s="204"/>
      <c r="SIT174" s="204"/>
      <c r="SIU174" s="204"/>
      <c r="SIV174" s="199"/>
      <c r="SIW174" s="167"/>
      <c r="SIX174" s="199"/>
      <c r="SIY174" s="200"/>
      <c r="SIZ174" s="201"/>
      <c r="SJA174" s="202"/>
      <c r="SJB174" s="202"/>
      <c r="SJC174" s="202"/>
      <c r="SJD174" s="202"/>
      <c r="SJE174" s="203"/>
      <c r="SJF174" s="204"/>
      <c r="SJG174" s="204"/>
      <c r="SJH174" s="204"/>
      <c r="SJI174" s="205"/>
      <c r="SJJ174" s="206"/>
      <c r="SJK174" s="207"/>
      <c r="SJL174" s="207"/>
      <c r="SJM174" s="208"/>
      <c r="SJN174" s="209"/>
      <c r="SJO174" s="207"/>
      <c r="SJP174" s="210"/>
      <c r="SJQ174" s="209"/>
      <c r="SJR174" s="204"/>
      <c r="SJS174" s="204"/>
      <c r="SJT174" s="204"/>
      <c r="SJU174" s="199"/>
      <c r="SJV174" s="167"/>
      <c r="SJW174" s="199"/>
      <c r="SJX174" s="200"/>
      <c r="SJY174" s="201"/>
      <c r="SJZ174" s="202"/>
      <c r="SKA174" s="202"/>
      <c r="SKB174" s="202"/>
      <c r="SKC174" s="202"/>
      <c r="SKD174" s="203"/>
      <c r="SKE174" s="204"/>
      <c r="SKF174" s="204"/>
      <c r="SKG174" s="204"/>
      <c r="SKH174" s="205"/>
      <c r="SKI174" s="206"/>
      <c r="SKJ174" s="207"/>
      <c r="SKK174" s="207"/>
      <c r="SKL174" s="208"/>
      <c r="SKM174" s="209"/>
      <c r="SKN174" s="207"/>
      <c r="SKO174" s="210"/>
      <c r="SKP174" s="209"/>
      <c r="SKQ174" s="204"/>
      <c r="SKR174" s="204"/>
      <c r="SKS174" s="204"/>
      <c r="SKT174" s="199"/>
      <c r="SKU174" s="167"/>
      <c r="SKV174" s="199"/>
      <c r="SKW174" s="200"/>
      <c r="SKX174" s="201"/>
      <c r="SKY174" s="202"/>
      <c r="SKZ174" s="202"/>
      <c r="SLA174" s="202"/>
      <c r="SLB174" s="202"/>
      <c r="SLC174" s="203"/>
      <c r="SLD174" s="204"/>
      <c r="SLE174" s="204"/>
      <c r="SLF174" s="204"/>
      <c r="SLG174" s="205"/>
      <c r="SLH174" s="206"/>
      <c r="SLI174" s="207"/>
      <c r="SLJ174" s="207"/>
      <c r="SLK174" s="208"/>
      <c r="SLL174" s="209"/>
      <c r="SLM174" s="207"/>
      <c r="SLN174" s="210"/>
      <c r="SLO174" s="209"/>
      <c r="SLP174" s="204"/>
      <c r="SLQ174" s="204"/>
      <c r="SLR174" s="204"/>
      <c r="SLS174" s="199"/>
      <c r="SLT174" s="167"/>
      <c r="SLU174" s="199"/>
      <c r="SLV174" s="200"/>
      <c r="SLW174" s="201"/>
      <c r="SLX174" s="202"/>
      <c r="SLY174" s="202"/>
      <c r="SLZ174" s="202"/>
      <c r="SMA174" s="202"/>
      <c r="SMB174" s="203"/>
      <c r="SMC174" s="204"/>
      <c r="SMD174" s="204"/>
      <c r="SME174" s="204"/>
      <c r="SMF174" s="205"/>
      <c r="SMG174" s="206"/>
      <c r="SMH174" s="207"/>
      <c r="SMI174" s="207"/>
      <c r="SMJ174" s="208"/>
      <c r="SMK174" s="209"/>
      <c r="SML174" s="207"/>
      <c r="SMM174" s="210"/>
      <c r="SMN174" s="209"/>
      <c r="SMO174" s="204"/>
      <c r="SMP174" s="204"/>
      <c r="SMQ174" s="204"/>
      <c r="SMR174" s="199"/>
      <c r="SMS174" s="167"/>
      <c r="SMT174" s="199"/>
      <c r="SMU174" s="200"/>
      <c r="SMV174" s="201"/>
      <c r="SMW174" s="202"/>
      <c r="SMX174" s="202"/>
      <c r="SMY174" s="202"/>
      <c r="SMZ174" s="202"/>
      <c r="SNA174" s="203"/>
      <c r="SNB174" s="204"/>
      <c r="SNC174" s="204"/>
      <c r="SND174" s="204"/>
      <c r="SNE174" s="205"/>
      <c r="SNF174" s="206"/>
      <c r="SNG174" s="207"/>
      <c r="SNH174" s="207"/>
      <c r="SNI174" s="208"/>
      <c r="SNJ174" s="209"/>
      <c r="SNK174" s="207"/>
      <c r="SNL174" s="210"/>
      <c r="SNM174" s="209"/>
      <c r="SNN174" s="204"/>
      <c r="SNO174" s="204"/>
      <c r="SNP174" s="204"/>
      <c r="SNQ174" s="199"/>
      <c r="SNR174" s="167"/>
      <c r="SNS174" s="199"/>
      <c r="SNT174" s="200"/>
      <c r="SNU174" s="201"/>
      <c r="SNV174" s="202"/>
      <c r="SNW174" s="202"/>
      <c r="SNX174" s="202"/>
      <c r="SNY174" s="202"/>
      <c r="SNZ174" s="203"/>
      <c r="SOA174" s="204"/>
      <c r="SOB174" s="204"/>
      <c r="SOC174" s="204"/>
      <c r="SOD174" s="205"/>
      <c r="SOE174" s="206"/>
      <c r="SOF174" s="207"/>
      <c r="SOG174" s="207"/>
      <c r="SOH174" s="208"/>
      <c r="SOI174" s="209"/>
      <c r="SOJ174" s="207"/>
      <c r="SOK174" s="210"/>
      <c r="SOL174" s="209"/>
      <c r="SOM174" s="204"/>
      <c r="SON174" s="204"/>
      <c r="SOO174" s="204"/>
      <c r="SOP174" s="199"/>
      <c r="SOQ174" s="167"/>
      <c r="SOR174" s="199"/>
      <c r="SOS174" s="200"/>
      <c r="SOT174" s="201"/>
      <c r="SOU174" s="202"/>
      <c r="SOV174" s="202"/>
      <c r="SOW174" s="202"/>
      <c r="SOX174" s="202"/>
      <c r="SOY174" s="203"/>
      <c r="SOZ174" s="204"/>
      <c r="SPA174" s="204"/>
      <c r="SPB174" s="204"/>
      <c r="SPC174" s="205"/>
      <c r="SPD174" s="206"/>
      <c r="SPE174" s="207"/>
      <c r="SPF174" s="207"/>
      <c r="SPG174" s="208"/>
      <c r="SPH174" s="209"/>
      <c r="SPI174" s="207"/>
      <c r="SPJ174" s="210"/>
      <c r="SPK174" s="209"/>
      <c r="SPL174" s="204"/>
      <c r="SPM174" s="204"/>
      <c r="SPN174" s="204"/>
      <c r="SPO174" s="199"/>
      <c r="SPP174" s="167"/>
      <c r="SPQ174" s="199"/>
      <c r="SPR174" s="200"/>
      <c r="SPS174" s="201"/>
      <c r="SPT174" s="202"/>
      <c r="SPU174" s="202"/>
      <c r="SPV174" s="202"/>
      <c r="SPW174" s="202"/>
      <c r="SPX174" s="203"/>
      <c r="SPY174" s="204"/>
      <c r="SPZ174" s="204"/>
      <c r="SQA174" s="204"/>
      <c r="SQB174" s="205"/>
      <c r="SQC174" s="206"/>
      <c r="SQD174" s="207"/>
      <c r="SQE174" s="207"/>
      <c r="SQF174" s="208"/>
      <c r="SQG174" s="209"/>
      <c r="SQH174" s="207"/>
      <c r="SQI174" s="210"/>
      <c r="SQJ174" s="209"/>
      <c r="SQK174" s="204"/>
      <c r="SQL174" s="204"/>
      <c r="SQM174" s="204"/>
      <c r="SQN174" s="199"/>
      <c r="SQO174" s="167"/>
      <c r="SQP174" s="199"/>
      <c r="SQQ174" s="200"/>
      <c r="SQR174" s="201"/>
      <c r="SQS174" s="202"/>
      <c r="SQT174" s="202"/>
      <c r="SQU174" s="202"/>
      <c r="SQV174" s="202"/>
      <c r="SQW174" s="203"/>
      <c r="SQX174" s="204"/>
      <c r="SQY174" s="204"/>
      <c r="SQZ174" s="204"/>
      <c r="SRA174" s="205"/>
      <c r="SRB174" s="206"/>
      <c r="SRC174" s="207"/>
      <c r="SRD174" s="207"/>
      <c r="SRE174" s="208"/>
      <c r="SRF174" s="209"/>
      <c r="SRG174" s="207"/>
      <c r="SRH174" s="210"/>
      <c r="SRI174" s="209"/>
      <c r="SRJ174" s="204"/>
      <c r="SRK174" s="204"/>
      <c r="SRL174" s="204"/>
      <c r="SRM174" s="199"/>
      <c r="SRN174" s="167"/>
      <c r="SRO174" s="199"/>
      <c r="SRP174" s="200"/>
      <c r="SRQ174" s="201"/>
      <c r="SRR174" s="202"/>
      <c r="SRS174" s="202"/>
      <c r="SRT174" s="202"/>
      <c r="SRU174" s="202"/>
      <c r="SRV174" s="203"/>
      <c r="SRW174" s="204"/>
      <c r="SRX174" s="204"/>
      <c r="SRY174" s="204"/>
      <c r="SRZ174" s="205"/>
      <c r="SSA174" s="206"/>
      <c r="SSB174" s="207"/>
      <c r="SSC174" s="207"/>
      <c r="SSD174" s="208"/>
      <c r="SSE174" s="209"/>
      <c r="SSF174" s="207"/>
      <c r="SSG174" s="210"/>
      <c r="SSH174" s="209"/>
      <c r="SSI174" s="204"/>
      <c r="SSJ174" s="204"/>
      <c r="SSK174" s="204"/>
      <c r="SSL174" s="199"/>
      <c r="SSM174" s="167"/>
      <c r="SSN174" s="199"/>
      <c r="SSO174" s="200"/>
      <c r="SSP174" s="201"/>
      <c r="SSQ174" s="202"/>
      <c r="SSR174" s="202"/>
      <c r="SSS174" s="202"/>
      <c r="SST174" s="202"/>
      <c r="SSU174" s="203"/>
      <c r="SSV174" s="204"/>
      <c r="SSW174" s="204"/>
      <c r="SSX174" s="204"/>
      <c r="SSY174" s="205"/>
      <c r="SSZ174" s="206"/>
      <c r="STA174" s="207"/>
      <c r="STB174" s="207"/>
      <c r="STC174" s="208"/>
      <c r="STD174" s="209"/>
      <c r="STE174" s="207"/>
      <c r="STF174" s="210"/>
      <c r="STG174" s="209"/>
      <c r="STH174" s="204"/>
      <c r="STI174" s="204"/>
      <c r="STJ174" s="204"/>
      <c r="STK174" s="199"/>
      <c r="STL174" s="167"/>
      <c r="STM174" s="199"/>
      <c r="STN174" s="200"/>
      <c r="STO174" s="201"/>
      <c r="STP174" s="202"/>
      <c r="STQ174" s="202"/>
      <c r="STR174" s="202"/>
      <c r="STS174" s="202"/>
      <c r="STT174" s="203"/>
      <c r="STU174" s="204"/>
      <c r="STV174" s="204"/>
      <c r="STW174" s="204"/>
      <c r="STX174" s="205"/>
      <c r="STY174" s="206"/>
      <c r="STZ174" s="207"/>
      <c r="SUA174" s="207"/>
      <c r="SUB174" s="208"/>
      <c r="SUC174" s="209"/>
      <c r="SUD174" s="207"/>
      <c r="SUE174" s="210"/>
      <c r="SUF174" s="209"/>
      <c r="SUG174" s="204"/>
      <c r="SUH174" s="204"/>
      <c r="SUI174" s="204"/>
      <c r="SUJ174" s="199"/>
      <c r="SUK174" s="167"/>
      <c r="SUL174" s="199"/>
      <c r="SUM174" s="200"/>
      <c r="SUN174" s="201"/>
      <c r="SUO174" s="202"/>
      <c r="SUP174" s="202"/>
      <c r="SUQ174" s="202"/>
      <c r="SUR174" s="202"/>
      <c r="SUS174" s="203"/>
      <c r="SUT174" s="204"/>
      <c r="SUU174" s="204"/>
      <c r="SUV174" s="204"/>
      <c r="SUW174" s="205"/>
      <c r="SUX174" s="206"/>
      <c r="SUY174" s="207"/>
      <c r="SUZ174" s="207"/>
      <c r="SVA174" s="208"/>
      <c r="SVB174" s="209"/>
      <c r="SVC174" s="207"/>
      <c r="SVD174" s="210"/>
      <c r="SVE174" s="209"/>
      <c r="SVF174" s="204"/>
      <c r="SVG174" s="204"/>
      <c r="SVH174" s="204"/>
      <c r="SVI174" s="199"/>
      <c r="SVJ174" s="167"/>
      <c r="SVK174" s="199"/>
      <c r="SVL174" s="200"/>
      <c r="SVM174" s="201"/>
      <c r="SVN174" s="202"/>
      <c r="SVO174" s="202"/>
      <c r="SVP174" s="202"/>
      <c r="SVQ174" s="202"/>
      <c r="SVR174" s="203"/>
      <c r="SVS174" s="204"/>
      <c r="SVT174" s="204"/>
      <c r="SVU174" s="204"/>
      <c r="SVV174" s="205"/>
      <c r="SVW174" s="206"/>
      <c r="SVX174" s="207"/>
      <c r="SVY174" s="207"/>
      <c r="SVZ174" s="208"/>
      <c r="SWA174" s="209"/>
      <c r="SWB174" s="207"/>
      <c r="SWC174" s="210"/>
      <c r="SWD174" s="209"/>
      <c r="SWE174" s="204"/>
      <c r="SWF174" s="204"/>
      <c r="SWG174" s="204"/>
      <c r="SWH174" s="199"/>
      <c r="SWI174" s="167"/>
      <c r="SWJ174" s="199"/>
      <c r="SWK174" s="200"/>
      <c r="SWL174" s="201"/>
      <c r="SWM174" s="202"/>
      <c r="SWN174" s="202"/>
      <c r="SWO174" s="202"/>
      <c r="SWP174" s="202"/>
      <c r="SWQ174" s="203"/>
      <c r="SWR174" s="204"/>
      <c r="SWS174" s="204"/>
      <c r="SWT174" s="204"/>
      <c r="SWU174" s="205"/>
      <c r="SWV174" s="206"/>
      <c r="SWW174" s="207"/>
      <c r="SWX174" s="207"/>
      <c r="SWY174" s="208"/>
      <c r="SWZ174" s="209"/>
      <c r="SXA174" s="207"/>
      <c r="SXB174" s="210"/>
      <c r="SXC174" s="209"/>
      <c r="SXD174" s="204"/>
      <c r="SXE174" s="204"/>
      <c r="SXF174" s="204"/>
      <c r="SXG174" s="199"/>
      <c r="SXH174" s="167"/>
      <c r="SXI174" s="199"/>
      <c r="SXJ174" s="200"/>
      <c r="SXK174" s="201"/>
      <c r="SXL174" s="202"/>
      <c r="SXM174" s="202"/>
      <c r="SXN174" s="202"/>
      <c r="SXO174" s="202"/>
      <c r="SXP174" s="203"/>
      <c r="SXQ174" s="204"/>
      <c r="SXR174" s="204"/>
      <c r="SXS174" s="204"/>
      <c r="SXT174" s="205"/>
      <c r="SXU174" s="206"/>
      <c r="SXV174" s="207"/>
      <c r="SXW174" s="207"/>
      <c r="SXX174" s="208"/>
      <c r="SXY174" s="209"/>
      <c r="SXZ174" s="207"/>
      <c r="SYA174" s="210"/>
      <c r="SYB174" s="209"/>
      <c r="SYC174" s="204"/>
      <c r="SYD174" s="204"/>
      <c r="SYE174" s="204"/>
      <c r="SYF174" s="199"/>
      <c r="SYG174" s="167"/>
      <c r="SYH174" s="199"/>
      <c r="SYI174" s="200"/>
      <c r="SYJ174" s="201"/>
      <c r="SYK174" s="202"/>
      <c r="SYL174" s="202"/>
      <c r="SYM174" s="202"/>
      <c r="SYN174" s="202"/>
      <c r="SYO174" s="203"/>
      <c r="SYP174" s="204"/>
      <c r="SYQ174" s="204"/>
      <c r="SYR174" s="204"/>
      <c r="SYS174" s="205"/>
      <c r="SYT174" s="206"/>
      <c r="SYU174" s="207"/>
      <c r="SYV174" s="207"/>
      <c r="SYW174" s="208"/>
      <c r="SYX174" s="209"/>
      <c r="SYY174" s="207"/>
      <c r="SYZ174" s="210"/>
      <c r="SZA174" s="209"/>
      <c r="SZB174" s="204"/>
      <c r="SZC174" s="204"/>
      <c r="SZD174" s="204"/>
      <c r="SZE174" s="199"/>
      <c r="SZF174" s="167"/>
      <c r="SZG174" s="199"/>
      <c r="SZH174" s="200"/>
      <c r="SZI174" s="201"/>
      <c r="SZJ174" s="202"/>
      <c r="SZK174" s="202"/>
      <c r="SZL174" s="202"/>
      <c r="SZM174" s="202"/>
      <c r="SZN174" s="203"/>
      <c r="SZO174" s="204"/>
      <c r="SZP174" s="204"/>
      <c r="SZQ174" s="204"/>
      <c r="SZR174" s="205"/>
      <c r="SZS174" s="206"/>
      <c r="SZT174" s="207"/>
      <c r="SZU174" s="207"/>
      <c r="SZV174" s="208"/>
      <c r="SZW174" s="209"/>
      <c r="SZX174" s="207"/>
      <c r="SZY174" s="210"/>
      <c r="SZZ174" s="209"/>
      <c r="TAA174" s="204"/>
      <c r="TAB174" s="204"/>
      <c r="TAC174" s="204"/>
      <c r="TAD174" s="199"/>
      <c r="TAE174" s="167"/>
      <c r="TAF174" s="199"/>
      <c r="TAG174" s="200"/>
      <c r="TAH174" s="201"/>
      <c r="TAI174" s="202"/>
      <c r="TAJ174" s="202"/>
      <c r="TAK174" s="202"/>
      <c r="TAL174" s="202"/>
      <c r="TAM174" s="203"/>
      <c r="TAN174" s="204"/>
      <c r="TAO174" s="204"/>
      <c r="TAP174" s="204"/>
      <c r="TAQ174" s="205"/>
      <c r="TAR174" s="206"/>
      <c r="TAS174" s="207"/>
      <c r="TAT174" s="207"/>
      <c r="TAU174" s="208"/>
      <c r="TAV174" s="209"/>
      <c r="TAW174" s="207"/>
      <c r="TAX174" s="210"/>
      <c r="TAY174" s="209"/>
      <c r="TAZ174" s="204"/>
      <c r="TBA174" s="204"/>
      <c r="TBB174" s="204"/>
      <c r="TBC174" s="199"/>
      <c r="TBD174" s="167"/>
      <c r="TBE174" s="199"/>
      <c r="TBF174" s="200"/>
      <c r="TBG174" s="201"/>
      <c r="TBH174" s="202"/>
      <c r="TBI174" s="202"/>
      <c r="TBJ174" s="202"/>
      <c r="TBK174" s="202"/>
      <c r="TBL174" s="203"/>
      <c r="TBM174" s="204"/>
      <c r="TBN174" s="204"/>
      <c r="TBO174" s="204"/>
      <c r="TBP174" s="205"/>
      <c r="TBQ174" s="206"/>
      <c r="TBR174" s="207"/>
      <c r="TBS174" s="207"/>
      <c r="TBT174" s="208"/>
      <c r="TBU174" s="209"/>
      <c r="TBV174" s="207"/>
      <c r="TBW174" s="210"/>
      <c r="TBX174" s="209"/>
      <c r="TBY174" s="204"/>
      <c r="TBZ174" s="204"/>
      <c r="TCA174" s="204"/>
      <c r="TCB174" s="199"/>
      <c r="TCC174" s="167"/>
      <c r="TCD174" s="199"/>
      <c r="TCE174" s="200"/>
      <c r="TCF174" s="201"/>
      <c r="TCG174" s="202"/>
      <c r="TCH174" s="202"/>
      <c r="TCI174" s="202"/>
      <c r="TCJ174" s="202"/>
      <c r="TCK174" s="203"/>
      <c r="TCL174" s="204"/>
      <c r="TCM174" s="204"/>
      <c r="TCN174" s="204"/>
      <c r="TCO174" s="205"/>
      <c r="TCP174" s="206"/>
      <c r="TCQ174" s="207"/>
      <c r="TCR174" s="207"/>
      <c r="TCS174" s="208"/>
      <c r="TCT174" s="209"/>
      <c r="TCU174" s="207"/>
      <c r="TCV174" s="210"/>
      <c r="TCW174" s="209"/>
      <c r="TCX174" s="204"/>
      <c r="TCY174" s="204"/>
      <c r="TCZ174" s="204"/>
      <c r="TDA174" s="199"/>
      <c r="TDB174" s="167"/>
      <c r="TDC174" s="199"/>
      <c r="TDD174" s="200"/>
      <c r="TDE174" s="201"/>
      <c r="TDF174" s="202"/>
      <c r="TDG174" s="202"/>
      <c r="TDH174" s="202"/>
      <c r="TDI174" s="202"/>
      <c r="TDJ174" s="203"/>
      <c r="TDK174" s="204"/>
      <c r="TDL174" s="204"/>
      <c r="TDM174" s="204"/>
      <c r="TDN174" s="205"/>
      <c r="TDO174" s="206"/>
      <c r="TDP174" s="207"/>
      <c r="TDQ174" s="207"/>
      <c r="TDR174" s="208"/>
      <c r="TDS174" s="209"/>
      <c r="TDT174" s="207"/>
      <c r="TDU174" s="210"/>
      <c r="TDV174" s="209"/>
      <c r="TDW174" s="204"/>
      <c r="TDX174" s="204"/>
      <c r="TDY174" s="204"/>
      <c r="TDZ174" s="199"/>
      <c r="TEA174" s="167"/>
      <c r="TEB174" s="199"/>
      <c r="TEC174" s="200"/>
      <c r="TED174" s="201"/>
      <c r="TEE174" s="202"/>
      <c r="TEF174" s="202"/>
      <c r="TEG174" s="202"/>
      <c r="TEH174" s="202"/>
      <c r="TEI174" s="203"/>
      <c r="TEJ174" s="204"/>
      <c r="TEK174" s="204"/>
      <c r="TEL174" s="204"/>
      <c r="TEM174" s="205"/>
      <c r="TEN174" s="206"/>
      <c r="TEO174" s="207"/>
      <c r="TEP174" s="207"/>
      <c r="TEQ174" s="208"/>
      <c r="TER174" s="209"/>
      <c r="TES174" s="207"/>
      <c r="TET174" s="210"/>
      <c r="TEU174" s="209"/>
      <c r="TEV174" s="204"/>
      <c r="TEW174" s="204"/>
      <c r="TEX174" s="204"/>
      <c r="TEY174" s="199"/>
      <c r="TEZ174" s="167"/>
      <c r="TFA174" s="199"/>
      <c r="TFB174" s="200"/>
      <c r="TFC174" s="201"/>
      <c r="TFD174" s="202"/>
      <c r="TFE174" s="202"/>
      <c r="TFF174" s="202"/>
      <c r="TFG174" s="202"/>
      <c r="TFH174" s="203"/>
      <c r="TFI174" s="204"/>
      <c r="TFJ174" s="204"/>
      <c r="TFK174" s="204"/>
      <c r="TFL174" s="205"/>
      <c r="TFM174" s="206"/>
      <c r="TFN174" s="207"/>
      <c r="TFO174" s="207"/>
      <c r="TFP174" s="208"/>
      <c r="TFQ174" s="209"/>
      <c r="TFR174" s="207"/>
      <c r="TFS174" s="210"/>
      <c r="TFT174" s="209"/>
      <c r="TFU174" s="204"/>
      <c r="TFV174" s="204"/>
      <c r="TFW174" s="204"/>
      <c r="TFX174" s="199"/>
      <c r="TFY174" s="167"/>
      <c r="TFZ174" s="199"/>
      <c r="TGA174" s="200"/>
      <c r="TGB174" s="201"/>
      <c r="TGC174" s="202"/>
      <c r="TGD174" s="202"/>
      <c r="TGE174" s="202"/>
      <c r="TGF174" s="202"/>
      <c r="TGG174" s="203"/>
      <c r="TGH174" s="204"/>
      <c r="TGI174" s="204"/>
      <c r="TGJ174" s="204"/>
      <c r="TGK174" s="205"/>
      <c r="TGL174" s="206"/>
      <c r="TGM174" s="207"/>
      <c r="TGN174" s="207"/>
      <c r="TGO174" s="208"/>
      <c r="TGP174" s="209"/>
      <c r="TGQ174" s="207"/>
      <c r="TGR174" s="210"/>
      <c r="TGS174" s="209"/>
      <c r="TGT174" s="204"/>
      <c r="TGU174" s="204"/>
      <c r="TGV174" s="204"/>
      <c r="TGW174" s="199"/>
      <c r="TGX174" s="167"/>
      <c r="TGY174" s="199"/>
      <c r="TGZ174" s="200"/>
      <c r="THA174" s="201"/>
      <c r="THB174" s="202"/>
      <c r="THC174" s="202"/>
      <c r="THD174" s="202"/>
      <c r="THE174" s="202"/>
      <c r="THF174" s="203"/>
      <c r="THG174" s="204"/>
      <c r="THH174" s="204"/>
      <c r="THI174" s="204"/>
      <c r="THJ174" s="205"/>
      <c r="THK174" s="206"/>
      <c r="THL174" s="207"/>
      <c r="THM174" s="207"/>
      <c r="THN174" s="208"/>
      <c r="THO174" s="209"/>
      <c r="THP174" s="207"/>
      <c r="THQ174" s="210"/>
      <c r="THR174" s="209"/>
      <c r="THS174" s="204"/>
      <c r="THT174" s="204"/>
      <c r="THU174" s="204"/>
      <c r="THV174" s="199"/>
      <c r="THW174" s="167"/>
      <c r="THX174" s="199"/>
      <c r="THY174" s="200"/>
      <c r="THZ174" s="201"/>
      <c r="TIA174" s="202"/>
      <c r="TIB174" s="202"/>
      <c r="TIC174" s="202"/>
      <c r="TID174" s="202"/>
      <c r="TIE174" s="203"/>
      <c r="TIF174" s="204"/>
      <c r="TIG174" s="204"/>
      <c r="TIH174" s="204"/>
      <c r="TII174" s="205"/>
      <c r="TIJ174" s="206"/>
      <c r="TIK174" s="207"/>
      <c r="TIL174" s="207"/>
      <c r="TIM174" s="208"/>
      <c r="TIN174" s="209"/>
      <c r="TIO174" s="207"/>
      <c r="TIP174" s="210"/>
      <c r="TIQ174" s="209"/>
      <c r="TIR174" s="204"/>
      <c r="TIS174" s="204"/>
      <c r="TIT174" s="204"/>
      <c r="TIU174" s="199"/>
      <c r="TIV174" s="167"/>
      <c r="TIW174" s="199"/>
      <c r="TIX174" s="200"/>
      <c r="TIY174" s="201"/>
      <c r="TIZ174" s="202"/>
      <c r="TJA174" s="202"/>
      <c r="TJB174" s="202"/>
      <c r="TJC174" s="202"/>
      <c r="TJD174" s="203"/>
      <c r="TJE174" s="204"/>
      <c r="TJF174" s="204"/>
      <c r="TJG174" s="204"/>
      <c r="TJH174" s="205"/>
      <c r="TJI174" s="206"/>
      <c r="TJJ174" s="207"/>
      <c r="TJK174" s="207"/>
      <c r="TJL174" s="208"/>
      <c r="TJM174" s="209"/>
      <c r="TJN174" s="207"/>
      <c r="TJO174" s="210"/>
      <c r="TJP174" s="209"/>
      <c r="TJQ174" s="204"/>
      <c r="TJR174" s="204"/>
      <c r="TJS174" s="204"/>
      <c r="TJT174" s="199"/>
      <c r="TJU174" s="167"/>
      <c r="TJV174" s="199"/>
      <c r="TJW174" s="200"/>
      <c r="TJX174" s="201"/>
      <c r="TJY174" s="202"/>
      <c r="TJZ174" s="202"/>
      <c r="TKA174" s="202"/>
      <c r="TKB174" s="202"/>
      <c r="TKC174" s="203"/>
      <c r="TKD174" s="204"/>
      <c r="TKE174" s="204"/>
      <c r="TKF174" s="204"/>
      <c r="TKG174" s="205"/>
      <c r="TKH174" s="206"/>
      <c r="TKI174" s="207"/>
      <c r="TKJ174" s="207"/>
      <c r="TKK174" s="208"/>
      <c r="TKL174" s="209"/>
      <c r="TKM174" s="207"/>
      <c r="TKN174" s="210"/>
      <c r="TKO174" s="209"/>
      <c r="TKP174" s="204"/>
      <c r="TKQ174" s="204"/>
      <c r="TKR174" s="204"/>
      <c r="TKS174" s="199"/>
      <c r="TKT174" s="167"/>
      <c r="TKU174" s="199"/>
      <c r="TKV174" s="200"/>
      <c r="TKW174" s="201"/>
      <c r="TKX174" s="202"/>
      <c r="TKY174" s="202"/>
      <c r="TKZ174" s="202"/>
      <c r="TLA174" s="202"/>
      <c r="TLB174" s="203"/>
      <c r="TLC174" s="204"/>
      <c r="TLD174" s="204"/>
      <c r="TLE174" s="204"/>
      <c r="TLF174" s="205"/>
      <c r="TLG174" s="206"/>
      <c r="TLH174" s="207"/>
      <c r="TLI174" s="207"/>
      <c r="TLJ174" s="208"/>
      <c r="TLK174" s="209"/>
      <c r="TLL174" s="207"/>
      <c r="TLM174" s="210"/>
      <c r="TLN174" s="209"/>
      <c r="TLO174" s="204"/>
      <c r="TLP174" s="204"/>
      <c r="TLQ174" s="204"/>
      <c r="TLR174" s="199"/>
      <c r="TLS174" s="167"/>
      <c r="TLT174" s="199"/>
      <c r="TLU174" s="200"/>
      <c r="TLV174" s="201"/>
      <c r="TLW174" s="202"/>
      <c r="TLX174" s="202"/>
      <c r="TLY174" s="202"/>
      <c r="TLZ174" s="202"/>
      <c r="TMA174" s="203"/>
      <c r="TMB174" s="204"/>
      <c r="TMC174" s="204"/>
      <c r="TMD174" s="204"/>
      <c r="TME174" s="205"/>
      <c r="TMF174" s="206"/>
      <c r="TMG174" s="207"/>
      <c r="TMH174" s="207"/>
      <c r="TMI174" s="208"/>
      <c r="TMJ174" s="209"/>
      <c r="TMK174" s="207"/>
      <c r="TML174" s="210"/>
      <c r="TMM174" s="209"/>
      <c r="TMN174" s="204"/>
      <c r="TMO174" s="204"/>
      <c r="TMP174" s="204"/>
      <c r="TMQ174" s="199"/>
      <c r="TMR174" s="167"/>
      <c r="TMS174" s="199"/>
      <c r="TMT174" s="200"/>
      <c r="TMU174" s="201"/>
      <c r="TMV174" s="202"/>
      <c r="TMW174" s="202"/>
      <c r="TMX174" s="202"/>
      <c r="TMY174" s="202"/>
      <c r="TMZ174" s="203"/>
      <c r="TNA174" s="204"/>
      <c r="TNB174" s="204"/>
      <c r="TNC174" s="204"/>
      <c r="TND174" s="205"/>
      <c r="TNE174" s="206"/>
      <c r="TNF174" s="207"/>
      <c r="TNG174" s="207"/>
      <c r="TNH174" s="208"/>
      <c r="TNI174" s="209"/>
      <c r="TNJ174" s="207"/>
      <c r="TNK174" s="210"/>
      <c r="TNL174" s="209"/>
      <c r="TNM174" s="204"/>
      <c r="TNN174" s="204"/>
      <c r="TNO174" s="204"/>
      <c r="TNP174" s="199"/>
      <c r="TNQ174" s="167"/>
      <c r="TNR174" s="199"/>
      <c r="TNS174" s="200"/>
      <c r="TNT174" s="201"/>
      <c r="TNU174" s="202"/>
      <c r="TNV174" s="202"/>
      <c r="TNW174" s="202"/>
      <c r="TNX174" s="202"/>
      <c r="TNY174" s="203"/>
      <c r="TNZ174" s="204"/>
      <c r="TOA174" s="204"/>
      <c r="TOB174" s="204"/>
      <c r="TOC174" s="205"/>
      <c r="TOD174" s="206"/>
      <c r="TOE174" s="207"/>
      <c r="TOF174" s="207"/>
      <c r="TOG174" s="208"/>
      <c r="TOH174" s="209"/>
      <c r="TOI174" s="207"/>
      <c r="TOJ174" s="210"/>
      <c r="TOK174" s="209"/>
      <c r="TOL174" s="204"/>
      <c r="TOM174" s="204"/>
      <c r="TON174" s="204"/>
      <c r="TOO174" s="199"/>
      <c r="TOP174" s="167"/>
      <c r="TOQ174" s="199"/>
      <c r="TOR174" s="200"/>
      <c r="TOS174" s="201"/>
      <c r="TOT174" s="202"/>
      <c r="TOU174" s="202"/>
      <c r="TOV174" s="202"/>
      <c r="TOW174" s="202"/>
      <c r="TOX174" s="203"/>
      <c r="TOY174" s="204"/>
      <c r="TOZ174" s="204"/>
      <c r="TPA174" s="204"/>
      <c r="TPB174" s="205"/>
      <c r="TPC174" s="206"/>
      <c r="TPD174" s="207"/>
      <c r="TPE174" s="207"/>
      <c r="TPF174" s="208"/>
      <c r="TPG174" s="209"/>
      <c r="TPH174" s="207"/>
      <c r="TPI174" s="210"/>
      <c r="TPJ174" s="209"/>
      <c r="TPK174" s="204"/>
      <c r="TPL174" s="204"/>
      <c r="TPM174" s="204"/>
      <c r="TPN174" s="199"/>
      <c r="TPO174" s="167"/>
      <c r="TPP174" s="199"/>
      <c r="TPQ174" s="200"/>
      <c r="TPR174" s="201"/>
      <c r="TPS174" s="202"/>
      <c r="TPT174" s="202"/>
      <c r="TPU174" s="202"/>
      <c r="TPV174" s="202"/>
      <c r="TPW174" s="203"/>
      <c r="TPX174" s="204"/>
      <c r="TPY174" s="204"/>
      <c r="TPZ174" s="204"/>
      <c r="TQA174" s="205"/>
      <c r="TQB174" s="206"/>
      <c r="TQC174" s="207"/>
      <c r="TQD174" s="207"/>
      <c r="TQE174" s="208"/>
      <c r="TQF174" s="209"/>
      <c r="TQG174" s="207"/>
      <c r="TQH174" s="210"/>
      <c r="TQI174" s="209"/>
      <c r="TQJ174" s="204"/>
      <c r="TQK174" s="204"/>
      <c r="TQL174" s="204"/>
      <c r="TQM174" s="199"/>
      <c r="TQN174" s="167"/>
      <c r="TQO174" s="199"/>
      <c r="TQP174" s="200"/>
      <c r="TQQ174" s="201"/>
      <c r="TQR174" s="202"/>
      <c r="TQS174" s="202"/>
      <c r="TQT174" s="202"/>
      <c r="TQU174" s="202"/>
      <c r="TQV174" s="203"/>
      <c r="TQW174" s="204"/>
      <c r="TQX174" s="204"/>
      <c r="TQY174" s="204"/>
      <c r="TQZ174" s="205"/>
      <c r="TRA174" s="206"/>
      <c r="TRB174" s="207"/>
      <c r="TRC174" s="207"/>
      <c r="TRD174" s="208"/>
      <c r="TRE174" s="209"/>
      <c r="TRF174" s="207"/>
      <c r="TRG174" s="210"/>
      <c r="TRH174" s="209"/>
      <c r="TRI174" s="204"/>
      <c r="TRJ174" s="204"/>
      <c r="TRK174" s="204"/>
      <c r="TRL174" s="199"/>
      <c r="TRM174" s="167"/>
      <c r="TRN174" s="199"/>
      <c r="TRO174" s="200"/>
      <c r="TRP174" s="201"/>
      <c r="TRQ174" s="202"/>
      <c r="TRR174" s="202"/>
      <c r="TRS174" s="202"/>
      <c r="TRT174" s="202"/>
      <c r="TRU174" s="203"/>
      <c r="TRV174" s="204"/>
      <c r="TRW174" s="204"/>
      <c r="TRX174" s="204"/>
      <c r="TRY174" s="205"/>
      <c r="TRZ174" s="206"/>
      <c r="TSA174" s="207"/>
      <c r="TSB174" s="207"/>
      <c r="TSC174" s="208"/>
      <c r="TSD174" s="209"/>
      <c r="TSE174" s="207"/>
      <c r="TSF174" s="210"/>
      <c r="TSG174" s="209"/>
      <c r="TSH174" s="204"/>
      <c r="TSI174" s="204"/>
      <c r="TSJ174" s="204"/>
      <c r="TSK174" s="199"/>
      <c r="TSL174" s="167"/>
      <c r="TSM174" s="199"/>
      <c r="TSN174" s="200"/>
      <c r="TSO174" s="201"/>
      <c r="TSP174" s="202"/>
      <c r="TSQ174" s="202"/>
      <c r="TSR174" s="202"/>
      <c r="TSS174" s="202"/>
      <c r="TST174" s="203"/>
      <c r="TSU174" s="204"/>
      <c r="TSV174" s="204"/>
      <c r="TSW174" s="204"/>
      <c r="TSX174" s="205"/>
      <c r="TSY174" s="206"/>
      <c r="TSZ174" s="207"/>
      <c r="TTA174" s="207"/>
      <c r="TTB174" s="208"/>
      <c r="TTC174" s="209"/>
      <c r="TTD174" s="207"/>
      <c r="TTE174" s="210"/>
      <c r="TTF174" s="209"/>
      <c r="TTG174" s="204"/>
      <c r="TTH174" s="204"/>
      <c r="TTI174" s="204"/>
      <c r="TTJ174" s="199"/>
      <c r="TTK174" s="167"/>
      <c r="TTL174" s="199"/>
      <c r="TTM174" s="200"/>
      <c r="TTN174" s="201"/>
      <c r="TTO174" s="202"/>
      <c r="TTP174" s="202"/>
      <c r="TTQ174" s="202"/>
      <c r="TTR174" s="202"/>
      <c r="TTS174" s="203"/>
      <c r="TTT174" s="204"/>
      <c r="TTU174" s="204"/>
      <c r="TTV174" s="204"/>
      <c r="TTW174" s="205"/>
      <c r="TTX174" s="206"/>
      <c r="TTY174" s="207"/>
      <c r="TTZ174" s="207"/>
      <c r="TUA174" s="208"/>
      <c r="TUB174" s="209"/>
      <c r="TUC174" s="207"/>
      <c r="TUD174" s="210"/>
      <c r="TUE174" s="209"/>
      <c r="TUF174" s="204"/>
      <c r="TUG174" s="204"/>
      <c r="TUH174" s="204"/>
      <c r="TUI174" s="199"/>
      <c r="TUJ174" s="167"/>
      <c r="TUK174" s="199"/>
      <c r="TUL174" s="200"/>
      <c r="TUM174" s="201"/>
      <c r="TUN174" s="202"/>
      <c r="TUO174" s="202"/>
      <c r="TUP174" s="202"/>
      <c r="TUQ174" s="202"/>
      <c r="TUR174" s="203"/>
      <c r="TUS174" s="204"/>
      <c r="TUT174" s="204"/>
      <c r="TUU174" s="204"/>
      <c r="TUV174" s="205"/>
      <c r="TUW174" s="206"/>
      <c r="TUX174" s="207"/>
      <c r="TUY174" s="207"/>
      <c r="TUZ174" s="208"/>
      <c r="TVA174" s="209"/>
      <c r="TVB174" s="207"/>
      <c r="TVC174" s="210"/>
      <c r="TVD174" s="209"/>
      <c r="TVE174" s="204"/>
      <c r="TVF174" s="204"/>
      <c r="TVG174" s="204"/>
      <c r="TVH174" s="199"/>
      <c r="TVI174" s="167"/>
      <c r="TVJ174" s="199"/>
      <c r="TVK174" s="200"/>
      <c r="TVL174" s="201"/>
      <c r="TVM174" s="202"/>
      <c r="TVN174" s="202"/>
      <c r="TVO174" s="202"/>
      <c r="TVP174" s="202"/>
      <c r="TVQ174" s="203"/>
      <c r="TVR174" s="204"/>
      <c r="TVS174" s="204"/>
      <c r="TVT174" s="204"/>
      <c r="TVU174" s="205"/>
      <c r="TVV174" s="206"/>
      <c r="TVW174" s="207"/>
      <c r="TVX174" s="207"/>
      <c r="TVY174" s="208"/>
      <c r="TVZ174" s="209"/>
      <c r="TWA174" s="207"/>
      <c r="TWB174" s="210"/>
      <c r="TWC174" s="209"/>
      <c r="TWD174" s="204"/>
      <c r="TWE174" s="204"/>
      <c r="TWF174" s="204"/>
      <c r="TWG174" s="199"/>
      <c r="TWH174" s="167"/>
      <c r="TWI174" s="199"/>
      <c r="TWJ174" s="200"/>
      <c r="TWK174" s="201"/>
      <c r="TWL174" s="202"/>
      <c r="TWM174" s="202"/>
      <c r="TWN174" s="202"/>
      <c r="TWO174" s="202"/>
      <c r="TWP174" s="203"/>
      <c r="TWQ174" s="204"/>
      <c r="TWR174" s="204"/>
      <c r="TWS174" s="204"/>
      <c r="TWT174" s="205"/>
      <c r="TWU174" s="206"/>
      <c r="TWV174" s="207"/>
      <c r="TWW174" s="207"/>
      <c r="TWX174" s="208"/>
      <c r="TWY174" s="209"/>
      <c r="TWZ174" s="207"/>
      <c r="TXA174" s="210"/>
      <c r="TXB174" s="209"/>
      <c r="TXC174" s="204"/>
      <c r="TXD174" s="204"/>
      <c r="TXE174" s="204"/>
      <c r="TXF174" s="199"/>
      <c r="TXG174" s="167"/>
      <c r="TXH174" s="199"/>
      <c r="TXI174" s="200"/>
      <c r="TXJ174" s="201"/>
      <c r="TXK174" s="202"/>
      <c r="TXL174" s="202"/>
      <c r="TXM174" s="202"/>
      <c r="TXN174" s="202"/>
      <c r="TXO174" s="203"/>
      <c r="TXP174" s="204"/>
      <c r="TXQ174" s="204"/>
      <c r="TXR174" s="204"/>
      <c r="TXS174" s="205"/>
      <c r="TXT174" s="206"/>
      <c r="TXU174" s="207"/>
      <c r="TXV174" s="207"/>
      <c r="TXW174" s="208"/>
      <c r="TXX174" s="209"/>
      <c r="TXY174" s="207"/>
      <c r="TXZ174" s="210"/>
      <c r="TYA174" s="209"/>
      <c r="TYB174" s="204"/>
      <c r="TYC174" s="204"/>
      <c r="TYD174" s="204"/>
      <c r="TYE174" s="199"/>
      <c r="TYF174" s="167"/>
      <c r="TYG174" s="199"/>
      <c r="TYH174" s="200"/>
      <c r="TYI174" s="201"/>
      <c r="TYJ174" s="202"/>
      <c r="TYK174" s="202"/>
      <c r="TYL174" s="202"/>
      <c r="TYM174" s="202"/>
      <c r="TYN174" s="203"/>
      <c r="TYO174" s="204"/>
      <c r="TYP174" s="204"/>
      <c r="TYQ174" s="204"/>
      <c r="TYR174" s="205"/>
      <c r="TYS174" s="206"/>
      <c r="TYT174" s="207"/>
      <c r="TYU174" s="207"/>
      <c r="TYV174" s="208"/>
      <c r="TYW174" s="209"/>
      <c r="TYX174" s="207"/>
      <c r="TYY174" s="210"/>
      <c r="TYZ174" s="209"/>
      <c r="TZA174" s="204"/>
      <c r="TZB174" s="204"/>
      <c r="TZC174" s="204"/>
      <c r="TZD174" s="199"/>
      <c r="TZE174" s="167"/>
      <c r="TZF174" s="199"/>
      <c r="TZG174" s="200"/>
      <c r="TZH174" s="201"/>
      <c r="TZI174" s="202"/>
      <c r="TZJ174" s="202"/>
      <c r="TZK174" s="202"/>
      <c r="TZL174" s="202"/>
      <c r="TZM174" s="203"/>
      <c r="TZN174" s="204"/>
      <c r="TZO174" s="204"/>
      <c r="TZP174" s="204"/>
      <c r="TZQ174" s="205"/>
      <c r="TZR174" s="206"/>
      <c r="TZS174" s="207"/>
      <c r="TZT174" s="207"/>
      <c r="TZU174" s="208"/>
      <c r="TZV174" s="209"/>
      <c r="TZW174" s="207"/>
      <c r="TZX174" s="210"/>
      <c r="TZY174" s="209"/>
      <c r="TZZ174" s="204"/>
      <c r="UAA174" s="204"/>
      <c r="UAB174" s="204"/>
      <c r="UAC174" s="199"/>
      <c r="UAD174" s="167"/>
      <c r="UAE174" s="199"/>
      <c r="UAF174" s="200"/>
      <c r="UAG174" s="201"/>
      <c r="UAH174" s="202"/>
      <c r="UAI174" s="202"/>
      <c r="UAJ174" s="202"/>
      <c r="UAK174" s="202"/>
      <c r="UAL174" s="203"/>
      <c r="UAM174" s="204"/>
      <c r="UAN174" s="204"/>
      <c r="UAO174" s="204"/>
      <c r="UAP174" s="205"/>
      <c r="UAQ174" s="206"/>
      <c r="UAR174" s="207"/>
      <c r="UAS174" s="207"/>
      <c r="UAT174" s="208"/>
      <c r="UAU174" s="209"/>
      <c r="UAV174" s="207"/>
      <c r="UAW174" s="210"/>
      <c r="UAX174" s="209"/>
      <c r="UAY174" s="204"/>
      <c r="UAZ174" s="204"/>
      <c r="UBA174" s="204"/>
      <c r="UBB174" s="199"/>
      <c r="UBC174" s="167"/>
      <c r="UBD174" s="199"/>
      <c r="UBE174" s="200"/>
      <c r="UBF174" s="201"/>
      <c r="UBG174" s="202"/>
      <c r="UBH174" s="202"/>
      <c r="UBI174" s="202"/>
      <c r="UBJ174" s="202"/>
      <c r="UBK174" s="203"/>
      <c r="UBL174" s="204"/>
      <c r="UBM174" s="204"/>
      <c r="UBN174" s="204"/>
      <c r="UBO174" s="205"/>
      <c r="UBP174" s="206"/>
      <c r="UBQ174" s="207"/>
      <c r="UBR174" s="207"/>
      <c r="UBS174" s="208"/>
      <c r="UBT174" s="209"/>
      <c r="UBU174" s="207"/>
      <c r="UBV174" s="210"/>
      <c r="UBW174" s="209"/>
      <c r="UBX174" s="204"/>
      <c r="UBY174" s="204"/>
      <c r="UBZ174" s="204"/>
      <c r="UCA174" s="199"/>
      <c r="UCB174" s="167"/>
      <c r="UCC174" s="199"/>
      <c r="UCD174" s="200"/>
      <c r="UCE174" s="201"/>
      <c r="UCF174" s="202"/>
      <c r="UCG174" s="202"/>
      <c r="UCH174" s="202"/>
      <c r="UCI174" s="202"/>
      <c r="UCJ174" s="203"/>
      <c r="UCK174" s="204"/>
      <c r="UCL174" s="204"/>
      <c r="UCM174" s="204"/>
      <c r="UCN174" s="205"/>
      <c r="UCO174" s="206"/>
      <c r="UCP174" s="207"/>
      <c r="UCQ174" s="207"/>
      <c r="UCR174" s="208"/>
      <c r="UCS174" s="209"/>
      <c r="UCT174" s="207"/>
      <c r="UCU174" s="210"/>
      <c r="UCV174" s="209"/>
      <c r="UCW174" s="204"/>
      <c r="UCX174" s="204"/>
      <c r="UCY174" s="204"/>
      <c r="UCZ174" s="199"/>
      <c r="UDA174" s="167"/>
      <c r="UDB174" s="199"/>
      <c r="UDC174" s="200"/>
      <c r="UDD174" s="201"/>
      <c r="UDE174" s="202"/>
      <c r="UDF174" s="202"/>
      <c r="UDG174" s="202"/>
      <c r="UDH174" s="202"/>
      <c r="UDI174" s="203"/>
      <c r="UDJ174" s="204"/>
      <c r="UDK174" s="204"/>
      <c r="UDL174" s="204"/>
      <c r="UDM174" s="205"/>
      <c r="UDN174" s="206"/>
      <c r="UDO174" s="207"/>
      <c r="UDP174" s="207"/>
      <c r="UDQ174" s="208"/>
      <c r="UDR174" s="209"/>
      <c r="UDS174" s="207"/>
      <c r="UDT174" s="210"/>
      <c r="UDU174" s="209"/>
      <c r="UDV174" s="204"/>
      <c r="UDW174" s="204"/>
      <c r="UDX174" s="204"/>
      <c r="UDY174" s="199"/>
      <c r="UDZ174" s="167"/>
      <c r="UEA174" s="199"/>
      <c r="UEB174" s="200"/>
      <c r="UEC174" s="201"/>
      <c r="UED174" s="202"/>
      <c r="UEE174" s="202"/>
      <c r="UEF174" s="202"/>
      <c r="UEG174" s="202"/>
      <c r="UEH174" s="203"/>
      <c r="UEI174" s="204"/>
      <c r="UEJ174" s="204"/>
      <c r="UEK174" s="204"/>
      <c r="UEL174" s="205"/>
      <c r="UEM174" s="206"/>
      <c r="UEN174" s="207"/>
      <c r="UEO174" s="207"/>
      <c r="UEP174" s="208"/>
      <c r="UEQ174" s="209"/>
      <c r="UER174" s="207"/>
      <c r="UES174" s="210"/>
      <c r="UET174" s="209"/>
      <c r="UEU174" s="204"/>
      <c r="UEV174" s="204"/>
      <c r="UEW174" s="204"/>
      <c r="UEX174" s="199"/>
      <c r="UEY174" s="167"/>
      <c r="UEZ174" s="199"/>
      <c r="UFA174" s="200"/>
      <c r="UFB174" s="201"/>
      <c r="UFC174" s="202"/>
      <c r="UFD174" s="202"/>
      <c r="UFE174" s="202"/>
      <c r="UFF174" s="202"/>
      <c r="UFG174" s="203"/>
      <c r="UFH174" s="204"/>
      <c r="UFI174" s="204"/>
      <c r="UFJ174" s="204"/>
      <c r="UFK174" s="205"/>
      <c r="UFL174" s="206"/>
      <c r="UFM174" s="207"/>
      <c r="UFN174" s="207"/>
      <c r="UFO174" s="208"/>
      <c r="UFP174" s="209"/>
      <c r="UFQ174" s="207"/>
      <c r="UFR174" s="210"/>
      <c r="UFS174" s="209"/>
      <c r="UFT174" s="204"/>
      <c r="UFU174" s="204"/>
      <c r="UFV174" s="204"/>
      <c r="UFW174" s="199"/>
      <c r="UFX174" s="167"/>
      <c r="UFY174" s="199"/>
      <c r="UFZ174" s="200"/>
      <c r="UGA174" s="201"/>
      <c r="UGB174" s="202"/>
      <c r="UGC174" s="202"/>
      <c r="UGD174" s="202"/>
      <c r="UGE174" s="202"/>
      <c r="UGF174" s="203"/>
      <c r="UGG174" s="204"/>
      <c r="UGH174" s="204"/>
      <c r="UGI174" s="204"/>
      <c r="UGJ174" s="205"/>
      <c r="UGK174" s="206"/>
      <c r="UGL174" s="207"/>
      <c r="UGM174" s="207"/>
      <c r="UGN174" s="208"/>
      <c r="UGO174" s="209"/>
      <c r="UGP174" s="207"/>
      <c r="UGQ174" s="210"/>
      <c r="UGR174" s="209"/>
      <c r="UGS174" s="204"/>
      <c r="UGT174" s="204"/>
      <c r="UGU174" s="204"/>
      <c r="UGV174" s="199"/>
      <c r="UGW174" s="167"/>
      <c r="UGX174" s="199"/>
      <c r="UGY174" s="200"/>
      <c r="UGZ174" s="201"/>
      <c r="UHA174" s="202"/>
      <c r="UHB174" s="202"/>
      <c r="UHC174" s="202"/>
      <c r="UHD174" s="202"/>
      <c r="UHE174" s="203"/>
      <c r="UHF174" s="204"/>
      <c r="UHG174" s="204"/>
      <c r="UHH174" s="204"/>
      <c r="UHI174" s="205"/>
      <c r="UHJ174" s="206"/>
      <c r="UHK174" s="207"/>
      <c r="UHL174" s="207"/>
      <c r="UHM174" s="208"/>
      <c r="UHN174" s="209"/>
      <c r="UHO174" s="207"/>
      <c r="UHP174" s="210"/>
      <c r="UHQ174" s="209"/>
      <c r="UHR174" s="204"/>
      <c r="UHS174" s="204"/>
      <c r="UHT174" s="204"/>
      <c r="UHU174" s="199"/>
      <c r="UHV174" s="167"/>
      <c r="UHW174" s="199"/>
      <c r="UHX174" s="200"/>
      <c r="UHY174" s="201"/>
      <c r="UHZ174" s="202"/>
      <c r="UIA174" s="202"/>
      <c r="UIB174" s="202"/>
      <c r="UIC174" s="202"/>
      <c r="UID174" s="203"/>
      <c r="UIE174" s="204"/>
      <c r="UIF174" s="204"/>
      <c r="UIG174" s="204"/>
      <c r="UIH174" s="205"/>
      <c r="UII174" s="206"/>
      <c r="UIJ174" s="207"/>
      <c r="UIK174" s="207"/>
      <c r="UIL174" s="208"/>
      <c r="UIM174" s="209"/>
      <c r="UIN174" s="207"/>
      <c r="UIO174" s="210"/>
      <c r="UIP174" s="209"/>
      <c r="UIQ174" s="204"/>
      <c r="UIR174" s="204"/>
      <c r="UIS174" s="204"/>
      <c r="UIT174" s="199"/>
      <c r="UIU174" s="167"/>
      <c r="UIV174" s="199"/>
      <c r="UIW174" s="200"/>
      <c r="UIX174" s="201"/>
      <c r="UIY174" s="202"/>
      <c r="UIZ174" s="202"/>
      <c r="UJA174" s="202"/>
      <c r="UJB174" s="202"/>
      <c r="UJC174" s="203"/>
      <c r="UJD174" s="204"/>
      <c r="UJE174" s="204"/>
      <c r="UJF174" s="204"/>
      <c r="UJG174" s="205"/>
      <c r="UJH174" s="206"/>
      <c r="UJI174" s="207"/>
      <c r="UJJ174" s="207"/>
      <c r="UJK174" s="208"/>
      <c r="UJL174" s="209"/>
      <c r="UJM174" s="207"/>
      <c r="UJN174" s="210"/>
      <c r="UJO174" s="209"/>
      <c r="UJP174" s="204"/>
      <c r="UJQ174" s="204"/>
      <c r="UJR174" s="204"/>
      <c r="UJS174" s="199"/>
      <c r="UJT174" s="167"/>
      <c r="UJU174" s="199"/>
      <c r="UJV174" s="200"/>
      <c r="UJW174" s="201"/>
      <c r="UJX174" s="202"/>
      <c r="UJY174" s="202"/>
      <c r="UJZ174" s="202"/>
      <c r="UKA174" s="202"/>
      <c r="UKB174" s="203"/>
      <c r="UKC174" s="204"/>
      <c r="UKD174" s="204"/>
      <c r="UKE174" s="204"/>
      <c r="UKF174" s="205"/>
      <c r="UKG174" s="206"/>
      <c r="UKH174" s="207"/>
      <c r="UKI174" s="207"/>
      <c r="UKJ174" s="208"/>
      <c r="UKK174" s="209"/>
      <c r="UKL174" s="207"/>
      <c r="UKM174" s="210"/>
      <c r="UKN174" s="209"/>
      <c r="UKO174" s="204"/>
      <c r="UKP174" s="204"/>
      <c r="UKQ174" s="204"/>
      <c r="UKR174" s="199"/>
      <c r="UKS174" s="167"/>
      <c r="UKT174" s="199"/>
      <c r="UKU174" s="200"/>
      <c r="UKV174" s="201"/>
      <c r="UKW174" s="202"/>
      <c r="UKX174" s="202"/>
      <c r="UKY174" s="202"/>
      <c r="UKZ174" s="202"/>
      <c r="ULA174" s="203"/>
      <c r="ULB174" s="204"/>
      <c r="ULC174" s="204"/>
      <c r="ULD174" s="204"/>
      <c r="ULE174" s="205"/>
      <c r="ULF174" s="206"/>
      <c r="ULG174" s="207"/>
      <c r="ULH174" s="207"/>
      <c r="ULI174" s="208"/>
      <c r="ULJ174" s="209"/>
      <c r="ULK174" s="207"/>
      <c r="ULL174" s="210"/>
      <c r="ULM174" s="209"/>
      <c r="ULN174" s="204"/>
      <c r="ULO174" s="204"/>
      <c r="ULP174" s="204"/>
      <c r="ULQ174" s="199"/>
      <c r="ULR174" s="167"/>
      <c r="ULS174" s="199"/>
      <c r="ULT174" s="200"/>
      <c r="ULU174" s="201"/>
      <c r="ULV174" s="202"/>
      <c r="ULW174" s="202"/>
      <c r="ULX174" s="202"/>
      <c r="ULY174" s="202"/>
      <c r="ULZ174" s="203"/>
      <c r="UMA174" s="204"/>
      <c r="UMB174" s="204"/>
      <c r="UMC174" s="204"/>
      <c r="UMD174" s="205"/>
      <c r="UME174" s="206"/>
      <c r="UMF174" s="207"/>
      <c r="UMG174" s="207"/>
      <c r="UMH174" s="208"/>
      <c r="UMI174" s="209"/>
      <c r="UMJ174" s="207"/>
      <c r="UMK174" s="210"/>
      <c r="UML174" s="209"/>
      <c r="UMM174" s="204"/>
      <c r="UMN174" s="204"/>
      <c r="UMO174" s="204"/>
      <c r="UMP174" s="199"/>
      <c r="UMQ174" s="167"/>
      <c r="UMR174" s="199"/>
      <c r="UMS174" s="200"/>
      <c r="UMT174" s="201"/>
      <c r="UMU174" s="202"/>
      <c r="UMV174" s="202"/>
      <c r="UMW174" s="202"/>
      <c r="UMX174" s="202"/>
      <c r="UMY174" s="203"/>
      <c r="UMZ174" s="204"/>
      <c r="UNA174" s="204"/>
      <c r="UNB174" s="204"/>
      <c r="UNC174" s="205"/>
      <c r="UND174" s="206"/>
      <c r="UNE174" s="207"/>
      <c r="UNF174" s="207"/>
      <c r="UNG174" s="208"/>
      <c r="UNH174" s="209"/>
      <c r="UNI174" s="207"/>
      <c r="UNJ174" s="210"/>
      <c r="UNK174" s="209"/>
      <c r="UNL174" s="204"/>
      <c r="UNM174" s="204"/>
      <c r="UNN174" s="204"/>
      <c r="UNO174" s="199"/>
      <c r="UNP174" s="167"/>
      <c r="UNQ174" s="199"/>
      <c r="UNR174" s="200"/>
      <c r="UNS174" s="201"/>
      <c r="UNT174" s="202"/>
      <c r="UNU174" s="202"/>
      <c r="UNV174" s="202"/>
      <c r="UNW174" s="202"/>
      <c r="UNX174" s="203"/>
      <c r="UNY174" s="204"/>
      <c r="UNZ174" s="204"/>
      <c r="UOA174" s="204"/>
      <c r="UOB174" s="205"/>
      <c r="UOC174" s="206"/>
      <c r="UOD174" s="207"/>
      <c r="UOE174" s="207"/>
      <c r="UOF174" s="208"/>
      <c r="UOG174" s="209"/>
      <c r="UOH174" s="207"/>
      <c r="UOI174" s="210"/>
      <c r="UOJ174" s="209"/>
      <c r="UOK174" s="204"/>
      <c r="UOL174" s="204"/>
      <c r="UOM174" s="204"/>
      <c r="UON174" s="199"/>
      <c r="UOO174" s="167"/>
      <c r="UOP174" s="199"/>
      <c r="UOQ174" s="200"/>
      <c r="UOR174" s="201"/>
      <c r="UOS174" s="202"/>
      <c r="UOT174" s="202"/>
      <c r="UOU174" s="202"/>
      <c r="UOV174" s="202"/>
      <c r="UOW174" s="203"/>
      <c r="UOX174" s="204"/>
      <c r="UOY174" s="204"/>
      <c r="UOZ174" s="204"/>
      <c r="UPA174" s="205"/>
      <c r="UPB174" s="206"/>
      <c r="UPC174" s="207"/>
      <c r="UPD174" s="207"/>
      <c r="UPE174" s="208"/>
      <c r="UPF174" s="209"/>
      <c r="UPG174" s="207"/>
      <c r="UPH174" s="210"/>
      <c r="UPI174" s="209"/>
      <c r="UPJ174" s="204"/>
      <c r="UPK174" s="204"/>
      <c r="UPL174" s="204"/>
      <c r="UPM174" s="199"/>
      <c r="UPN174" s="167"/>
      <c r="UPO174" s="199"/>
      <c r="UPP174" s="200"/>
      <c r="UPQ174" s="201"/>
      <c r="UPR174" s="202"/>
      <c r="UPS174" s="202"/>
      <c r="UPT174" s="202"/>
      <c r="UPU174" s="202"/>
      <c r="UPV174" s="203"/>
      <c r="UPW174" s="204"/>
      <c r="UPX174" s="204"/>
      <c r="UPY174" s="204"/>
      <c r="UPZ174" s="205"/>
      <c r="UQA174" s="206"/>
      <c r="UQB174" s="207"/>
      <c r="UQC174" s="207"/>
      <c r="UQD174" s="208"/>
      <c r="UQE174" s="209"/>
      <c r="UQF174" s="207"/>
      <c r="UQG174" s="210"/>
      <c r="UQH174" s="209"/>
      <c r="UQI174" s="204"/>
      <c r="UQJ174" s="204"/>
      <c r="UQK174" s="204"/>
      <c r="UQL174" s="199"/>
      <c r="UQM174" s="167"/>
      <c r="UQN174" s="199"/>
      <c r="UQO174" s="200"/>
      <c r="UQP174" s="201"/>
      <c r="UQQ174" s="202"/>
      <c r="UQR174" s="202"/>
      <c r="UQS174" s="202"/>
      <c r="UQT174" s="202"/>
      <c r="UQU174" s="203"/>
      <c r="UQV174" s="204"/>
      <c r="UQW174" s="204"/>
      <c r="UQX174" s="204"/>
      <c r="UQY174" s="205"/>
      <c r="UQZ174" s="206"/>
      <c r="URA174" s="207"/>
      <c r="URB174" s="207"/>
      <c r="URC174" s="208"/>
      <c r="URD174" s="209"/>
      <c r="URE174" s="207"/>
      <c r="URF174" s="210"/>
      <c r="URG174" s="209"/>
      <c r="URH174" s="204"/>
      <c r="URI174" s="204"/>
      <c r="URJ174" s="204"/>
      <c r="URK174" s="199"/>
      <c r="URL174" s="167"/>
      <c r="URM174" s="199"/>
      <c r="URN174" s="200"/>
      <c r="URO174" s="201"/>
      <c r="URP174" s="202"/>
      <c r="URQ174" s="202"/>
      <c r="URR174" s="202"/>
      <c r="URS174" s="202"/>
      <c r="URT174" s="203"/>
      <c r="URU174" s="204"/>
      <c r="URV174" s="204"/>
      <c r="URW174" s="204"/>
      <c r="URX174" s="205"/>
      <c r="URY174" s="206"/>
      <c r="URZ174" s="207"/>
      <c r="USA174" s="207"/>
      <c r="USB174" s="208"/>
      <c r="USC174" s="209"/>
      <c r="USD174" s="207"/>
      <c r="USE174" s="210"/>
      <c r="USF174" s="209"/>
      <c r="USG174" s="204"/>
      <c r="USH174" s="204"/>
      <c r="USI174" s="204"/>
      <c r="USJ174" s="199"/>
      <c r="USK174" s="167"/>
      <c r="USL174" s="199"/>
      <c r="USM174" s="200"/>
      <c r="USN174" s="201"/>
      <c r="USO174" s="202"/>
      <c r="USP174" s="202"/>
      <c r="USQ174" s="202"/>
      <c r="USR174" s="202"/>
      <c r="USS174" s="203"/>
      <c r="UST174" s="204"/>
      <c r="USU174" s="204"/>
      <c r="USV174" s="204"/>
      <c r="USW174" s="205"/>
      <c r="USX174" s="206"/>
      <c r="USY174" s="207"/>
      <c r="USZ174" s="207"/>
      <c r="UTA174" s="208"/>
      <c r="UTB174" s="209"/>
      <c r="UTC174" s="207"/>
      <c r="UTD174" s="210"/>
      <c r="UTE174" s="209"/>
      <c r="UTF174" s="204"/>
      <c r="UTG174" s="204"/>
      <c r="UTH174" s="204"/>
      <c r="UTI174" s="199"/>
      <c r="UTJ174" s="167"/>
      <c r="UTK174" s="199"/>
      <c r="UTL174" s="200"/>
      <c r="UTM174" s="201"/>
      <c r="UTN174" s="202"/>
      <c r="UTO174" s="202"/>
      <c r="UTP174" s="202"/>
      <c r="UTQ174" s="202"/>
      <c r="UTR174" s="203"/>
      <c r="UTS174" s="204"/>
      <c r="UTT174" s="204"/>
      <c r="UTU174" s="204"/>
      <c r="UTV174" s="205"/>
      <c r="UTW174" s="206"/>
      <c r="UTX174" s="207"/>
      <c r="UTY174" s="207"/>
      <c r="UTZ174" s="208"/>
      <c r="UUA174" s="209"/>
      <c r="UUB174" s="207"/>
      <c r="UUC174" s="210"/>
      <c r="UUD174" s="209"/>
      <c r="UUE174" s="204"/>
      <c r="UUF174" s="204"/>
      <c r="UUG174" s="204"/>
      <c r="UUH174" s="199"/>
      <c r="UUI174" s="167"/>
      <c r="UUJ174" s="199"/>
      <c r="UUK174" s="200"/>
      <c r="UUL174" s="201"/>
      <c r="UUM174" s="202"/>
      <c r="UUN174" s="202"/>
      <c r="UUO174" s="202"/>
      <c r="UUP174" s="202"/>
      <c r="UUQ174" s="203"/>
      <c r="UUR174" s="204"/>
      <c r="UUS174" s="204"/>
      <c r="UUT174" s="204"/>
      <c r="UUU174" s="205"/>
      <c r="UUV174" s="206"/>
      <c r="UUW174" s="207"/>
      <c r="UUX174" s="207"/>
      <c r="UUY174" s="208"/>
      <c r="UUZ174" s="209"/>
      <c r="UVA174" s="207"/>
      <c r="UVB174" s="210"/>
      <c r="UVC174" s="209"/>
      <c r="UVD174" s="204"/>
      <c r="UVE174" s="204"/>
      <c r="UVF174" s="204"/>
      <c r="UVG174" s="199"/>
      <c r="UVH174" s="167"/>
      <c r="UVI174" s="199"/>
      <c r="UVJ174" s="200"/>
      <c r="UVK174" s="201"/>
      <c r="UVL174" s="202"/>
      <c r="UVM174" s="202"/>
      <c r="UVN174" s="202"/>
      <c r="UVO174" s="202"/>
      <c r="UVP174" s="203"/>
      <c r="UVQ174" s="204"/>
      <c r="UVR174" s="204"/>
      <c r="UVS174" s="204"/>
      <c r="UVT174" s="205"/>
      <c r="UVU174" s="206"/>
      <c r="UVV174" s="207"/>
      <c r="UVW174" s="207"/>
      <c r="UVX174" s="208"/>
      <c r="UVY174" s="209"/>
      <c r="UVZ174" s="207"/>
      <c r="UWA174" s="210"/>
      <c r="UWB174" s="209"/>
      <c r="UWC174" s="204"/>
      <c r="UWD174" s="204"/>
      <c r="UWE174" s="204"/>
      <c r="UWF174" s="199"/>
      <c r="UWG174" s="167"/>
      <c r="UWH174" s="199"/>
      <c r="UWI174" s="200"/>
      <c r="UWJ174" s="201"/>
      <c r="UWK174" s="202"/>
      <c r="UWL174" s="202"/>
      <c r="UWM174" s="202"/>
      <c r="UWN174" s="202"/>
      <c r="UWO174" s="203"/>
      <c r="UWP174" s="204"/>
      <c r="UWQ174" s="204"/>
      <c r="UWR174" s="204"/>
      <c r="UWS174" s="205"/>
      <c r="UWT174" s="206"/>
      <c r="UWU174" s="207"/>
      <c r="UWV174" s="207"/>
      <c r="UWW174" s="208"/>
      <c r="UWX174" s="209"/>
      <c r="UWY174" s="207"/>
      <c r="UWZ174" s="210"/>
      <c r="UXA174" s="209"/>
      <c r="UXB174" s="204"/>
      <c r="UXC174" s="204"/>
      <c r="UXD174" s="204"/>
      <c r="UXE174" s="199"/>
      <c r="UXF174" s="167"/>
      <c r="UXG174" s="199"/>
      <c r="UXH174" s="200"/>
      <c r="UXI174" s="201"/>
      <c r="UXJ174" s="202"/>
      <c r="UXK174" s="202"/>
      <c r="UXL174" s="202"/>
      <c r="UXM174" s="202"/>
      <c r="UXN174" s="203"/>
      <c r="UXO174" s="204"/>
      <c r="UXP174" s="204"/>
      <c r="UXQ174" s="204"/>
      <c r="UXR174" s="205"/>
      <c r="UXS174" s="206"/>
      <c r="UXT174" s="207"/>
      <c r="UXU174" s="207"/>
      <c r="UXV174" s="208"/>
      <c r="UXW174" s="209"/>
      <c r="UXX174" s="207"/>
      <c r="UXY174" s="210"/>
      <c r="UXZ174" s="209"/>
      <c r="UYA174" s="204"/>
      <c r="UYB174" s="204"/>
      <c r="UYC174" s="204"/>
      <c r="UYD174" s="199"/>
      <c r="UYE174" s="167"/>
      <c r="UYF174" s="199"/>
      <c r="UYG174" s="200"/>
      <c r="UYH174" s="201"/>
      <c r="UYI174" s="202"/>
      <c r="UYJ174" s="202"/>
      <c r="UYK174" s="202"/>
      <c r="UYL174" s="202"/>
      <c r="UYM174" s="203"/>
      <c r="UYN174" s="204"/>
      <c r="UYO174" s="204"/>
      <c r="UYP174" s="204"/>
      <c r="UYQ174" s="205"/>
      <c r="UYR174" s="206"/>
      <c r="UYS174" s="207"/>
      <c r="UYT174" s="207"/>
      <c r="UYU174" s="208"/>
      <c r="UYV174" s="209"/>
      <c r="UYW174" s="207"/>
      <c r="UYX174" s="210"/>
      <c r="UYY174" s="209"/>
      <c r="UYZ174" s="204"/>
      <c r="UZA174" s="204"/>
      <c r="UZB174" s="204"/>
      <c r="UZC174" s="199"/>
      <c r="UZD174" s="167"/>
      <c r="UZE174" s="199"/>
      <c r="UZF174" s="200"/>
      <c r="UZG174" s="201"/>
      <c r="UZH174" s="202"/>
      <c r="UZI174" s="202"/>
      <c r="UZJ174" s="202"/>
      <c r="UZK174" s="202"/>
      <c r="UZL174" s="203"/>
      <c r="UZM174" s="204"/>
      <c r="UZN174" s="204"/>
      <c r="UZO174" s="204"/>
      <c r="UZP174" s="205"/>
      <c r="UZQ174" s="206"/>
      <c r="UZR174" s="207"/>
      <c r="UZS174" s="207"/>
      <c r="UZT174" s="208"/>
      <c r="UZU174" s="209"/>
      <c r="UZV174" s="207"/>
      <c r="UZW174" s="210"/>
      <c r="UZX174" s="209"/>
      <c r="UZY174" s="204"/>
      <c r="UZZ174" s="204"/>
      <c r="VAA174" s="204"/>
      <c r="VAB174" s="199"/>
      <c r="VAC174" s="167"/>
      <c r="VAD174" s="199"/>
      <c r="VAE174" s="200"/>
      <c r="VAF174" s="201"/>
      <c r="VAG174" s="202"/>
      <c r="VAH174" s="202"/>
      <c r="VAI174" s="202"/>
      <c r="VAJ174" s="202"/>
      <c r="VAK174" s="203"/>
      <c r="VAL174" s="204"/>
      <c r="VAM174" s="204"/>
      <c r="VAN174" s="204"/>
      <c r="VAO174" s="205"/>
      <c r="VAP174" s="206"/>
      <c r="VAQ174" s="207"/>
      <c r="VAR174" s="207"/>
      <c r="VAS174" s="208"/>
      <c r="VAT174" s="209"/>
      <c r="VAU174" s="207"/>
      <c r="VAV174" s="210"/>
      <c r="VAW174" s="209"/>
      <c r="VAX174" s="204"/>
      <c r="VAY174" s="204"/>
      <c r="VAZ174" s="204"/>
      <c r="VBA174" s="199"/>
      <c r="VBB174" s="167"/>
      <c r="VBC174" s="199"/>
      <c r="VBD174" s="200"/>
      <c r="VBE174" s="201"/>
      <c r="VBF174" s="202"/>
      <c r="VBG174" s="202"/>
      <c r="VBH174" s="202"/>
      <c r="VBI174" s="202"/>
      <c r="VBJ174" s="203"/>
      <c r="VBK174" s="204"/>
      <c r="VBL174" s="204"/>
      <c r="VBM174" s="204"/>
      <c r="VBN174" s="205"/>
      <c r="VBO174" s="206"/>
      <c r="VBP174" s="207"/>
      <c r="VBQ174" s="207"/>
      <c r="VBR174" s="208"/>
      <c r="VBS174" s="209"/>
      <c r="VBT174" s="207"/>
      <c r="VBU174" s="210"/>
      <c r="VBV174" s="209"/>
      <c r="VBW174" s="204"/>
      <c r="VBX174" s="204"/>
      <c r="VBY174" s="204"/>
      <c r="VBZ174" s="199"/>
      <c r="VCA174" s="167"/>
      <c r="VCB174" s="199"/>
      <c r="VCC174" s="200"/>
      <c r="VCD174" s="201"/>
      <c r="VCE174" s="202"/>
      <c r="VCF174" s="202"/>
      <c r="VCG174" s="202"/>
      <c r="VCH174" s="202"/>
      <c r="VCI174" s="203"/>
      <c r="VCJ174" s="204"/>
      <c r="VCK174" s="204"/>
      <c r="VCL174" s="204"/>
      <c r="VCM174" s="205"/>
      <c r="VCN174" s="206"/>
      <c r="VCO174" s="207"/>
      <c r="VCP174" s="207"/>
      <c r="VCQ174" s="208"/>
      <c r="VCR174" s="209"/>
      <c r="VCS174" s="207"/>
      <c r="VCT174" s="210"/>
      <c r="VCU174" s="209"/>
      <c r="VCV174" s="204"/>
      <c r="VCW174" s="204"/>
      <c r="VCX174" s="204"/>
      <c r="VCY174" s="199"/>
      <c r="VCZ174" s="167"/>
      <c r="VDA174" s="199"/>
      <c r="VDB174" s="200"/>
      <c r="VDC174" s="201"/>
      <c r="VDD174" s="202"/>
      <c r="VDE174" s="202"/>
      <c r="VDF174" s="202"/>
      <c r="VDG174" s="202"/>
      <c r="VDH174" s="203"/>
      <c r="VDI174" s="204"/>
      <c r="VDJ174" s="204"/>
      <c r="VDK174" s="204"/>
      <c r="VDL174" s="205"/>
      <c r="VDM174" s="206"/>
      <c r="VDN174" s="207"/>
      <c r="VDO174" s="207"/>
      <c r="VDP174" s="208"/>
      <c r="VDQ174" s="209"/>
      <c r="VDR174" s="207"/>
      <c r="VDS174" s="210"/>
      <c r="VDT174" s="209"/>
      <c r="VDU174" s="204"/>
      <c r="VDV174" s="204"/>
      <c r="VDW174" s="204"/>
      <c r="VDX174" s="199"/>
      <c r="VDY174" s="167"/>
      <c r="VDZ174" s="199"/>
      <c r="VEA174" s="200"/>
      <c r="VEB174" s="201"/>
      <c r="VEC174" s="202"/>
      <c r="VED174" s="202"/>
      <c r="VEE174" s="202"/>
      <c r="VEF174" s="202"/>
      <c r="VEG174" s="203"/>
      <c r="VEH174" s="204"/>
      <c r="VEI174" s="204"/>
      <c r="VEJ174" s="204"/>
      <c r="VEK174" s="205"/>
      <c r="VEL174" s="206"/>
      <c r="VEM174" s="207"/>
      <c r="VEN174" s="207"/>
      <c r="VEO174" s="208"/>
      <c r="VEP174" s="209"/>
      <c r="VEQ174" s="207"/>
      <c r="VER174" s="210"/>
      <c r="VES174" s="209"/>
      <c r="VET174" s="204"/>
      <c r="VEU174" s="204"/>
      <c r="VEV174" s="204"/>
      <c r="VEW174" s="199"/>
      <c r="VEX174" s="167"/>
      <c r="VEY174" s="199"/>
      <c r="VEZ174" s="200"/>
      <c r="VFA174" s="201"/>
      <c r="VFB174" s="202"/>
      <c r="VFC174" s="202"/>
      <c r="VFD174" s="202"/>
      <c r="VFE174" s="202"/>
      <c r="VFF174" s="203"/>
      <c r="VFG174" s="204"/>
      <c r="VFH174" s="204"/>
      <c r="VFI174" s="204"/>
      <c r="VFJ174" s="205"/>
      <c r="VFK174" s="206"/>
      <c r="VFL174" s="207"/>
      <c r="VFM174" s="207"/>
      <c r="VFN174" s="208"/>
      <c r="VFO174" s="209"/>
      <c r="VFP174" s="207"/>
      <c r="VFQ174" s="210"/>
      <c r="VFR174" s="209"/>
      <c r="VFS174" s="204"/>
      <c r="VFT174" s="204"/>
      <c r="VFU174" s="204"/>
      <c r="VFV174" s="199"/>
      <c r="VFW174" s="167"/>
      <c r="VFX174" s="199"/>
      <c r="VFY174" s="200"/>
      <c r="VFZ174" s="201"/>
      <c r="VGA174" s="202"/>
      <c r="VGB174" s="202"/>
      <c r="VGC174" s="202"/>
      <c r="VGD174" s="202"/>
      <c r="VGE174" s="203"/>
      <c r="VGF174" s="204"/>
      <c r="VGG174" s="204"/>
      <c r="VGH174" s="204"/>
      <c r="VGI174" s="205"/>
      <c r="VGJ174" s="206"/>
      <c r="VGK174" s="207"/>
      <c r="VGL174" s="207"/>
      <c r="VGM174" s="208"/>
      <c r="VGN174" s="209"/>
      <c r="VGO174" s="207"/>
      <c r="VGP174" s="210"/>
      <c r="VGQ174" s="209"/>
      <c r="VGR174" s="204"/>
      <c r="VGS174" s="204"/>
      <c r="VGT174" s="204"/>
      <c r="VGU174" s="199"/>
      <c r="VGV174" s="167"/>
      <c r="VGW174" s="199"/>
      <c r="VGX174" s="200"/>
      <c r="VGY174" s="201"/>
      <c r="VGZ174" s="202"/>
      <c r="VHA174" s="202"/>
      <c r="VHB174" s="202"/>
      <c r="VHC174" s="202"/>
      <c r="VHD174" s="203"/>
      <c r="VHE174" s="204"/>
      <c r="VHF174" s="204"/>
      <c r="VHG174" s="204"/>
      <c r="VHH174" s="205"/>
      <c r="VHI174" s="206"/>
      <c r="VHJ174" s="207"/>
      <c r="VHK174" s="207"/>
      <c r="VHL174" s="208"/>
      <c r="VHM174" s="209"/>
      <c r="VHN174" s="207"/>
      <c r="VHO174" s="210"/>
      <c r="VHP174" s="209"/>
      <c r="VHQ174" s="204"/>
      <c r="VHR174" s="204"/>
      <c r="VHS174" s="204"/>
      <c r="VHT174" s="199"/>
      <c r="VHU174" s="167"/>
      <c r="VHV174" s="199"/>
      <c r="VHW174" s="200"/>
      <c r="VHX174" s="201"/>
      <c r="VHY174" s="202"/>
      <c r="VHZ174" s="202"/>
      <c r="VIA174" s="202"/>
      <c r="VIB174" s="202"/>
      <c r="VIC174" s="203"/>
      <c r="VID174" s="204"/>
      <c r="VIE174" s="204"/>
      <c r="VIF174" s="204"/>
      <c r="VIG174" s="205"/>
      <c r="VIH174" s="206"/>
      <c r="VII174" s="207"/>
      <c r="VIJ174" s="207"/>
      <c r="VIK174" s="208"/>
      <c r="VIL174" s="209"/>
      <c r="VIM174" s="207"/>
      <c r="VIN174" s="210"/>
      <c r="VIO174" s="209"/>
      <c r="VIP174" s="204"/>
      <c r="VIQ174" s="204"/>
      <c r="VIR174" s="204"/>
      <c r="VIS174" s="199"/>
      <c r="VIT174" s="167"/>
      <c r="VIU174" s="199"/>
      <c r="VIV174" s="200"/>
      <c r="VIW174" s="201"/>
      <c r="VIX174" s="202"/>
      <c r="VIY174" s="202"/>
      <c r="VIZ174" s="202"/>
      <c r="VJA174" s="202"/>
      <c r="VJB174" s="203"/>
      <c r="VJC174" s="204"/>
      <c r="VJD174" s="204"/>
      <c r="VJE174" s="204"/>
      <c r="VJF174" s="205"/>
      <c r="VJG174" s="206"/>
      <c r="VJH174" s="207"/>
      <c r="VJI174" s="207"/>
      <c r="VJJ174" s="208"/>
      <c r="VJK174" s="209"/>
      <c r="VJL174" s="207"/>
      <c r="VJM174" s="210"/>
      <c r="VJN174" s="209"/>
      <c r="VJO174" s="204"/>
      <c r="VJP174" s="204"/>
      <c r="VJQ174" s="204"/>
      <c r="VJR174" s="199"/>
      <c r="VJS174" s="167"/>
      <c r="VJT174" s="199"/>
      <c r="VJU174" s="200"/>
      <c r="VJV174" s="201"/>
      <c r="VJW174" s="202"/>
      <c r="VJX174" s="202"/>
      <c r="VJY174" s="202"/>
      <c r="VJZ174" s="202"/>
      <c r="VKA174" s="203"/>
      <c r="VKB174" s="204"/>
      <c r="VKC174" s="204"/>
      <c r="VKD174" s="204"/>
      <c r="VKE174" s="205"/>
      <c r="VKF174" s="206"/>
      <c r="VKG174" s="207"/>
      <c r="VKH174" s="207"/>
      <c r="VKI174" s="208"/>
      <c r="VKJ174" s="209"/>
      <c r="VKK174" s="207"/>
      <c r="VKL174" s="210"/>
      <c r="VKM174" s="209"/>
      <c r="VKN174" s="204"/>
      <c r="VKO174" s="204"/>
      <c r="VKP174" s="204"/>
      <c r="VKQ174" s="199"/>
      <c r="VKR174" s="167"/>
      <c r="VKS174" s="199"/>
      <c r="VKT174" s="200"/>
      <c r="VKU174" s="201"/>
      <c r="VKV174" s="202"/>
      <c r="VKW174" s="202"/>
      <c r="VKX174" s="202"/>
      <c r="VKY174" s="202"/>
      <c r="VKZ174" s="203"/>
      <c r="VLA174" s="204"/>
      <c r="VLB174" s="204"/>
      <c r="VLC174" s="204"/>
      <c r="VLD174" s="205"/>
      <c r="VLE174" s="206"/>
      <c r="VLF174" s="207"/>
      <c r="VLG174" s="207"/>
      <c r="VLH174" s="208"/>
      <c r="VLI174" s="209"/>
      <c r="VLJ174" s="207"/>
      <c r="VLK174" s="210"/>
      <c r="VLL174" s="209"/>
      <c r="VLM174" s="204"/>
      <c r="VLN174" s="204"/>
      <c r="VLO174" s="204"/>
      <c r="VLP174" s="199"/>
      <c r="VLQ174" s="167"/>
      <c r="VLR174" s="199"/>
      <c r="VLS174" s="200"/>
      <c r="VLT174" s="201"/>
      <c r="VLU174" s="202"/>
      <c r="VLV174" s="202"/>
      <c r="VLW174" s="202"/>
      <c r="VLX174" s="202"/>
      <c r="VLY174" s="203"/>
      <c r="VLZ174" s="204"/>
      <c r="VMA174" s="204"/>
      <c r="VMB174" s="204"/>
      <c r="VMC174" s="205"/>
      <c r="VMD174" s="206"/>
      <c r="VME174" s="207"/>
      <c r="VMF174" s="207"/>
      <c r="VMG174" s="208"/>
      <c r="VMH174" s="209"/>
      <c r="VMI174" s="207"/>
      <c r="VMJ174" s="210"/>
      <c r="VMK174" s="209"/>
      <c r="VML174" s="204"/>
      <c r="VMM174" s="204"/>
      <c r="VMN174" s="204"/>
      <c r="VMO174" s="199"/>
      <c r="VMP174" s="167"/>
      <c r="VMQ174" s="199"/>
      <c r="VMR174" s="200"/>
      <c r="VMS174" s="201"/>
      <c r="VMT174" s="202"/>
      <c r="VMU174" s="202"/>
      <c r="VMV174" s="202"/>
      <c r="VMW174" s="202"/>
      <c r="VMX174" s="203"/>
      <c r="VMY174" s="204"/>
      <c r="VMZ174" s="204"/>
      <c r="VNA174" s="204"/>
      <c r="VNB174" s="205"/>
      <c r="VNC174" s="206"/>
      <c r="VND174" s="207"/>
      <c r="VNE174" s="207"/>
      <c r="VNF174" s="208"/>
      <c r="VNG174" s="209"/>
      <c r="VNH174" s="207"/>
      <c r="VNI174" s="210"/>
      <c r="VNJ174" s="209"/>
      <c r="VNK174" s="204"/>
      <c r="VNL174" s="204"/>
      <c r="VNM174" s="204"/>
      <c r="VNN174" s="199"/>
      <c r="VNO174" s="167"/>
      <c r="VNP174" s="199"/>
      <c r="VNQ174" s="200"/>
      <c r="VNR174" s="201"/>
      <c r="VNS174" s="202"/>
      <c r="VNT174" s="202"/>
      <c r="VNU174" s="202"/>
      <c r="VNV174" s="202"/>
      <c r="VNW174" s="203"/>
      <c r="VNX174" s="204"/>
      <c r="VNY174" s="204"/>
      <c r="VNZ174" s="204"/>
      <c r="VOA174" s="205"/>
      <c r="VOB174" s="206"/>
      <c r="VOC174" s="207"/>
      <c r="VOD174" s="207"/>
      <c r="VOE174" s="208"/>
      <c r="VOF174" s="209"/>
      <c r="VOG174" s="207"/>
      <c r="VOH174" s="210"/>
      <c r="VOI174" s="209"/>
      <c r="VOJ174" s="204"/>
      <c r="VOK174" s="204"/>
      <c r="VOL174" s="204"/>
      <c r="VOM174" s="199"/>
      <c r="VON174" s="167"/>
      <c r="VOO174" s="199"/>
      <c r="VOP174" s="200"/>
      <c r="VOQ174" s="201"/>
      <c r="VOR174" s="202"/>
      <c r="VOS174" s="202"/>
      <c r="VOT174" s="202"/>
      <c r="VOU174" s="202"/>
      <c r="VOV174" s="203"/>
      <c r="VOW174" s="204"/>
      <c r="VOX174" s="204"/>
      <c r="VOY174" s="204"/>
      <c r="VOZ174" s="205"/>
      <c r="VPA174" s="206"/>
      <c r="VPB174" s="207"/>
      <c r="VPC174" s="207"/>
      <c r="VPD174" s="208"/>
      <c r="VPE174" s="209"/>
      <c r="VPF174" s="207"/>
      <c r="VPG174" s="210"/>
      <c r="VPH174" s="209"/>
      <c r="VPI174" s="204"/>
      <c r="VPJ174" s="204"/>
      <c r="VPK174" s="204"/>
      <c r="VPL174" s="199"/>
      <c r="VPM174" s="167"/>
      <c r="VPN174" s="199"/>
      <c r="VPO174" s="200"/>
      <c r="VPP174" s="201"/>
      <c r="VPQ174" s="202"/>
      <c r="VPR174" s="202"/>
      <c r="VPS174" s="202"/>
      <c r="VPT174" s="202"/>
      <c r="VPU174" s="203"/>
      <c r="VPV174" s="204"/>
      <c r="VPW174" s="204"/>
      <c r="VPX174" s="204"/>
      <c r="VPY174" s="205"/>
      <c r="VPZ174" s="206"/>
      <c r="VQA174" s="207"/>
      <c r="VQB174" s="207"/>
      <c r="VQC174" s="208"/>
      <c r="VQD174" s="209"/>
      <c r="VQE174" s="207"/>
      <c r="VQF174" s="210"/>
      <c r="VQG174" s="209"/>
      <c r="VQH174" s="204"/>
      <c r="VQI174" s="204"/>
      <c r="VQJ174" s="204"/>
      <c r="VQK174" s="199"/>
      <c r="VQL174" s="167"/>
      <c r="VQM174" s="199"/>
      <c r="VQN174" s="200"/>
      <c r="VQO174" s="201"/>
      <c r="VQP174" s="202"/>
      <c r="VQQ174" s="202"/>
      <c r="VQR174" s="202"/>
      <c r="VQS174" s="202"/>
      <c r="VQT174" s="203"/>
      <c r="VQU174" s="204"/>
      <c r="VQV174" s="204"/>
      <c r="VQW174" s="204"/>
      <c r="VQX174" s="205"/>
      <c r="VQY174" s="206"/>
      <c r="VQZ174" s="207"/>
      <c r="VRA174" s="207"/>
      <c r="VRB174" s="208"/>
      <c r="VRC174" s="209"/>
      <c r="VRD174" s="207"/>
      <c r="VRE174" s="210"/>
      <c r="VRF174" s="209"/>
      <c r="VRG174" s="204"/>
      <c r="VRH174" s="204"/>
      <c r="VRI174" s="204"/>
      <c r="VRJ174" s="199"/>
      <c r="VRK174" s="167"/>
      <c r="VRL174" s="199"/>
      <c r="VRM174" s="200"/>
      <c r="VRN174" s="201"/>
      <c r="VRO174" s="202"/>
      <c r="VRP174" s="202"/>
      <c r="VRQ174" s="202"/>
      <c r="VRR174" s="202"/>
      <c r="VRS174" s="203"/>
      <c r="VRT174" s="204"/>
      <c r="VRU174" s="204"/>
      <c r="VRV174" s="204"/>
      <c r="VRW174" s="205"/>
      <c r="VRX174" s="206"/>
      <c r="VRY174" s="207"/>
      <c r="VRZ174" s="207"/>
      <c r="VSA174" s="208"/>
      <c r="VSB174" s="209"/>
      <c r="VSC174" s="207"/>
      <c r="VSD174" s="210"/>
      <c r="VSE174" s="209"/>
      <c r="VSF174" s="204"/>
      <c r="VSG174" s="204"/>
      <c r="VSH174" s="204"/>
      <c r="VSI174" s="199"/>
      <c r="VSJ174" s="167"/>
      <c r="VSK174" s="199"/>
      <c r="VSL174" s="200"/>
      <c r="VSM174" s="201"/>
      <c r="VSN174" s="202"/>
      <c r="VSO174" s="202"/>
      <c r="VSP174" s="202"/>
      <c r="VSQ174" s="202"/>
      <c r="VSR174" s="203"/>
      <c r="VSS174" s="204"/>
      <c r="VST174" s="204"/>
      <c r="VSU174" s="204"/>
      <c r="VSV174" s="205"/>
      <c r="VSW174" s="206"/>
      <c r="VSX174" s="207"/>
      <c r="VSY174" s="207"/>
      <c r="VSZ174" s="208"/>
      <c r="VTA174" s="209"/>
      <c r="VTB174" s="207"/>
      <c r="VTC174" s="210"/>
      <c r="VTD174" s="209"/>
      <c r="VTE174" s="204"/>
      <c r="VTF174" s="204"/>
      <c r="VTG174" s="204"/>
      <c r="VTH174" s="199"/>
      <c r="VTI174" s="167"/>
      <c r="VTJ174" s="199"/>
      <c r="VTK174" s="200"/>
      <c r="VTL174" s="201"/>
      <c r="VTM174" s="202"/>
      <c r="VTN174" s="202"/>
      <c r="VTO174" s="202"/>
      <c r="VTP174" s="202"/>
      <c r="VTQ174" s="203"/>
      <c r="VTR174" s="204"/>
      <c r="VTS174" s="204"/>
      <c r="VTT174" s="204"/>
      <c r="VTU174" s="205"/>
      <c r="VTV174" s="206"/>
      <c r="VTW174" s="207"/>
      <c r="VTX174" s="207"/>
      <c r="VTY174" s="208"/>
      <c r="VTZ174" s="209"/>
      <c r="VUA174" s="207"/>
      <c r="VUB174" s="210"/>
      <c r="VUC174" s="209"/>
      <c r="VUD174" s="204"/>
      <c r="VUE174" s="204"/>
      <c r="VUF174" s="204"/>
      <c r="VUG174" s="199"/>
      <c r="VUH174" s="167"/>
      <c r="VUI174" s="199"/>
      <c r="VUJ174" s="200"/>
      <c r="VUK174" s="201"/>
      <c r="VUL174" s="202"/>
      <c r="VUM174" s="202"/>
      <c r="VUN174" s="202"/>
      <c r="VUO174" s="202"/>
      <c r="VUP174" s="203"/>
      <c r="VUQ174" s="204"/>
      <c r="VUR174" s="204"/>
      <c r="VUS174" s="204"/>
      <c r="VUT174" s="205"/>
      <c r="VUU174" s="206"/>
      <c r="VUV174" s="207"/>
      <c r="VUW174" s="207"/>
      <c r="VUX174" s="208"/>
      <c r="VUY174" s="209"/>
      <c r="VUZ174" s="207"/>
      <c r="VVA174" s="210"/>
      <c r="VVB174" s="209"/>
      <c r="VVC174" s="204"/>
      <c r="VVD174" s="204"/>
      <c r="VVE174" s="204"/>
      <c r="VVF174" s="199"/>
      <c r="VVG174" s="167"/>
      <c r="VVH174" s="199"/>
      <c r="VVI174" s="200"/>
      <c r="VVJ174" s="201"/>
      <c r="VVK174" s="202"/>
      <c r="VVL174" s="202"/>
      <c r="VVM174" s="202"/>
      <c r="VVN174" s="202"/>
      <c r="VVO174" s="203"/>
      <c r="VVP174" s="204"/>
      <c r="VVQ174" s="204"/>
      <c r="VVR174" s="204"/>
      <c r="VVS174" s="205"/>
      <c r="VVT174" s="206"/>
      <c r="VVU174" s="207"/>
      <c r="VVV174" s="207"/>
      <c r="VVW174" s="208"/>
      <c r="VVX174" s="209"/>
      <c r="VVY174" s="207"/>
      <c r="VVZ174" s="210"/>
      <c r="VWA174" s="209"/>
      <c r="VWB174" s="204"/>
      <c r="VWC174" s="204"/>
      <c r="VWD174" s="204"/>
      <c r="VWE174" s="199"/>
      <c r="VWF174" s="167"/>
      <c r="VWG174" s="199"/>
      <c r="VWH174" s="200"/>
      <c r="VWI174" s="201"/>
      <c r="VWJ174" s="202"/>
      <c r="VWK174" s="202"/>
      <c r="VWL174" s="202"/>
      <c r="VWM174" s="202"/>
      <c r="VWN174" s="203"/>
      <c r="VWO174" s="204"/>
      <c r="VWP174" s="204"/>
      <c r="VWQ174" s="204"/>
      <c r="VWR174" s="205"/>
      <c r="VWS174" s="206"/>
      <c r="VWT174" s="207"/>
      <c r="VWU174" s="207"/>
      <c r="VWV174" s="208"/>
      <c r="VWW174" s="209"/>
      <c r="VWX174" s="207"/>
      <c r="VWY174" s="210"/>
      <c r="VWZ174" s="209"/>
      <c r="VXA174" s="204"/>
      <c r="VXB174" s="204"/>
      <c r="VXC174" s="204"/>
      <c r="VXD174" s="199"/>
      <c r="VXE174" s="167"/>
      <c r="VXF174" s="199"/>
      <c r="VXG174" s="200"/>
      <c r="VXH174" s="201"/>
      <c r="VXI174" s="202"/>
      <c r="VXJ174" s="202"/>
      <c r="VXK174" s="202"/>
      <c r="VXL174" s="202"/>
      <c r="VXM174" s="203"/>
      <c r="VXN174" s="204"/>
      <c r="VXO174" s="204"/>
      <c r="VXP174" s="204"/>
      <c r="VXQ174" s="205"/>
      <c r="VXR174" s="206"/>
      <c r="VXS174" s="207"/>
      <c r="VXT174" s="207"/>
      <c r="VXU174" s="208"/>
      <c r="VXV174" s="209"/>
      <c r="VXW174" s="207"/>
      <c r="VXX174" s="210"/>
      <c r="VXY174" s="209"/>
      <c r="VXZ174" s="204"/>
      <c r="VYA174" s="204"/>
      <c r="VYB174" s="204"/>
      <c r="VYC174" s="199"/>
      <c r="VYD174" s="167"/>
      <c r="VYE174" s="199"/>
      <c r="VYF174" s="200"/>
      <c r="VYG174" s="201"/>
      <c r="VYH174" s="202"/>
      <c r="VYI174" s="202"/>
      <c r="VYJ174" s="202"/>
      <c r="VYK174" s="202"/>
      <c r="VYL174" s="203"/>
      <c r="VYM174" s="204"/>
      <c r="VYN174" s="204"/>
      <c r="VYO174" s="204"/>
      <c r="VYP174" s="205"/>
      <c r="VYQ174" s="206"/>
      <c r="VYR174" s="207"/>
      <c r="VYS174" s="207"/>
      <c r="VYT174" s="208"/>
      <c r="VYU174" s="209"/>
      <c r="VYV174" s="207"/>
      <c r="VYW174" s="210"/>
      <c r="VYX174" s="209"/>
      <c r="VYY174" s="204"/>
      <c r="VYZ174" s="204"/>
      <c r="VZA174" s="204"/>
      <c r="VZB174" s="199"/>
      <c r="VZC174" s="167"/>
      <c r="VZD174" s="199"/>
      <c r="VZE174" s="200"/>
      <c r="VZF174" s="201"/>
      <c r="VZG174" s="202"/>
      <c r="VZH174" s="202"/>
      <c r="VZI174" s="202"/>
      <c r="VZJ174" s="202"/>
      <c r="VZK174" s="203"/>
      <c r="VZL174" s="204"/>
      <c r="VZM174" s="204"/>
      <c r="VZN174" s="204"/>
      <c r="VZO174" s="205"/>
      <c r="VZP174" s="206"/>
      <c r="VZQ174" s="207"/>
      <c r="VZR174" s="207"/>
      <c r="VZS174" s="208"/>
      <c r="VZT174" s="209"/>
      <c r="VZU174" s="207"/>
      <c r="VZV174" s="210"/>
      <c r="VZW174" s="209"/>
      <c r="VZX174" s="204"/>
      <c r="VZY174" s="204"/>
      <c r="VZZ174" s="204"/>
      <c r="WAA174" s="199"/>
      <c r="WAB174" s="167"/>
      <c r="WAC174" s="199"/>
      <c r="WAD174" s="200"/>
      <c r="WAE174" s="201"/>
      <c r="WAF174" s="202"/>
      <c r="WAG174" s="202"/>
      <c r="WAH174" s="202"/>
      <c r="WAI174" s="202"/>
      <c r="WAJ174" s="203"/>
      <c r="WAK174" s="204"/>
      <c r="WAL174" s="204"/>
      <c r="WAM174" s="204"/>
      <c r="WAN174" s="205"/>
      <c r="WAO174" s="206"/>
      <c r="WAP174" s="207"/>
      <c r="WAQ174" s="207"/>
      <c r="WAR174" s="208"/>
      <c r="WAS174" s="209"/>
      <c r="WAT174" s="207"/>
      <c r="WAU174" s="210"/>
      <c r="WAV174" s="209"/>
      <c r="WAW174" s="204"/>
      <c r="WAX174" s="204"/>
      <c r="WAY174" s="204"/>
      <c r="WAZ174" s="199"/>
      <c r="WBA174" s="167"/>
      <c r="WBB174" s="199"/>
      <c r="WBC174" s="200"/>
      <c r="WBD174" s="201"/>
      <c r="WBE174" s="202"/>
      <c r="WBF174" s="202"/>
      <c r="WBG174" s="202"/>
      <c r="WBH174" s="202"/>
      <c r="WBI174" s="203"/>
      <c r="WBJ174" s="204"/>
      <c r="WBK174" s="204"/>
      <c r="WBL174" s="204"/>
      <c r="WBM174" s="205"/>
      <c r="WBN174" s="206"/>
      <c r="WBO174" s="207"/>
      <c r="WBP174" s="207"/>
      <c r="WBQ174" s="208"/>
      <c r="WBR174" s="209"/>
      <c r="WBS174" s="207"/>
      <c r="WBT174" s="210"/>
      <c r="WBU174" s="209"/>
      <c r="WBV174" s="204"/>
      <c r="WBW174" s="204"/>
      <c r="WBX174" s="204"/>
      <c r="WBY174" s="199"/>
      <c r="WBZ174" s="167"/>
      <c r="WCA174" s="199"/>
      <c r="WCB174" s="200"/>
      <c r="WCC174" s="201"/>
      <c r="WCD174" s="202"/>
      <c r="WCE174" s="202"/>
      <c r="WCF174" s="202"/>
      <c r="WCG174" s="202"/>
      <c r="WCH174" s="203"/>
      <c r="WCI174" s="204"/>
      <c r="WCJ174" s="204"/>
      <c r="WCK174" s="204"/>
      <c r="WCL174" s="205"/>
      <c r="WCM174" s="206"/>
      <c r="WCN174" s="207"/>
      <c r="WCO174" s="207"/>
      <c r="WCP174" s="208"/>
      <c r="WCQ174" s="209"/>
      <c r="WCR174" s="207"/>
      <c r="WCS174" s="210"/>
      <c r="WCT174" s="209"/>
      <c r="WCU174" s="204"/>
      <c r="WCV174" s="204"/>
      <c r="WCW174" s="204"/>
      <c r="WCX174" s="199"/>
      <c r="WCY174" s="167"/>
      <c r="WCZ174" s="199"/>
      <c r="WDA174" s="200"/>
      <c r="WDB174" s="201"/>
      <c r="WDC174" s="202"/>
      <c r="WDD174" s="202"/>
      <c r="WDE174" s="202"/>
      <c r="WDF174" s="202"/>
      <c r="WDG174" s="203"/>
      <c r="WDH174" s="204"/>
      <c r="WDI174" s="204"/>
      <c r="WDJ174" s="204"/>
      <c r="WDK174" s="205"/>
      <c r="WDL174" s="206"/>
      <c r="WDM174" s="207"/>
      <c r="WDN174" s="207"/>
      <c r="WDO174" s="208"/>
      <c r="WDP174" s="209"/>
      <c r="WDQ174" s="207"/>
      <c r="WDR174" s="210"/>
      <c r="WDS174" s="209"/>
      <c r="WDT174" s="204"/>
      <c r="WDU174" s="204"/>
      <c r="WDV174" s="204"/>
      <c r="WDW174" s="199"/>
      <c r="WDX174" s="167"/>
      <c r="WDY174" s="199"/>
      <c r="WDZ174" s="200"/>
      <c r="WEA174" s="201"/>
      <c r="WEB174" s="202"/>
      <c r="WEC174" s="202"/>
      <c r="WED174" s="202"/>
      <c r="WEE174" s="202"/>
      <c r="WEF174" s="203"/>
      <c r="WEG174" s="204"/>
      <c r="WEH174" s="204"/>
      <c r="WEI174" s="204"/>
      <c r="WEJ174" s="205"/>
      <c r="WEK174" s="206"/>
      <c r="WEL174" s="207"/>
      <c r="WEM174" s="207"/>
      <c r="WEN174" s="208"/>
      <c r="WEO174" s="209"/>
      <c r="WEP174" s="207"/>
      <c r="WEQ174" s="210"/>
      <c r="WER174" s="209"/>
      <c r="WES174" s="204"/>
      <c r="WET174" s="204"/>
      <c r="WEU174" s="204"/>
      <c r="WEV174" s="199"/>
      <c r="WEW174" s="167"/>
      <c r="WEX174" s="199"/>
      <c r="WEY174" s="200"/>
      <c r="WEZ174" s="201"/>
      <c r="WFA174" s="202"/>
      <c r="WFB174" s="202"/>
      <c r="WFC174" s="202"/>
      <c r="WFD174" s="202"/>
      <c r="WFE174" s="203"/>
      <c r="WFF174" s="204"/>
      <c r="WFG174" s="204"/>
      <c r="WFH174" s="204"/>
      <c r="WFI174" s="205"/>
      <c r="WFJ174" s="206"/>
      <c r="WFK174" s="207"/>
      <c r="WFL174" s="207"/>
      <c r="WFM174" s="208"/>
      <c r="WFN174" s="209"/>
      <c r="WFO174" s="207"/>
      <c r="WFP174" s="210"/>
      <c r="WFQ174" s="209"/>
      <c r="WFR174" s="204"/>
      <c r="WFS174" s="204"/>
      <c r="WFT174" s="204"/>
      <c r="WFU174" s="199"/>
      <c r="WFV174" s="167"/>
      <c r="WFW174" s="199"/>
      <c r="WFX174" s="200"/>
      <c r="WFY174" s="201"/>
      <c r="WFZ174" s="202"/>
      <c r="WGA174" s="202"/>
      <c r="WGB174" s="202"/>
      <c r="WGC174" s="202"/>
      <c r="WGD174" s="203"/>
      <c r="WGE174" s="204"/>
      <c r="WGF174" s="204"/>
      <c r="WGG174" s="204"/>
      <c r="WGH174" s="205"/>
      <c r="WGI174" s="206"/>
      <c r="WGJ174" s="207"/>
      <c r="WGK174" s="207"/>
      <c r="WGL174" s="208"/>
      <c r="WGM174" s="209"/>
      <c r="WGN174" s="207"/>
      <c r="WGO174" s="210"/>
      <c r="WGP174" s="209"/>
      <c r="WGQ174" s="204"/>
      <c r="WGR174" s="204"/>
      <c r="WGS174" s="204"/>
      <c r="WGT174" s="199"/>
      <c r="WGU174" s="167"/>
      <c r="WGV174" s="199"/>
      <c r="WGW174" s="200"/>
      <c r="WGX174" s="201"/>
      <c r="WGY174" s="202"/>
      <c r="WGZ174" s="202"/>
      <c r="WHA174" s="202"/>
      <c r="WHB174" s="202"/>
      <c r="WHC174" s="203"/>
      <c r="WHD174" s="204"/>
      <c r="WHE174" s="204"/>
      <c r="WHF174" s="204"/>
      <c r="WHG174" s="205"/>
      <c r="WHH174" s="206"/>
      <c r="WHI174" s="207"/>
      <c r="WHJ174" s="207"/>
      <c r="WHK174" s="208"/>
      <c r="WHL174" s="209"/>
      <c r="WHM174" s="207"/>
      <c r="WHN174" s="210"/>
      <c r="WHO174" s="209"/>
      <c r="WHP174" s="204"/>
      <c r="WHQ174" s="204"/>
      <c r="WHR174" s="204"/>
      <c r="WHS174" s="199"/>
      <c r="WHT174" s="167"/>
      <c r="WHU174" s="199"/>
      <c r="WHV174" s="200"/>
      <c r="WHW174" s="201"/>
      <c r="WHX174" s="202"/>
      <c r="WHY174" s="202"/>
      <c r="WHZ174" s="202"/>
      <c r="WIA174" s="202"/>
      <c r="WIB174" s="203"/>
      <c r="WIC174" s="204"/>
      <c r="WID174" s="204"/>
      <c r="WIE174" s="204"/>
      <c r="WIF174" s="205"/>
      <c r="WIG174" s="206"/>
      <c r="WIH174" s="207"/>
      <c r="WII174" s="207"/>
      <c r="WIJ174" s="208"/>
      <c r="WIK174" s="209"/>
      <c r="WIL174" s="207"/>
      <c r="WIM174" s="210"/>
      <c r="WIN174" s="209"/>
      <c r="WIO174" s="204"/>
      <c r="WIP174" s="204"/>
      <c r="WIQ174" s="204"/>
      <c r="WIR174" s="199"/>
      <c r="WIS174" s="167"/>
      <c r="WIT174" s="199"/>
      <c r="WIU174" s="200"/>
      <c r="WIV174" s="201"/>
      <c r="WIW174" s="202"/>
      <c r="WIX174" s="202"/>
      <c r="WIY174" s="202"/>
      <c r="WIZ174" s="202"/>
      <c r="WJA174" s="203"/>
      <c r="WJB174" s="204"/>
      <c r="WJC174" s="204"/>
      <c r="WJD174" s="204"/>
      <c r="WJE174" s="205"/>
      <c r="WJF174" s="206"/>
      <c r="WJG174" s="207"/>
      <c r="WJH174" s="207"/>
      <c r="WJI174" s="208"/>
      <c r="WJJ174" s="209"/>
      <c r="WJK174" s="207"/>
      <c r="WJL174" s="210"/>
      <c r="WJM174" s="209"/>
      <c r="WJN174" s="204"/>
      <c r="WJO174" s="204"/>
      <c r="WJP174" s="204"/>
      <c r="WJQ174" s="199"/>
      <c r="WJR174" s="167"/>
      <c r="WJS174" s="199"/>
      <c r="WJT174" s="200"/>
      <c r="WJU174" s="201"/>
      <c r="WJV174" s="202"/>
      <c r="WJW174" s="202"/>
      <c r="WJX174" s="202"/>
      <c r="WJY174" s="202"/>
      <c r="WJZ174" s="203"/>
      <c r="WKA174" s="204"/>
      <c r="WKB174" s="204"/>
      <c r="WKC174" s="204"/>
      <c r="WKD174" s="205"/>
      <c r="WKE174" s="206"/>
      <c r="WKF174" s="207"/>
      <c r="WKG174" s="207"/>
      <c r="WKH174" s="208"/>
      <c r="WKI174" s="209"/>
      <c r="WKJ174" s="207"/>
      <c r="WKK174" s="210"/>
      <c r="WKL174" s="209"/>
      <c r="WKM174" s="204"/>
      <c r="WKN174" s="204"/>
      <c r="WKO174" s="204"/>
      <c r="WKP174" s="199"/>
      <c r="WKQ174" s="167"/>
      <c r="WKR174" s="199"/>
      <c r="WKS174" s="200"/>
      <c r="WKT174" s="201"/>
      <c r="WKU174" s="202"/>
      <c r="WKV174" s="202"/>
      <c r="WKW174" s="202"/>
      <c r="WKX174" s="202"/>
      <c r="WKY174" s="203"/>
      <c r="WKZ174" s="204"/>
      <c r="WLA174" s="204"/>
      <c r="WLB174" s="204"/>
      <c r="WLC174" s="205"/>
      <c r="WLD174" s="206"/>
      <c r="WLE174" s="207"/>
      <c r="WLF174" s="207"/>
      <c r="WLG174" s="208"/>
      <c r="WLH174" s="209"/>
      <c r="WLI174" s="207"/>
      <c r="WLJ174" s="210"/>
      <c r="WLK174" s="209"/>
      <c r="WLL174" s="204"/>
      <c r="WLM174" s="204"/>
      <c r="WLN174" s="204"/>
      <c r="WLO174" s="199"/>
      <c r="WLP174" s="167"/>
      <c r="WLQ174" s="199"/>
      <c r="WLR174" s="200"/>
      <c r="WLS174" s="201"/>
      <c r="WLT174" s="202"/>
      <c r="WLU174" s="202"/>
      <c r="WLV174" s="202"/>
      <c r="WLW174" s="202"/>
      <c r="WLX174" s="203"/>
      <c r="WLY174" s="204"/>
      <c r="WLZ174" s="204"/>
      <c r="WMA174" s="204"/>
      <c r="WMB174" s="205"/>
      <c r="WMC174" s="206"/>
      <c r="WMD174" s="207"/>
      <c r="WME174" s="207"/>
      <c r="WMF174" s="208"/>
      <c r="WMG174" s="209"/>
      <c r="WMH174" s="207"/>
      <c r="WMI174" s="210"/>
      <c r="WMJ174" s="209"/>
      <c r="WMK174" s="204"/>
      <c r="WML174" s="204"/>
      <c r="WMM174" s="204"/>
      <c r="WMN174" s="199"/>
      <c r="WMO174" s="167"/>
      <c r="WMP174" s="199"/>
      <c r="WMQ174" s="200"/>
      <c r="WMR174" s="201"/>
      <c r="WMS174" s="202"/>
      <c r="WMT174" s="202"/>
      <c r="WMU174" s="202"/>
      <c r="WMV174" s="202"/>
      <c r="WMW174" s="203"/>
      <c r="WMX174" s="204"/>
      <c r="WMY174" s="204"/>
      <c r="WMZ174" s="204"/>
      <c r="WNA174" s="205"/>
      <c r="WNB174" s="206"/>
      <c r="WNC174" s="207"/>
      <c r="WND174" s="207"/>
      <c r="WNE174" s="208"/>
      <c r="WNF174" s="209"/>
      <c r="WNG174" s="207"/>
      <c r="WNH174" s="210"/>
      <c r="WNI174" s="209"/>
      <c r="WNJ174" s="204"/>
      <c r="WNK174" s="204"/>
      <c r="WNL174" s="204"/>
      <c r="WNM174" s="199"/>
      <c r="WNN174" s="167"/>
      <c r="WNO174" s="199"/>
      <c r="WNP174" s="200"/>
      <c r="WNQ174" s="201"/>
      <c r="WNR174" s="202"/>
      <c r="WNS174" s="202"/>
      <c r="WNT174" s="202"/>
      <c r="WNU174" s="202"/>
      <c r="WNV174" s="203"/>
      <c r="WNW174" s="204"/>
      <c r="WNX174" s="204"/>
      <c r="WNY174" s="204"/>
      <c r="WNZ174" s="205"/>
      <c r="WOA174" s="206"/>
      <c r="WOB174" s="207"/>
      <c r="WOC174" s="207"/>
      <c r="WOD174" s="208"/>
      <c r="WOE174" s="209"/>
      <c r="WOF174" s="207"/>
      <c r="WOG174" s="210"/>
      <c r="WOH174" s="209"/>
      <c r="WOI174" s="204"/>
      <c r="WOJ174" s="204"/>
      <c r="WOK174" s="204"/>
      <c r="WOL174" s="199"/>
      <c r="WOM174" s="167"/>
      <c r="WON174" s="199"/>
      <c r="WOO174" s="200"/>
      <c r="WOP174" s="201"/>
      <c r="WOQ174" s="202"/>
      <c r="WOR174" s="202"/>
      <c r="WOS174" s="202"/>
      <c r="WOT174" s="202"/>
      <c r="WOU174" s="203"/>
      <c r="WOV174" s="204"/>
      <c r="WOW174" s="204"/>
      <c r="WOX174" s="204"/>
      <c r="WOY174" s="205"/>
      <c r="WOZ174" s="206"/>
      <c r="WPA174" s="207"/>
      <c r="WPB174" s="207"/>
      <c r="WPC174" s="208"/>
      <c r="WPD174" s="209"/>
      <c r="WPE174" s="207"/>
      <c r="WPF174" s="210"/>
      <c r="WPG174" s="209"/>
      <c r="WPH174" s="204"/>
      <c r="WPI174" s="204"/>
      <c r="WPJ174" s="204"/>
      <c r="WPK174" s="199"/>
      <c r="WPL174" s="167"/>
      <c r="WPM174" s="199"/>
      <c r="WPN174" s="200"/>
      <c r="WPO174" s="201"/>
      <c r="WPP174" s="202"/>
      <c r="WPQ174" s="202"/>
      <c r="WPR174" s="202"/>
      <c r="WPS174" s="202"/>
      <c r="WPT174" s="203"/>
      <c r="WPU174" s="204"/>
      <c r="WPV174" s="204"/>
      <c r="WPW174" s="204"/>
      <c r="WPX174" s="205"/>
      <c r="WPY174" s="206"/>
      <c r="WPZ174" s="207"/>
      <c r="WQA174" s="207"/>
      <c r="WQB174" s="208"/>
      <c r="WQC174" s="209"/>
      <c r="WQD174" s="207"/>
      <c r="WQE174" s="210"/>
      <c r="WQF174" s="209"/>
      <c r="WQG174" s="204"/>
      <c r="WQH174" s="204"/>
      <c r="WQI174" s="204"/>
      <c r="WQJ174" s="199"/>
      <c r="WQK174" s="167"/>
      <c r="WQL174" s="199"/>
      <c r="WQM174" s="200"/>
      <c r="WQN174" s="201"/>
      <c r="WQO174" s="202"/>
      <c r="WQP174" s="202"/>
      <c r="WQQ174" s="202"/>
      <c r="WQR174" s="202"/>
      <c r="WQS174" s="203"/>
      <c r="WQT174" s="204"/>
      <c r="WQU174" s="204"/>
      <c r="WQV174" s="204"/>
      <c r="WQW174" s="205"/>
      <c r="WQX174" s="206"/>
      <c r="WQY174" s="207"/>
      <c r="WQZ174" s="207"/>
      <c r="WRA174" s="208"/>
      <c r="WRB174" s="209"/>
      <c r="WRC174" s="207"/>
      <c r="WRD174" s="210"/>
      <c r="WRE174" s="209"/>
      <c r="WRF174" s="204"/>
      <c r="WRG174" s="204"/>
      <c r="WRH174" s="204"/>
      <c r="WRI174" s="199"/>
      <c r="WRJ174" s="167"/>
      <c r="WRK174" s="199"/>
      <c r="WRL174" s="200"/>
      <c r="WRM174" s="201"/>
      <c r="WRN174" s="202"/>
      <c r="WRO174" s="202"/>
      <c r="WRP174" s="202"/>
      <c r="WRQ174" s="202"/>
      <c r="WRR174" s="203"/>
      <c r="WRS174" s="204"/>
      <c r="WRT174" s="204"/>
      <c r="WRU174" s="204"/>
      <c r="WRV174" s="205"/>
      <c r="WRW174" s="206"/>
      <c r="WRX174" s="207"/>
      <c r="WRY174" s="207"/>
      <c r="WRZ174" s="208"/>
      <c r="WSA174" s="209"/>
      <c r="WSB174" s="207"/>
      <c r="WSC174" s="210"/>
      <c r="WSD174" s="209"/>
      <c r="WSE174" s="204"/>
      <c r="WSF174" s="204"/>
      <c r="WSG174" s="204"/>
      <c r="WSH174" s="199"/>
      <c r="WSI174" s="167"/>
      <c r="WSJ174" s="199"/>
      <c r="WSK174" s="200"/>
      <c r="WSL174" s="201"/>
      <c r="WSM174" s="202"/>
      <c r="WSN174" s="202"/>
      <c r="WSO174" s="202"/>
      <c r="WSP174" s="202"/>
      <c r="WSQ174" s="203"/>
      <c r="WSR174" s="204"/>
      <c r="WSS174" s="204"/>
      <c r="WST174" s="204"/>
      <c r="WSU174" s="205"/>
      <c r="WSV174" s="206"/>
      <c r="WSW174" s="207"/>
      <c r="WSX174" s="207"/>
      <c r="WSY174" s="208"/>
      <c r="WSZ174" s="209"/>
      <c r="WTA174" s="207"/>
      <c r="WTB174" s="210"/>
      <c r="WTC174" s="209"/>
      <c r="WTD174" s="204"/>
      <c r="WTE174" s="204"/>
      <c r="WTF174" s="204"/>
      <c r="WTG174" s="199"/>
      <c r="WTH174" s="167"/>
      <c r="WTI174" s="199"/>
      <c r="WTJ174" s="200"/>
      <c r="WTK174" s="201"/>
      <c r="WTL174" s="202"/>
      <c r="WTM174" s="202"/>
      <c r="WTN174" s="202"/>
      <c r="WTO174" s="202"/>
      <c r="WTP174" s="203"/>
      <c r="WTQ174" s="204"/>
      <c r="WTR174" s="204"/>
      <c r="WTS174" s="204"/>
      <c r="WTT174" s="205"/>
      <c r="WTU174" s="206"/>
      <c r="WTV174" s="207"/>
      <c r="WTW174" s="207"/>
      <c r="WTX174" s="208"/>
      <c r="WTY174" s="209"/>
      <c r="WTZ174" s="207"/>
      <c r="WUA174" s="210"/>
      <c r="WUB174" s="209"/>
      <c r="WUC174" s="204"/>
      <c r="WUD174" s="204"/>
      <c r="WUE174" s="204"/>
      <c r="WUF174" s="199"/>
      <c r="WUG174" s="167"/>
      <c r="WUH174" s="199"/>
      <c r="WUI174" s="200"/>
      <c r="WUJ174" s="201"/>
      <c r="WUK174" s="202"/>
      <c r="WUL174" s="202"/>
      <c r="WUM174" s="202"/>
      <c r="WUN174" s="202"/>
      <c r="WUO174" s="203"/>
      <c r="WUP174" s="204"/>
      <c r="WUQ174" s="204"/>
      <c r="WUR174" s="204"/>
      <c r="WUS174" s="205"/>
      <c r="WUT174" s="206"/>
      <c r="WUU174" s="207"/>
      <c r="WUV174" s="207"/>
      <c r="WUW174" s="208"/>
      <c r="WUX174" s="209"/>
      <c r="WUY174" s="207"/>
      <c r="WUZ174" s="210"/>
      <c r="WVA174" s="209"/>
      <c r="WVB174" s="204"/>
      <c r="WVC174" s="204"/>
      <c r="WVD174" s="204"/>
      <c r="WVE174" s="199"/>
      <c r="WVF174" s="167"/>
      <c r="WVG174" s="199"/>
      <c r="WVH174" s="200"/>
      <c r="WVI174" s="201"/>
      <c r="WVJ174" s="202"/>
      <c r="WVK174" s="202"/>
      <c r="WVL174" s="202"/>
      <c r="WVM174" s="202"/>
      <c r="WVN174" s="203"/>
      <c r="WVO174" s="204"/>
      <c r="WVP174" s="204"/>
      <c r="WVQ174" s="204"/>
      <c r="WVR174" s="205"/>
      <c r="WVS174" s="206"/>
      <c r="WVT174" s="207"/>
      <c r="WVU174" s="207"/>
      <c r="WVV174" s="208"/>
      <c r="WVW174" s="209"/>
      <c r="WVX174" s="207"/>
      <c r="WVY174" s="210"/>
      <c r="WVZ174" s="209"/>
      <c r="WWA174" s="204"/>
      <c r="WWB174" s="204"/>
      <c r="WWC174" s="204"/>
      <c r="WWD174" s="199"/>
      <c r="WWE174" s="167"/>
      <c r="WWF174" s="199"/>
      <c r="WWG174" s="200"/>
      <c r="WWH174" s="201"/>
      <c r="WWI174" s="202"/>
      <c r="WWJ174" s="202"/>
      <c r="WWK174" s="202"/>
      <c r="WWL174" s="202"/>
      <c r="WWM174" s="203"/>
      <c r="WWN174" s="204"/>
      <c r="WWO174" s="204"/>
      <c r="WWP174" s="204"/>
      <c r="WWQ174" s="205"/>
      <c r="WWR174" s="206"/>
      <c r="WWS174" s="207"/>
      <c r="WWT174" s="207"/>
      <c r="WWU174" s="208"/>
      <c r="WWV174" s="209"/>
      <c r="WWW174" s="207"/>
      <c r="WWX174" s="210"/>
      <c r="WWY174" s="209"/>
      <c r="WWZ174" s="204"/>
      <c r="WXA174" s="204"/>
      <c r="WXB174" s="204"/>
      <c r="WXC174" s="199"/>
      <c r="WXD174" s="167"/>
      <c r="WXE174" s="199"/>
      <c r="WXF174" s="200"/>
      <c r="WXG174" s="201"/>
      <c r="WXH174" s="202"/>
      <c r="WXI174" s="202"/>
      <c r="WXJ174" s="202"/>
      <c r="WXK174" s="202"/>
      <c r="WXL174" s="203"/>
      <c r="WXM174" s="204"/>
      <c r="WXN174" s="204"/>
      <c r="WXO174" s="204"/>
      <c r="WXP174" s="205"/>
      <c r="WXQ174" s="206"/>
      <c r="WXR174" s="207"/>
      <c r="WXS174" s="207"/>
      <c r="WXT174" s="208"/>
      <c r="WXU174" s="209"/>
      <c r="WXV174" s="207"/>
      <c r="WXW174" s="210"/>
      <c r="WXX174" s="209"/>
      <c r="WXY174" s="204"/>
      <c r="WXZ174" s="204"/>
      <c r="WYA174" s="204"/>
      <c r="WYB174" s="199"/>
      <c r="WYC174" s="167"/>
      <c r="WYD174" s="199"/>
      <c r="WYE174" s="200"/>
      <c r="WYF174" s="201"/>
      <c r="WYG174" s="202"/>
      <c r="WYH174" s="202"/>
      <c r="WYI174" s="202"/>
      <c r="WYJ174" s="202"/>
      <c r="WYK174" s="203"/>
      <c r="WYL174" s="204"/>
      <c r="WYM174" s="204"/>
      <c r="WYN174" s="204"/>
      <c r="WYO174" s="205"/>
      <c r="WYP174" s="206"/>
      <c r="WYQ174" s="207"/>
      <c r="WYR174" s="207"/>
      <c r="WYS174" s="208"/>
      <c r="WYT174" s="209"/>
      <c r="WYU174" s="207"/>
      <c r="WYV174" s="210"/>
      <c r="WYW174" s="209"/>
      <c r="WYX174" s="204"/>
      <c r="WYY174" s="204"/>
      <c r="WYZ174" s="204"/>
      <c r="WZA174" s="199"/>
      <c r="WZB174" s="167"/>
      <c r="WZC174" s="199"/>
      <c r="WZD174" s="200"/>
      <c r="WZE174" s="201"/>
      <c r="WZF174" s="202"/>
      <c r="WZG174" s="202"/>
      <c r="WZH174" s="202"/>
      <c r="WZI174" s="202"/>
      <c r="WZJ174" s="203"/>
      <c r="WZK174" s="204"/>
      <c r="WZL174" s="204"/>
      <c r="WZM174" s="204"/>
      <c r="WZN174" s="205"/>
      <c r="WZO174" s="206"/>
      <c r="WZP174" s="207"/>
      <c r="WZQ174" s="207"/>
      <c r="WZR174" s="208"/>
      <c r="WZS174" s="209"/>
      <c r="WZT174" s="207"/>
      <c r="WZU174" s="210"/>
      <c r="WZV174" s="209"/>
      <c r="WZW174" s="204"/>
      <c r="WZX174" s="204"/>
      <c r="WZY174" s="204"/>
      <c r="WZZ174" s="199"/>
      <c r="XAA174" s="167"/>
      <c r="XAB174" s="199"/>
      <c r="XAC174" s="200"/>
      <c r="XAD174" s="201"/>
      <c r="XAE174" s="202"/>
      <c r="XAF174" s="202"/>
      <c r="XAG174" s="202"/>
      <c r="XAH174" s="202"/>
      <c r="XAI174" s="203"/>
      <c r="XAJ174" s="204"/>
      <c r="XAK174" s="204"/>
      <c r="XAL174" s="204"/>
      <c r="XAM174" s="205"/>
      <c r="XAN174" s="206"/>
      <c r="XAO174" s="207"/>
      <c r="XAP174" s="207"/>
      <c r="XAQ174" s="208"/>
      <c r="XAR174" s="209"/>
      <c r="XAS174" s="207"/>
      <c r="XAT174" s="210"/>
      <c r="XAU174" s="209"/>
      <c r="XAV174" s="204"/>
      <c r="XAW174" s="204"/>
      <c r="XAX174" s="204"/>
      <c r="XAY174" s="199"/>
      <c r="XAZ174" s="167"/>
      <c r="XBA174" s="199"/>
      <c r="XBB174" s="200"/>
      <c r="XBC174" s="201"/>
      <c r="XBD174" s="202"/>
      <c r="XBE174" s="202"/>
      <c r="XBF174" s="202"/>
      <c r="XBG174" s="202"/>
      <c r="XBH174" s="203"/>
      <c r="XBI174" s="204"/>
      <c r="XBJ174" s="204"/>
      <c r="XBK174" s="204"/>
      <c r="XBL174" s="205"/>
      <c r="XBM174" s="206"/>
      <c r="XBN174" s="207"/>
      <c r="XBO174" s="207"/>
      <c r="XBP174" s="208"/>
      <c r="XBQ174" s="209"/>
      <c r="XBR174" s="207"/>
      <c r="XBS174" s="210"/>
      <c r="XBT174" s="209"/>
      <c r="XBU174" s="204"/>
      <c r="XBV174" s="204"/>
      <c r="XBW174" s="204"/>
      <c r="XBX174" s="199"/>
      <c r="XBY174" s="167"/>
      <c r="XBZ174" s="199"/>
      <c r="XCA174" s="200"/>
      <c r="XCB174" s="201"/>
      <c r="XCC174" s="202"/>
      <c r="XCD174" s="202"/>
      <c r="XCE174" s="202"/>
      <c r="XCF174" s="202"/>
      <c r="XCG174" s="203"/>
      <c r="XCH174" s="204"/>
      <c r="XCI174" s="204"/>
      <c r="XCJ174" s="204"/>
      <c r="XCK174" s="205"/>
      <c r="XCL174" s="206"/>
      <c r="XCM174" s="207"/>
      <c r="XCN174" s="207"/>
      <c r="XCO174" s="208"/>
      <c r="XCP174" s="209"/>
      <c r="XCQ174" s="207"/>
      <c r="XCR174" s="210"/>
      <c r="XCS174" s="209"/>
      <c r="XCT174" s="204"/>
      <c r="XCU174" s="204"/>
      <c r="XCV174" s="204"/>
      <c r="XCW174" s="199"/>
      <c r="XCX174" s="167"/>
      <c r="XCY174" s="199"/>
      <c r="XCZ174" s="200"/>
      <c r="XDA174" s="201"/>
      <c r="XDB174" s="202"/>
      <c r="XDC174" s="202"/>
      <c r="XDD174" s="202"/>
      <c r="XDE174" s="202"/>
      <c r="XDF174" s="203"/>
      <c r="XDG174" s="204"/>
      <c r="XDH174" s="204"/>
      <c r="XDI174" s="204"/>
      <c r="XDJ174" s="205"/>
      <c r="XDK174" s="206"/>
      <c r="XDL174" s="207"/>
      <c r="XDM174" s="207"/>
      <c r="XDN174" s="208"/>
      <c r="XDO174" s="209"/>
      <c r="XDP174" s="207"/>
      <c r="XDQ174" s="210"/>
      <c r="XDR174" s="209"/>
      <c r="XDS174" s="204"/>
      <c r="XDT174" s="204"/>
      <c r="XDU174" s="204"/>
      <c r="XDV174" s="199"/>
      <c r="XDW174" s="167"/>
      <c r="XDX174" s="199"/>
      <c r="XDY174" s="200"/>
      <c r="XDZ174" s="201"/>
      <c r="XEA174" s="202"/>
      <c r="XEB174" s="202"/>
      <c r="XEC174" s="202"/>
      <c r="XED174" s="202"/>
      <c r="XEE174" s="203"/>
      <c r="XEF174" s="204"/>
      <c r="XEG174" s="204"/>
      <c r="XEH174" s="204"/>
      <c r="XEI174" s="205"/>
      <c r="XEJ174" s="206"/>
      <c r="XEK174" s="207"/>
      <c r="XEL174" s="207"/>
      <c r="XEM174" s="208"/>
      <c r="XEN174" s="209"/>
      <c r="XEO174" s="207"/>
      <c r="XEP174" s="210"/>
      <c r="XEQ174" s="209"/>
      <c r="XER174" s="204"/>
      <c r="XES174" s="204"/>
      <c r="XET174" s="204"/>
      <c r="XEU174" s="199"/>
      <c r="XEV174" s="167"/>
      <c r="XEW174" s="199"/>
      <c r="XEX174" s="200"/>
      <c r="XEY174" s="201"/>
      <c r="XEZ174" s="202"/>
      <c r="XFA174" s="202"/>
      <c r="XFB174" s="202"/>
      <c r="XFC174" s="202"/>
    </row>
    <row r="175" spans="1:16383" ht="180" x14ac:dyDescent="0.2">
      <c r="A175" s="38" t="s">
        <v>20</v>
      </c>
      <c r="B175" s="66">
        <f t="shared" si="137"/>
        <v>1</v>
      </c>
      <c r="C175" s="66">
        <v>152</v>
      </c>
      <c r="D175" s="70">
        <v>157</v>
      </c>
      <c r="E175" s="51" t="s">
        <v>48</v>
      </c>
      <c r="F175" s="7" t="s">
        <v>49</v>
      </c>
      <c r="G175" s="15">
        <v>1</v>
      </c>
      <c r="H175" s="12" t="s">
        <v>23</v>
      </c>
      <c r="I175" s="10">
        <v>3</v>
      </c>
      <c r="J175" s="11" t="s">
        <v>24</v>
      </c>
      <c r="K175" s="105">
        <v>5860001</v>
      </c>
      <c r="L175" s="106">
        <f>+K175*G175*I175</f>
        <v>17580003</v>
      </c>
      <c r="M175" s="122"/>
      <c r="N175" s="123"/>
      <c r="O175" s="122"/>
      <c r="P175" s="123"/>
      <c r="Q175" s="165">
        <f>+AVERAGE(K175,M175,O175)</f>
        <v>5860001</v>
      </c>
      <c r="R175" s="166">
        <f>+Q175*G175*I175</f>
        <v>17580003</v>
      </c>
      <c r="S175" s="222">
        <f>_xlfn.STDEV.P(K175,M175,O175)</f>
        <v>0</v>
      </c>
      <c r="T175" s="223">
        <f t="shared" ref="T175:T176" si="187">+S175/Q175</f>
        <v>0</v>
      </c>
      <c r="U175" s="224">
        <f>+MEDIAN(K175,M175,O175)</f>
        <v>5860001</v>
      </c>
      <c r="V175" s="225">
        <f>+U175*G175*I175</f>
        <v>17580003</v>
      </c>
      <c r="W175" s="149">
        <f t="shared" ref="W175:W176" si="188">+S175/U175</f>
        <v>0</v>
      </c>
      <c r="X175" s="316" t="s">
        <v>819</v>
      </c>
      <c r="Y175" s="137"/>
      <c r="Z175" s="138"/>
    </row>
    <row r="176" spans="1:16383" ht="256" thickBot="1" x14ac:dyDescent="0.25">
      <c r="A176" s="38" t="s">
        <v>54</v>
      </c>
      <c r="B176" s="66">
        <f t="shared" si="137"/>
        <v>3</v>
      </c>
      <c r="C176" s="66">
        <v>153</v>
      </c>
      <c r="D176" s="70">
        <v>159</v>
      </c>
      <c r="E176" s="51" t="s">
        <v>334</v>
      </c>
      <c r="F176" s="7" t="s">
        <v>848</v>
      </c>
      <c r="G176" s="15">
        <v>22</v>
      </c>
      <c r="H176" s="12" t="s">
        <v>57</v>
      </c>
      <c r="I176" s="10"/>
      <c r="J176" s="11"/>
      <c r="K176" s="105">
        <f>+(18000*100)/119</f>
        <v>15126.050420168067</v>
      </c>
      <c r="L176" s="121">
        <f>K176*G176</f>
        <v>332773.10924369749</v>
      </c>
      <c r="M176" s="105">
        <f>+(19500*100)/119</f>
        <v>16386.55462184874</v>
      </c>
      <c r="N176" s="121">
        <f>G176*M176</f>
        <v>360504.2016806723</v>
      </c>
      <c r="O176" s="105">
        <f>+(18500*100)/119</f>
        <v>15546.218487394957</v>
      </c>
      <c r="P176" s="121">
        <f>G176*O176</f>
        <v>342016.80672268907</v>
      </c>
      <c r="Q176" s="165">
        <f t="shared" ref="Q176" si="189">+AVERAGE(K176,M176,O176)</f>
        <v>15686.274509803921</v>
      </c>
      <c r="R176" s="166">
        <f>+Q176*G176</f>
        <v>345098.03921568627</v>
      </c>
      <c r="S176" s="222">
        <f t="shared" ref="S176" si="190">_xlfn.STDEV.P(K176,M176,O176)</f>
        <v>524.04165080867563</v>
      </c>
      <c r="T176" s="223">
        <f t="shared" si="187"/>
        <v>3.340765523905307E-2</v>
      </c>
      <c r="U176" s="224">
        <f t="shared" ref="U176" si="191">+MEDIAN(K176,M176,O176)</f>
        <v>15546.218487394957</v>
      </c>
      <c r="V176" s="225">
        <f>+U176*G176</f>
        <v>342016.80672268907</v>
      </c>
      <c r="W176" s="149">
        <f t="shared" si="188"/>
        <v>3.3708625106071567E-2</v>
      </c>
      <c r="X176" s="139" t="s">
        <v>772</v>
      </c>
      <c r="Y176" s="137" t="s">
        <v>773</v>
      </c>
      <c r="Z176" s="138" t="s">
        <v>774</v>
      </c>
    </row>
    <row r="177" spans="1:16383" ht="39" thickBot="1" x14ac:dyDescent="0.25">
      <c r="A177" s="49">
        <v>1</v>
      </c>
      <c r="B177" s="193"/>
      <c r="C177" s="193"/>
      <c r="D177" s="69"/>
      <c r="E177" s="50"/>
      <c r="F177" s="400" t="s">
        <v>379</v>
      </c>
      <c r="G177" s="30"/>
      <c r="H177" s="30"/>
      <c r="I177" s="30"/>
      <c r="J177" s="30"/>
      <c r="K177" s="109"/>
      <c r="L177" s="110"/>
      <c r="M177" s="110"/>
      <c r="N177" s="110"/>
      <c r="O177" s="109"/>
      <c r="P177" s="110"/>
      <c r="Q177" s="194"/>
      <c r="R177" s="194"/>
      <c r="S177" s="195"/>
      <c r="T177" s="196"/>
      <c r="U177" s="194"/>
      <c r="V177" s="197"/>
      <c r="W177" s="196"/>
      <c r="X177" s="593"/>
      <c r="Y177" s="593"/>
      <c r="Z177" s="594"/>
      <c r="AA177" s="199"/>
      <c r="AB177" s="200"/>
      <c r="AC177" s="201"/>
      <c r="AD177" s="202"/>
      <c r="AE177" s="202"/>
      <c r="AF177" s="202"/>
      <c r="AG177" s="202"/>
      <c r="AH177" s="203"/>
      <c r="AI177" s="204"/>
      <c r="AJ177" s="204"/>
      <c r="AK177" s="204"/>
      <c r="AL177" s="205"/>
      <c r="AM177" s="206"/>
      <c r="AN177" s="207"/>
      <c r="AO177" s="207"/>
      <c r="AP177" s="208"/>
      <c r="AQ177" s="209"/>
      <c r="AR177" s="207"/>
      <c r="AS177" s="210"/>
      <c r="AT177" s="209"/>
      <c r="AU177" s="204"/>
      <c r="AV177" s="204"/>
      <c r="AW177" s="204"/>
      <c r="AX177" s="199"/>
      <c r="AY177" s="167"/>
      <c r="AZ177" s="199"/>
      <c r="BA177" s="200"/>
      <c r="BB177" s="201"/>
      <c r="BC177" s="202"/>
      <c r="BD177" s="202"/>
      <c r="BE177" s="202"/>
      <c r="BF177" s="202"/>
      <c r="BG177" s="203"/>
      <c r="BH177" s="204"/>
      <c r="BI177" s="204"/>
      <c r="BJ177" s="204"/>
      <c r="BK177" s="205"/>
      <c r="BL177" s="206"/>
      <c r="BM177" s="207"/>
      <c r="BN177" s="207"/>
      <c r="BO177" s="208"/>
      <c r="BP177" s="209"/>
      <c r="BQ177" s="207"/>
      <c r="BR177" s="210"/>
      <c r="BS177" s="209"/>
      <c r="BT177" s="204"/>
      <c r="BU177" s="204"/>
      <c r="BV177" s="204"/>
      <c r="BW177" s="199"/>
      <c r="BX177" s="167"/>
      <c r="BY177" s="199"/>
      <c r="BZ177" s="200"/>
      <c r="CA177" s="201"/>
      <c r="CB177" s="202"/>
      <c r="CC177" s="202"/>
      <c r="CD177" s="202"/>
      <c r="CE177" s="202"/>
      <c r="CF177" s="203"/>
      <c r="CG177" s="204"/>
      <c r="CH177" s="204"/>
      <c r="CI177" s="204"/>
      <c r="CJ177" s="205"/>
      <c r="CK177" s="206"/>
      <c r="CL177" s="207"/>
      <c r="CM177" s="207"/>
      <c r="CN177" s="208"/>
      <c r="CO177" s="209"/>
      <c r="CP177" s="207"/>
      <c r="CQ177" s="210"/>
      <c r="CR177" s="209"/>
      <c r="CS177" s="204"/>
      <c r="CT177" s="204"/>
      <c r="CU177" s="204"/>
      <c r="CV177" s="199"/>
      <c r="CW177" s="167"/>
      <c r="CX177" s="199"/>
      <c r="CY177" s="200"/>
      <c r="CZ177" s="201"/>
      <c r="DA177" s="202"/>
      <c r="DB177" s="202"/>
      <c r="DC177" s="202"/>
      <c r="DD177" s="202"/>
      <c r="DE177" s="203"/>
      <c r="DF177" s="204"/>
      <c r="DG177" s="204"/>
      <c r="DH177" s="204"/>
      <c r="DI177" s="205"/>
      <c r="DJ177" s="206"/>
      <c r="DK177" s="207"/>
      <c r="DL177" s="207"/>
      <c r="DM177" s="208"/>
      <c r="DN177" s="209"/>
      <c r="DO177" s="207"/>
      <c r="DP177" s="210"/>
      <c r="DQ177" s="209"/>
      <c r="DR177" s="204"/>
      <c r="DS177" s="204"/>
      <c r="DT177" s="204"/>
      <c r="DU177" s="199"/>
      <c r="DV177" s="167"/>
      <c r="DW177" s="199"/>
      <c r="DX177" s="200"/>
      <c r="DY177" s="201"/>
      <c r="DZ177" s="202"/>
      <c r="EA177" s="202"/>
      <c r="EB177" s="202"/>
      <c r="EC177" s="202"/>
      <c r="ED177" s="203"/>
      <c r="EE177" s="204"/>
      <c r="EF177" s="204"/>
      <c r="EG177" s="204"/>
      <c r="EH177" s="205"/>
      <c r="EI177" s="206"/>
      <c r="EJ177" s="207"/>
      <c r="EK177" s="207"/>
      <c r="EL177" s="208"/>
      <c r="EM177" s="209"/>
      <c r="EN177" s="207"/>
      <c r="EO177" s="210"/>
      <c r="EP177" s="209"/>
      <c r="EQ177" s="204"/>
      <c r="ER177" s="204"/>
      <c r="ES177" s="204"/>
      <c r="ET177" s="199"/>
      <c r="EU177" s="167"/>
      <c r="EV177" s="199"/>
      <c r="EW177" s="200"/>
      <c r="EX177" s="201"/>
      <c r="EY177" s="202"/>
      <c r="EZ177" s="202"/>
      <c r="FA177" s="202"/>
      <c r="FB177" s="202"/>
      <c r="FC177" s="203"/>
      <c r="FD177" s="204"/>
      <c r="FE177" s="204"/>
      <c r="FF177" s="204"/>
      <c r="FG177" s="205"/>
      <c r="FH177" s="206"/>
      <c r="FI177" s="207"/>
      <c r="FJ177" s="207"/>
      <c r="FK177" s="208"/>
      <c r="FL177" s="209"/>
      <c r="FM177" s="207"/>
      <c r="FN177" s="210"/>
      <c r="FO177" s="209"/>
      <c r="FP177" s="204"/>
      <c r="FQ177" s="204"/>
      <c r="FR177" s="204"/>
      <c r="FS177" s="199"/>
      <c r="FT177" s="167"/>
      <c r="FU177" s="199"/>
      <c r="FV177" s="200"/>
      <c r="FW177" s="201"/>
      <c r="FX177" s="202"/>
      <c r="FY177" s="202"/>
      <c r="FZ177" s="202"/>
      <c r="GA177" s="202"/>
      <c r="GB177" s="203"/>
      <c r="GC177" s="204"/>
      <c r="GD177" s="204"/>
      <c r="GE177" s="204"/>
      <c r="GF177" s="205"/>
      <c r="GG177" s="206"/>
      <c r="GH177" s="207"/>
      <c r="GI177" s="207"/>
      <c r="GJ177" s="208"/>
      <c r="GK177" s="209"/>
      <c r="GL177" s="207"/>
      <c r="GM177" s="210"/>
      <c r="GN177" s="209"/>
      <c r="GO177" s="204"/>
      <c r="GP177" s="204"/>
      <c r="GQ177" s="204"/>
      <c r="GR177" s="199"/>
      <c r="GS177" s="167"/>
      <c r="GT177" s="199"/>
      <c r="GU177" s="200"/>
      <c r="GV177" s="201"/>
      <c r="GW177" s="202"/>
      <c r="GX177" s="202"/>
      <c r="GY177" s="202"/>
      <c r="GZ177" s="202"/>
      <c r="HA177" s="203"/>
      <c r="HB177" s="204"/>
      <c r="HC177" s="204"/>
      <c r="HD177" s="204"/>
      <c r="HE177" s="205"/>
      <c r="HF177" s="206"/>
      <c r="HG177" s="207"/>
      <c r="HH177" s="207"/>
      <c r="HI177" s="208"/>
      <c r="HJ177" s="209"/>
      <c r="HK177" s="207"/>
      <c r="HL177" s="210"/>
      <c r="HM177" s="209"/>
      <c r="HN177" s="204"/>
      <c r="HO177" s="204"/>
      <c r="HP177" s="204"/>
      <c r="HQ177" s="199"/>
      <c r="HR177" s="167"/>
      <c r="HS177" s="199"/>
      <c r="HT177" s="200"/>
      <c r="HU177" s="201"/>
      <c r="HV177" s="202"/>
      <c r="HW177" s="202"/>
      <c r="HX177" s="202"/>
      <c r="HY177" s="202"/>
      <c r="HZ177" s="203"/>
      <c r="IA177" s="204"/>
      <c r="IB177" s="204"/>
      <c r="IC177" s="204"/>
      <c r="ID177" s="205"/>
      <c r="IE177" s="206"/>
      <c r="IF177" s="207"/>
      <c r="IG177" s="207"/>
      <c r="IH177" s="208"/>
      <c r="II177" s="209"/>
      <c r="IJ177" s="207"/>
      <c r="IK177" s="210"/>
      <c r="IL177" s="209"/>
      <c r="IM177" s="204"/>
      <c r="IN177" s="204"/>
      <c r="IO177" s="204"/>
      <c r="IP177" s="199"/>
      <c r="IQ177" s="167"/>
      <c r="IR177" s="199"/>
      <c r="IS177" s="200"/>
      <c r="IT177" s="201"/>
      <c r="IU177" s="202"/>
      <c r="IV177" s="202"/>
      <c r="IW177" s="202"/>
      <c r="IX177" s="202"/>
      <c r="IY177" s="203"/>
      <c r="IZ177" s="204"/>
      <c r="JA177" s="204"/>
      <c r="JB177" s="204"/>
      <c r="JC177" s="205"/>
      <c r="JD177" s="206"/>
      <c r="JE177" s="207"/>
      <c r="JF177" s="207"/>
      <c r="JG177" s="208"/>
      <c r="JH177" s="209"/>
      <c r="JI177" s="207"/>
      <c r="JJ177" s="210"/>
      <c r="JK177" s="209"/>
      <c r="JL177" s="204"/>
      <c r="JM177" s="204"/>
      <c r="JN177" s="204"/>
      <c r="JO177" s="199"/>
      <c r="JP177" s="167"/>
      <c r="JQ177" s="199"/>
      <c r="JR177" s="200"/>
      <c r="JS177" s="201"/>
      <c r="JT177" s="202"/>
      <c r="JU177" s="202"/>
      <c r="JV177" s="202"/>
      <c r="JW177" s="202"/>
      <c r="JX177" s="203"/>
      <c r="JY177" s="204"/>
      <c r="JZ177" s="204"/>
      <c r="KA177" s="204"/>
      <c r="KB177" s="205"/>
      <c r="KC177" s="206"/>
      <c r="KD177" s="207"/>
      <c r="KE177" s="207"/>
      <c r="KF177" s="208"/>
      <c r="KG177" s="209"/>
      <c r="KH177" s="207"/>
      <c r="KI177" s="210"/>
      <c r="KJ177" s="209"/>
      <c r="KK177" s="204"/>
      <c r="KL177" s="204"/>
      <c r="KM177" s="204"/>
      <c r="KN177" s="199"/>
      <c r="KO177" s="167"/>
      <c r="KP177" s="199"/>
      <c r="KQ177" s="200"/>
      <c r="KR177" s="201"/>
      <c r="KS177" s="202"/>
      <c r="KT177" s="202"/>
      <c r="KU177" s="202"/>
      <c r="KV177" s="202"/>
      <c r="KW177" s="203"/>
      <c r="KX177" s="204"/>
      <c r="KY177" s="204"/>
      <c r="KZ177" s="204"/>
      <c r="LA177" s="205"/>
      <c r="LB177" s="206"/>
      <c r="LC177" s="207"/>
      <c r="LD177" s="207"/>
      <c r="LE177" s="208"/>
      <c r="LF177" s="209"/>
      <c r="LG177" s="207"/>
      <c r="LH177" s="210"/>
      <c r="LI177" s="209"/>
      <c r="LJ177" s="204"/>
      <c r="LK177" s="204"/>
      <c r="LL177" s="204"/>
      <c r="LM177" s="199"/>
      <c r="LN177" s="167"/>
      <c r="LO177" s="199"/>
      <c r="LP177" s="200"/>
      <c r="LQ177" s="201"/>
      <c r="LR177" s="202"/>
      <c r="LS177" s="202"/>
      <c r="LT177" s="202"/>
      <c r="LU177" s="202"/>
      <c r="LV177" s="203"/>
      <c r="LW177" s="204"/>
      <c r="LX177" s="204"/>
      <c r="LY177" s="204"/>
      <c r="LZ177" s="205"/>
      <c r="MA177" s="206"/>
      <c r="MB177" s="207"/>
      <c r="MC177" s="207"/>
      <c r="MD177" s="208"/>
      <c r="ME177" s="209"/>
      <c r="MF177" s="207"/>
      <c r="MG177" s="210"/>
      <c r="MH177" s="209"/>
      <c r="MI177" s="204"/>
      <c r="MJ177" s="204"/>
      <c r="MK177" s="204"/>
      <c r="ML177" s="199"/>
      <c r="MM177" s="167"/>
      <c r="MN177" s="199"/>
      <c r="MO177" s="200"/>
      <c r="MP177" s="201"/>
      <c r="MQ177" s="202"/>
      <c r="MR177" s="202"/>
      <c r="MS177" s="202"/>
      <c r="MT177" s="202"/>
      <c r="MU177" s="203"/>
      <c r="MV177" s="204"/>
      <c r="MW177" s="204"/>
      <c r="MX177" s="204"/>
      <c r="MY177" s="205"/>
      <c r="MZ177" s="206"/>
      <c r="NA177" s="207"/>
      <c r="NB177" s="207"/>
      <c r="NC177" s="208"/>
      <c r="ND177" s="209"/>
      <c r="NE177" s="207"/>
      <c r="NF177" s="210"/>
      <c r="NG177" s="209"/>
      <c r="NH177" s="204"/>
      <c r="NI177" s="204"/>
      <c r="NJ177" s="204"/>
      <c r="NK177" s="199"/>
      <c r="NL177" s="167"/>
      <c r="NM177" s="199"/>
      <c r="NN177" s="200"/>
      <c r="NO177" s="201"/>
      <c r="NP177" s="202"/>
      <c r="NQ177" s="202"/>
      <c r="NR177" s="202"/>
      <c r="NS177" s="202"/>
      <c r="NT177" s="203"/>
      <c r="NU177" s="204"/>
      <c r="NV177" s="204"/>
      <c r="NW177" s="204"/>
      <c r="NX177" s="205"/>
      <c r="NY177" s="206"/>
      <c r="NZ177" s="207"/>
      <c r="OA177" s="207"/>
      <c r="OB177" s="208"/>
      <c r="OC177" s="209"/>
      <c r="OD177" s="207"/>
      <c r="OE177" s="210"/>
      <c r="OF177" s="209"/>
      <c r="OG177" s="204"/>
      <c r="OH177" s="204"/>
      <c r="OI177" s="204"/>
      <c r="OJ177" s="199"/>
      <c r="OK177" s="167"/>
      <c r="OL177" s="199"/>
      <c r="OM177" s="200"/>
      <c r="ON177" s="201"/>
      <c r="OO177" s="202"/>
      <c r="OP177" s="202"/>
      <c r="OQ177" s="202"/>
      <c r="OR177" s="202"/>
      <c r="OS177" s="203"/>
      <c r="OT177" s="204"/>
      <c r="OU177" s="204"/>
      <c r="OV177" s="204"/>
      <c r="OW177" s="205"/>
      <c r="OX177" s="206"/>
      <c r="OY177" s="207"/>
      <c r="OZ177" s="207"/>
      <c r="PA177" s="208"/>
      <c r="PB177" s="209"/>
      <c r="PC177" s="207"/>
      <c r="PD177" s="210"/>
      <c r="PE177" s="209"/>
      <c r="PF177" s="204"/>
      <c r="PG177" s="204"/>
      <c r="PH177" s="204"/>
      <c r="PI177" s="199"/>
      <c r="PJ177" s="167"/>
      <c r="PK177" s="199"/>
      <c r="PL177" s="200"/>
      <c r="PM177" s="201"/>
      <c r="PN177" s="202"/>
      <c r="PO177" s="202"/>
      <c r="PP177" s="202"/>
      <c r="PQ177" s="202"/>
      <c r="PR177" s="203"/>
      <c r="PS177" s="204"/>
      <c r="PT177" s="204"/>
      <c r="PU177" s="204"/>
      <c r="PV177" s="205"/>
      <c r="PW177" s="206"/>
      <c r="PX177" s="207"/>
      <c r="PY177" s="207"/>
      <c r="PZ177" s="208"/>
      <c r="QA177" s="209"/>
      <c r="QB177" s="207"/>
      <c r="QC177" s="210"/>
      <c r="QD177" s="209"/>
      <c r="QE177" s="204"/>
      <c r="QF177" s="204"/>
      <c r="QG177" s="204"/>
      <c r="QH177" s="199"/>
      <c r="QI177" s="167"/>
      <c r="QJ177" s="199"/>
      <c r="QK177" s="200"/>
      <c r="QL177" s="201"/>
      <c r="QM177" s="202"/>
      <c r="QN177" s="202"/>
      <c r="QO177" s="202"/>
      <c r="QP177" s="202"/>
      <c r="QQ177" s="203"/>
      <c r="QR177" s="204"/>
      <c r="QS177" s="204"/>
      <c r="QT177" s="204"/>
      <c r="QU177" s="205"/>
      <c r="QV177" s="206"/>
      <c r="QW177" s="207"/>
      <c r="QX177" s="207"/>
      <c r="QY177" s="208"/>
      <c r="QZ177" s="209"/>
      <c r="RA177" s="207"/>
      <c r="RB177" s="210"/>
      <c r="RC177" s="209"/>
      <c r="RD177" s="204"/>
      <c r="RE177" s="204"/>
      <c r="RF177" s="204"/>
      <c r="RG177" s="199"/>
      <c r="RH177" s="167"/>
      <c r="RI177" s="199"/>
      <c r="RJ177" s="200"/>
      <c r="RK177" s="201"/>
      <c r="RL177" s="202"/>
      <c r="RM177" s="202"/>
      <c r="RN177" s="202"/>
      <c r="RO177" s="202"/>
      <c r="RP177" s="203"/>
      <c r="RQ177" s="204"/>
      <c r="RR177" s="204"/>
      <c r="RS177" s="204"/>
      <c r="RT177" s="205"/>
      <c r="RU177" s="206"/>
      <c r="RV177" s="207"/>
      <c r="RW177" s="207"/>
      <c r="RX177" s="208"/>
      <c r="RY177" s="209"/>
      <c r="RZ177" s="207"/>
      <c r="SA177" s="210"/>
      <c r="SB177" s="209"/>
      <c r="SC177" s="204"/>
      <c r="SD177" s="204"/>
      <c r="SE177" s="204"/>
      <c r="SF177" s="199"/>
      <c r="SG177" s="167"/>
      <c r="SH177" s="199"/>
      <c r="SI177" s="200"/>
      <c r="SJ177" s="201"/>
      <c r="SK177" s="202"/>
      <c r="SL177" s="202"/>
      <c r="SM177" s="202"/>
      <c r="SN177" s="202"/>
      <c r="SO177" s="203"/>
      <c r="SP177" s="204"/>
      <c r="SQ177" s="204"/>
      <c r="SR177" s="204"/>
      <c r="SS177" s="205"/>
      <c r="ST177" s="206"/>
      <c r="SU177" s="207"/>
      <c r="SV177" s="207"/>
      <c r="SW177" s="208"/>
      <c r="SX177" s="209"/>
      <c r="SY177" s="207"/>
      <c r="SZ177" s="210"/>
      <c r="TA177" s="209"/>
      <c r="TB177" s="204"/>
      <c r="TC177" s="204"/>
      <c r="TD177" s="204"/>
      <c r="TE177" s="199"/>
      <c r="TF177" s="167"/>
      <c r="TG177" s="199"/>
      <c r="TH177" s="200"/>
      <c r="TI177" s="201"/>
      <c r="TJ177" s="202"/>
      <c r="TK177" s="202"/>
      <c r="TL177" s="202"/>
      <c r="TM177" s="202"/>
      <c r="TN177" s="203"/>
      <c r="TO177" s="204"/>
      <c r="TP177" s="204"/>
      <c r="TQ177" s="204"/>
      <c r="TR177" s="205"/>
      <c r="TS177" s="206"/>
      <c r="TT177" s="207"/>
      <c r="TU177" s="207"/>
      <c r="TV177" s="208"/>
      <c r="TW177" s="209"/>
      <c r="TX177" s="207"/>
      <c r="TY177" s="210"/>
      <c r="TZ177" s="209"/>
      <c r="UA177" s="204"/>
      <c r="UB177" s="204"/>
      <c r="UC177" s="204"/>
      <c r="UD177" s="199"/>
      <c r="UE177" s="167"/>
      <c r="UF177" s="199"/>
      <c r="UG177" s="200"/>
      <c r="UH177" s="201"/>
      <c r="UI177" s="202"/>
      <c r="UJ177" s="202"/>
      <c r="UK177" s="202"/>
      <c r="UL177" s="202"/>
      <c r="UM177" s="203"/>
      <c r="UN177" s="204"/>
      <c r="UO177" s="204"/>
      <c r="UP177" s="204"/>
      <c r="UQ177" s="205"/>
      <c r="UR177" s="206"/>
      <c r="US177" s="207"/>
      <c r="UT177" s="207"/>
      <c r="UU177" s="208"/>
      <c r="UV177" s="209"/>
      <c r="UW177" s="207"/>
      <c r="UX177" s="210"/>
      <c r="UY177" s="209"/>
      <c r="UZ177" s="204"/>
      <c r="VA177" s="204"/>
      <c r="VB177" s="204"/>
      <c r="VC177" s="199"/>
      <c r="VD177" s="167"/>
      <c r="VE177" s="199"/>
      <c r="VF177" s="200"/>
      <c r="VG177" s="201"/>
      <c r="VH177" s="202"/>
      <c r="VI177" s="202"/>
      <c r="VJ177" s="202"/>
      <c r="VK177" s="202"/>
      <c r="VL177" s="203"/>
      <c r="VM177" s="204"/>
      <c r="VN177" s="204"/>
      <c r="VO177" s="204"/>
      <c r="VP177" s="205"/>
      <c r="VQ177" s="206"/>
      <c r="VR177" s="207"/>
      <c r="VS177" s="207"/>
      <c r="VT177" s="208"/>
      <c r="VU177" s="209"/>
      <c r="VV177" s="207"/>
      <c r="VW177" s="210"/>
      <c r="VX177" s="209"/>
      <c r="VY177" s="204"/>
      <c r="VZ177" s="204"/>
      <c r="WA177" s="204"/>
      <c r="WB177" s="199"/>
      <c r="WC177" s="167"/>
      <c r="WD177" s="199"/>
      <c r="WE177" s="200"/>
      <c r="WF177" s="201"/>
      <c r="WG177" s="202"/>
      <c r="WH177" s="202"/>
      <c r="WI177" s="202"/>
      <c r="WJ177" s="202"/>
      <c r="WK177" s="203"/>
      <c r="WL177" s="204"/>
      <c r="WM177" s="204"/>
      <c r="WN177" s="204"/>
      <c r="WO177" s="205"/>
      <c r="WP177" s="206"/>
      <c r="WQ177" s="207"/>
      <c r="WR177" s="207"/>
      <c r="WS177" s="208"/>
      <c r="WT177" s="209"/>
      <c r="WU177" s="207"/>
      <c r="WV177" s="210"/>
      <c r="WW177" s="209"/>
      <c r="WX177" s="204"/>
      <c r="WY177" s="204"/>
      <c r="WZ177" s="204"/>
      <c r="XA177" s="199"/>
      <c r="XB177" s="167"/>
      <c r="XC177" s="199"/>
      <c r="XD177" s="200"/>
      <c r="XE177" s="201"/>
      <c r="XF177" s="202"/>
      <c r="XG177" s="202"/>
      <c r="XH177" s="202"/>
      <c r="XI177" s="202"/>
      <c r="XJ177" s="203"/>
      <c r="XK177" s="204"/>
      <c r="XL177" s="204"/>
      <c r="XM177" s="204"/>
      <c r="XN177" s="205"/>
      <c r="XO177" s="206"/>
      <c r="XP177" s="207"/>
      <c r="XQ177" s="207"/>
      <c r="XR177" s="208"/>
      <c r="XS177" s="209"/>
      <c r="XT177" s="207"/>
      <c r="XU177" s="210"/>
      <c r="XV177" s="209"/>
      <c r="XW177" s="204"/>
      <c r="XX177" s="204"/>
      <c r="XY177" s="204"/>
      <c r="XZ177" s="199"/>
      <c r="YA177" s="167"/>
      <c r="YB177" s="199"/>
      <c r="YC177" s="200"/>
      <c r="YD177" s="201"/>
      <c r="YE177" s="202"/>
      <c r="YF177" s="202"/>
      <c r="YG177" s="202"/>
      <c r="YH177" s="202"/>
      <c r="YI177" s="203"/>
      <c r="YJ177" s="204"/>
      <c r="YK177" s="204"/>
      <c r="YL177" s="204"/>
      <c r="YM177" s="205"/>
      <c r="YN177" s="206"/>
      <c r="YO177" s="207"/>
      <c r="YP177" s="207"/>
      <c r="YQ177" s="208"/>
      <c r="YR177" s="209"/>
      <c r="YS177" s="207"/>
      <c r="YT177" s="210"/>
      <c r="YU177" s="209"/>
      <c r="YV177" s="204"/>
      <c r="YW177" s="204"/>
      <c r="YX177" s="204"/>
      <c r="YY177" s="199"/>
      <c r="YZ177" s="167"/>
      <c r="ZA177" s="199"/>
      <c r="ZB177" s="200"/>
      <c r="ZC177" s="201"/>
      <c r="ZD177" s="202"/>
      <c r="ZE177" s="202"/>
      <c r="ZF177" s="202"/>
      <c r="ZG177" s="202"/>
      <c r="ZH177" s="203"/>
      <c r="ZI177" s="204"/>
      <c r="ZJ177" s="204"/>
      <c r="ZK177" s="204"/>
      <c r="ZL177" s="205"/>
      <c r="ZM177" s="206"/>
      <c r="ZN177" s="207"/>
      <c r="ZO177" s="207"/>
      <c r="ZP177" s="208"/>
      <c r="ZQ177" s="209"/>
      <c r="ZR177" s="207"/>
      <c r="ZS177" s="210"/>
      <c r="ZT177" s="209"/>
      <c r="ZU177" s="204"/>
      <c r="ZV177" s="204"/>
      <c r="ZW177" s="204"/>
      <c r="ZX177" s="199"/>
      <c r="ZY177" s="167"/>
      <c r="ZZ177" s="199"/>
      <c r="AAA177" s="200"/>
      <c r="AAB177" s="201"/>
      <c r="AAC177" s="202"/>
      <c r="AAD177" s="202"/>
      <c r="AAE177" s="202"/>
      <c r="AAF177" s="202"/>
      <c r="AAG177" s="203"/>
      <c r="AAH177" s="204"/>
      <c r="AAI177" s="204"/>
      <c r="AAJ177" s="204"/>
      <c r="AAK177" s="205"/>
      <c r="AAL177" s="206"/>
      <c r="AAM177" s="207"/>
      <c r="AAN177" s="207"/>
      <c r="AAO177" s="208"/>
      <c r="AAP177" s="209"/>
      <c r="AAQ177" s="207"/>
      <c r="AAR177" s="210"/>
      <c r="AAS177" s="209"/>
      <c r="AAT177" s="204"/>
      <c r="AAU177" s="204"/>
      <c r="AAV177" s="204"/>
      <c r="AAW177" s="199"/>
      <c r="AAX177" s="167"/>
      <c r="AAY177" s="199"/>
      <c r="AAZ177" s="200"/>
      <c r="ABA177" s="201"/>
      <c r="ABB177" s="202"/>
      <c r="ABC177" s="202"/>
      <c r="ABD177" s="202"/>
      <c r="ABE177" s="202"/>
      <c r="ABF177" s="203"/>
      <c r="ABG177" s="204"/>
      <c r="ABH177" s="204"/>
      <c r="ABI177" s="204"/>
      <c r="ABJ177" s="205"/>
      <c r="ABK177" s="206"/>
      <c r="ABL177" s="207"/>
      <c r="ABM177" s="207"/>
      <c r="ABN177" s="208"/>
      <c r="ABO177" s="209"/>
      <c r="ABP177" s="207"/>
      <c r="ABQ177" s="210"/>
      <c r="ABR177" s="209"/>
      <c r="ABS177" s="204"/>
      <c r="ABT177" s="204"/>
      <c r="ABU177" s="204"/>
      <c r="ABV177" s="199"/>
      <c r="ABW177" s="167"/>
      <c r="ABX177" s="199"/>
      <c r="ABY177" s="200"/>
      <c r="ABZ177" s="201"/>
      <c r="ACA177" s="202"/>
      <c r="ACB177" s="202"/>
      <c r="ACC177" s="202"/>
      <c r="ACD177" s="202"/>
      <c r="ACE177" s="203"/>
      <c r="ACF177" s="204"/>
      <c r="ACG177" s="204"/>
      <c r="ACH177" s="204"/>
      <c r="ACI177" s="205"/>
      <c r="ACJ177" s="206"/>
      <c r="ACK177" s="207"/>
      <c r="ACL177" s="207"/>
      <c r="ACM177" s="208"/>
      <c r="ACN177" s="209"/>
      <c r="ACO177" s="207"/>
      <c r="ACP177" s="210"/>
      <c r="ACQ177" s="209"/>
      <c r="ACR177" s="204"/>
      <c r="ACS177" s="204"/>
      <c r="ACT177" s="204"/>
      <c r="ACU177" s="199"/>
      <c r="ACV177" s="167"/>
      <c r="ACW177" s="199"/>
      <c r="ACX177" s="200"/>
      <c r="ACY177" s="201"/>
      <c r="ACZ177" s="202"/>
      <c r="ADA177" s="202"/>
      <c r="ADB177" s="202"/>
      <c r="ADC177" s="202"/>
      <c r="ADD177" s="203"/>
      <c r="ADE177" s="204"/>
      <c r="ADF177" s="204"/>
      <c r="ADG177" s="204"/>
      <c r="ADH177" s="205"/>
      <c r="ADI177" s="206"/>
      <c r="ADJ177" s="207"/>
      <c r="ADK177" s="207"/>
      <c r="ADL177" s="208"/>
      <c r="ADM177" s="209"/>
      <c r="ADN177" s="207"/>
      <c r="ADO177" s="210"/>
      <c r="ADP177" s="209"/>
      <c r="ADQ177" s="204"/>
      <c r="ADR177" s="204"/>
      <c r="ADS177" s="204"/>
      <c r="ADT177" s="199"/>
      <c r="ADU177" s="167"/>
      <c r="ADV177" s="199"/>
      <c r="ADW177" s="200"/>
      <c r="ADX177" s="201"/>
      <c r="ADY177" s="202"/>
      <c r="ADZ177" s="202"/>
      <c r="AEA177" s="202"/>
      <c r="AEB177" s="202"/>
      <c r="AEC177" s="203"/>
      <c r="AED177" s="204"/>
      <c r="AEE177" s="204"/>
      <c r="AEF177" s="204"/>
      <c r="AEG177" s="205"/>
      <c r="AEH177" s="206"/>
      <c r="AEI177" s="207"/>
      <c r="AEJ177" s="207"/>
      <c r="AEK177" s="208"/>
      <c r="AEL177" s="209"/>
      <c r="AEM177" s="207"/>
      <c r="AEN177" s="210"/>
      <c r="AEO177" s="209"/>
      <c r="AEP177" s="204"/>
      <c r="AEQ177" s="204"/>
      <c r="AER177" s="204"/>
      <c r="AES177" s="199"/>
      <c r="AET177" s="167"/>
      <c r="AEU177" s="199"/>
      <c r="AEV177" s="200"/>
      <c r="AEW177" s="201"/>
      <c r="AEX177" s="202"/>
      <c r="AEY177" s="202"/>
      <c r="AEZ177" s="202"/>
      <c r="AFA177" s="202"/>
      <c r="AFB177" s="203"/>
      <c r="AFC177" s="204"/>
      <c r="AFD177" s="204"/>
      <c r="AFE177" s="204"/>
      <c r="AFF177" s="205"/>
      <c r="AFG177" s="206"/>
      <c r="AFH177" s="207"/>
      <c r="AFI177" s="207"/>
      <c r="AFJ177" s="208"/>
      <c r="AFK177" s="209"/>
      <c r="AFL177" s="207"/>
      <c r="AFM177" s="210"/>
      <c r="AFN177" s="209"/>
      <c r="AFO177" s="204"/>
      <c r="AFP177" s="204"/>
      <c r="AFQ177" s="204"/>
      <c r="AFR177" s="199"/>
      <c r="AFS177" s="167"/>
      <c r="AFT177" s="199"/>
      <c r="AFU177" s="200"/>
      <c r="AFV177" s="201"/>
      <c r="AFW177" s="202"/>
      <c r="AFX177" s="202"/>
      <c r="AFY177" s="202"/>
      <c r="AFZ177" s="202"/>
      <c r="AGA177" s="203"/>
      <c r="AGB177" s="204"/>
      <c r="AGC177" s="204"/>
      <c r="AGD177" s="204"/>
      <c r="AGE177" s="205"/>
      <c r="AGF177" s="206"/>
      <c r="AGG177" s="207"/>
      <c r="AGH177" s="207"/>
      <c r="AGI177" s="208"/>
      <c r="AGJ177" s="209"/>
      <c r="AGK177" s="207"/>
      <c r="AGL177" s="210"/>
      <c r="AGM177" s="209"/>
      <c r="AGN177" s="204"/>
      <c r="AGO177" s="204"/>
      <c r="AGP177" s="204"/>
      <c r="AGQ177" s="199"/>
      <c r="AGR177" s="167"/>
      <c r="AGS177" s="199"/>
      <c r="AGT177" s="200"/>
      <c r="AGU177" s="201"/>
      <c r="AGV177" s="202"/>
      <c r="AGW177" s="202"/>
      <c r="AGX177" s="202"/>
      <c r="AGY177" s="202"/>
      <c r="AGZ177" s="203"/>
      <c r="AHA177" s="204"/>
      <c r="AHB177" s="204"/>
      <c r="AHC177" s="204"/>
      <c r="AHD177" s="205"/>
      <c r="AHE177" s="206"/>
      <c r="AHF177" s="207"/>
      <c r="AHG177" s="207"/>
      <c r="AHH177" s="208"/>
      <c r="AHI177" s="209"/>
      <c r="AHJ177" s="207"/>
      <c r="AHK177" s="210"/>
      <c r="AHL177" s="209"/>
      <c r="AHM177" s="204"/>
      <c r="AHN177" s="204"/>
      <c r="AHO177" s="204"/>
      <c r="AHP177" s="199"/>
      <c r="AHQ177" s="167"/>
      <c r="AHR177" s="199"/>
      <c r="AHS177" s="200"/>
      <c r="AHT177" s="201"/>
      <c r="AHU177" s="202"/>
      <c r="AHV177" s="202"/>
      <c r="AHW177" s="202"/>
      <c r="AHX177" s="202"/>
      <c r="AHY177" s="203"/>
      <c r="AHZ177" s="204"/>
      <c r="AIA177" s="204"/>
      <c r="AIB177" s="204"/>
      <c r="AIC177" s="205"/>
      <c r="AID177" s="206"/>
      <c r="AIE177" s="207"/>
      <c r="AIF177" s="207"/>
      <c r="AIG177" s="208"/>
      <c r="AIH177" s="209"/>
      <c r="AII177" s="207"/>
      <c r="AIJ177" s="210"/>
      <c r="AIK177" s="209"/>
      <c r="AIL177" s="204"/>
      <c r="AIM177" s="204"/>
      <c r="AIN177" s="204"/>
      <c r="AIO177" s="199"/>
      <c r="AIP177" s="167"/>
      <c r="AIQ177" s="199"/>
      <c r="AIR177" s="200"/>
      <c r="AIS177" s="201"/>
      <c r="AIT177" s="202"/>
      <c r="AIU177" s="202"/>
      <c r="AIV177" s="202"/>
      <c r="AIW177" s="202"/>
      <c r="AIX177" s="203"/>
      <c r="AIY177" s="204"/>
      <c r="AIZ177" s="204"/>
      <c r="AJA177" s="204"/>
      <c r="AJB177" s="205"/>
      <c r="AJC177" s="206"/>
      <c r="AJD177" s="207"/>
      <c r="AJE177" s="207"/>
      <c r="AJF177" s="208"/>
      <c r="AJG177" s="209"/>
      <c r="AJH177" s="207"/>
      <c r="AJI177" s="210"/>
      <c r="AJJ177" s="209"/>
      <c r="AJK177" s="204"/>
      <c r="AJL177" s="204"/>
      <c r="AJM177" s="204"/>
      <c r="AJN177" s="199"/>
      <c r="AJO177" s="167"/>
      <c r="AJP177" s="199"/>
      <c r="AJQ177" s="200"/>
      <c r="AJR177" s="201"/>
      <c r="AJS177" s="202"/>
      <c r="AJT177" s="202"/>
      <c r="AJU177" s="202"/>
      <c r="AJV177" s="202"/>
      <c r="AJW177" s="203"/>
      <c r="AJX177" s="204"/>
      <c r="AJY177" s="204"/>
      <c r="AJZ177" s="204"/>
      <c r="AKA177" s="205"/>
      <c r="AKB177" s="206"/>
      <c r="AKC177" s="207"/>
      <c r="AKD177" s="207"/>
      <c r="AKE177" s="208"/>
      <c r="AKF177" s="209"/>
      <c r="AKG177" s="207"/>
      <c r="AKH177" s="210"/>
      <c r="AKI177" s="209"/>
      <c r="AKJ177" s="204"/>
      <c r="AKK177" s="204"/>
      <c r="AKL177" s="204"/>
      <c r="AKM177" s="199"/>
      <c r="AKN177" s="167"/>
      <c r="AKO177" s="199"/>
      <c r="AKP177" s="200"/>
      <c r="AKQ177" s="201"/>
      <c r="AKR177" s="202"/>
      <c r="AKS177" s="202"/>
      <c r="AKT177" s="202"/>
      <c r="AKU177" s="202"/>
      <c r="AKV177" s="203"/>
      <c r="AKW177" s="204"/>
      <c r="AKX177" s="204"/>
      <c r="AKY177" s="204"/>
      <c r="AKZ177" s="205"/>
      <c r="ALA177" s="206"/>
      <c r="ALB177" s="207"/>
      <c r="ALC177" s="207"/>
      <c r="ALD177" s="208"/>
      <c r="ALE177" s="209"/>
      <c r="ALF177" s="207"/>
      <c r="ALG177" s="210"/>
      <c r="ALH177" s="209"/>
      <c r="ALI177" s="204"/>
      <c r="ALJ177" s="204"/>
      <c r="ALK177" s="204"/>
      <c r="ALL177" s="199"/>
      <c r="ALM177" s="167"/>
      <c r="ALN177" s="199"/>
      <c r="ALO177" s="200"/>
      <c r="ALP177" s="201"/>
      <c r="ALQ177" s="202"/>
      <c r="ALR177" s="202"/>
      <c r="ALS177" s="202"/>
      <c r="ALT177" s="202"/>
      <c r="ALU177" s="203"/>
      <c r="ALV177" s="204"/>
      <c r="ALW177" s="204"/>
      <c r="ALX177" s="204"/>
      <c r="ALY177" s="205"/>
      <c r="ALZ177" s="206"/>
      <c r="AMA177" s="207"/>
      <c r="AMB177" s="207"/>
      <c r="AMC177" s="208"/>
      <c r="AMD177" s="209"/>
      <c r="AME177" s="207"/>
      <c r="AMF177" s="210"/>
      <c r="AMG177" s="209"/>
      <c r="AMH177" s="204"/>
      <c r="AMI177" s="204"/>
      <c r="AMJ177" s="204"/>
      <c r="AMK177" s="199"/>
      <c r="AML177" s="167"/>
      <c r="AMM177" s="199"/>
      <c r="AMN177" s="200"/>
      <c r="AMO177" s="201"/>
      <c r="AMP177" s="202"/>
      <c r="AMQ177" s="202"/>
      <c r="AMR177" s="202"/>
      <c r="AMS177" s="202"/>
      <c r="AMT177" s="203"/>
      <c r="AMU177" s="204"/>
      <c r="AMV177" s="204"/>
      <c r="AMW177" s="204"/>
      <c r="AMX177" s="205"/>
      <c r="AMY177" s="206"/>
      <c r="AMZ177" s="207"/>
      <c r="ANA177" s="207"/>
      <c r="ANB177" s="208"/>
      <c r="ANC177" s="209"/>
      <c r="AND177" s="207"/>
      <c r="ANE177" s="210"/>
      <c r="ANF177" s="209"/>
      <c r="ANG177" s="204"/>
      <c r="ANH177" s="204"/>
      <c r="ANI177" s="204"/>
      <c r="ANJ177" s="199"/>
      <c r="ANK177" s="167"/>
      <c r="ANL177" s="199"/>
      <c r="ANM177" s="200"/>
      <c r="ANN177" s="201"/>
      <c r="ANO177" s="202"/>
      <c r="ANP177" s="202"/>
      <c r="ANQ177" s="202"/>
      <c r="ANR177" s="202"/>
      <c r="ANS177" s="203"/>
      <c r="ANT177" s="204"/>
      <c r="ANU177" s="204"/>
      <c r="ANV177" s="204"/>
      <c r="ANW177" s="205"/>
      <c r="ANX177" s="206"/>
      <c r="ANY177" s="207"/>
      <c r="ANZ177" s="207"/>
      <c r="AOA177" s="208"/>
      <c r="AOB177" s="209"/>
      <c r="AOC177" s="207"/>
      <c r="AOD177" s="210"/>
      <c r="AOE177" s="209"/>
      <c r="AOF177" s="204"/>
      <c r="AOG177" s="204"/>
      <c r="AOH177" s="204"/>
      <c r="AOI177" s="199"/>
      <c r="AOJ177" s="167"/>
      <c r="AOK177" s="199"/>
      <c r="AOL177" s="200"/>
      <c r="AOM177" s="201"/>
      <c r="AON177" s="202"/>
      <c r="AOO177" s="202"/>
      <c r="AOP177" s="202"/>
      <c r="AOQ177" s="202"/>
      <c r="AOR177" s="203"/>
      <c r="AOS177" s="204"/>
      <c r="AOT177" s="204"/>
      <c r="AOU177" s="204"/>
      <c r="AOV177" s="205"/>
      <c r="AOW177" s="206"/>
      <c r="AOX177" s="207"/>
      <c r="AOY177" s="207"/>
      <c r="AOZ177" s="208"/>
      <c r="APA177" s="209"/>
      <c r="APB177" s="207"/>
      <c r="APC177" s="210"/>
      <c r="APD177" s="209"/>
      <c r="APE177" s="204"/>
      <c r="APF177" s="204"/>
      <c r="APG177" s="204"/>
      <c r="APH177" s="199"/>
      <c r="API177" s="167"/>
      <c r="APJ177" s="199"/>
      <c r="APK177" s="200"/>
      <c r="APL177" s="201"/>
      <c r="APM177" s="202"/>
      <c r="APN177" s="202"/>
      <c r="APO177" s="202"/>
      <c r="APP177" s="202"/>
      <c r="APQ177" s="203"/>
      <c r="APR177" s="204"/>
      <c r="APS177" s="204"/>
      <c r="APT177" s="204"/>
      <c r="APU177" s="205"/>
      <c r="APV177" s="206"/>
      <c r="APW177" s="207"/>
      <c r="APX177" s="207"/>
      <c r="APY177" s="208"/>
      <c r="APZ177" s="209"/>
      <c r="AQA177" s="207"/>
      <c r="AQB177" s="210"/>
      <c r="AQC177" s="209"/>
      <c r="AQD177" s="204"/>
      <c r="AQE177" s="204"/>
      <c r="AQF177" s="204"/>
      <c r="AQG177" s="199"/>
      <c r="AQH177" s="167"/>
      <c r="AQI177" s="199"/>
      <c r="AQJ177" s="200"/>
      <c r="AQK177" s="201"/>
      <c r="AQL177" s="202"/>
      <c r="AQM177" s="202"/>
      <c r="AQN177" s="202"/>
      <c r="AQO177" s="202"/>
      <c r="AQP177" s="203"/>
      <c r="AQQ177" s="204"/>
      <c r="AQR177" s="204"/>
      <c r="AQS177" s="204"/>
      <c r="AQT177" s="205"/>
      <c r="AQU177" s="206"/>
      <c r="AQV177" s="207"/>
      <c r="AQW177" s="207"/>
      <c r="AQX177" s="208"/>
      <c r="AQY177" s="209"/>
      <c r="AQZ177" s="207"/>
      <c r="ARA177" s="210"/>
      <c r="ARB177" s="209"/>
      <c r="ARC177" s="204"/>
      <c r="ARD177" s="204"/>
      <c r="ARE177" s="204"/>
      <c r="ARF177" s="199"/>
      <c r="ARG177" s="167"/>
      <c r="ARH177" s="199"/>
      <c r="ARI177" s="200"/>
      <c r="ARJ177" s="201"/>
      <c r="ARK177" s="202"/>
      <c r="ARL177" s="202"/>
      <c r="ARM177" s="202"/>
      <c r="ARN177" s="202"/>
      <c r="ARO177" s="203"/>
      <c r="ARP177" s="204"/>
      <c r="ARQ177" s="204"/>
      <c r="ARR177" s="204"/>
      <c r="ARS177" s="205"/>
      <c r="ART177" s="206"/>
      <c r="ARU177" s="207"/>
      <c r="ARV177" s="207"/>
      <c r="ARW177" s="208"/>
      <c r="ARX177" s="209"/>
      <c r="ARY177" s="207"/>
      <c r="ARZ177" s="210"/>
      <c r="ASA177" s="209"/>
      <c r="ASB177" s="204"/>
      <c r="ASC177" s="204"/>
      <c r="ASD177" s="204"/>
      <c r="ASE177" s="199"/>
      <c r="ASF177" s="167"/>
      <c r="ASG177" s="199"/>
      <c r="ASH177" s="200"/>
      <c r="ASI177" s="201"/>
      <c r="ASJ177" s="202"/>
      <c r="ASK177" s="202"/>
      <c r="ASL177" s="202"/>
      <c r="ASM177" s="202"/>
      <c r="ASN177" s="203"/>
      <c r="ASO177" s="204"/>
      <c r="ASP177" s="204"/>
      <c r="ASQ177" s="204"/>
      <c r="ASR177" s="205"/>
      <c r="ASS177" s="206"/>
      <c r="AST177" s="207"/>
      <c r="ASU177" s="207"/>
      <c r="ASV177" s="208"/>
      <c r="ASW177" s="209"/>
      <c r="ASX177" s="207"/>
      <c r="ASY177" s="210"/>
      <c r="ASZ177" s="209"/>
      <c r="ATA177" s="204"/>
      <c r="ATB177" s="204"/>
      <c r="ATC177" s="204"/>
      <c r="ATD177" s="199"/>
      <c r="ATE177" s="167"/>
      <c r="ATF177" s="199"/>
      <c r="ATG177" s="200"/>
      <c r="ATH177" s="201"/>
      <c r="ATI177" s="202"/>
      <c r="ATJ177" s="202"/>
      <c r="ATK177" s="202"/>
      <c r="ATL177" s="202"/>
      <c r="ATM177" s="203"/>
      <c r="ATN177" s="204"/>
      <c r="ATO177" s="204"/>
      <c r="ATP177" s="204"/>
      <c r="ATQ177" s="205"/>
      <c r="ATR177" s="206"/>
      <c r="ATS177" s="207"/>
      <c r="ATT177" s="207"/>
      <c r="ATU177" s="208"/>
      <c r="ATV177" s="209"/>
      <c r="ATW177" s="207"/>
      <c r="ATX177" s="210"/>
      <c r="ATY177" s="209"/>
      <c r="ATZ177" s="204"/>
      <c r="AUA177" s="204"/>
      <c r="AUB177" s="204"/>
      <c r="AUC177" s="199"/>
      <c r="AUD177" s="167"/>
      <c r="AUE177" s="199"/>
      <c r="AUF177" s="200"/>
      <c r="AUG177" s="201"/>
      <c r="AUH177" s="202"/>
      <c r="AUI177" s="202"/>
      <c r="AUJ177" s="202"/>
      <c r="AUK177" s="202"/>
      <c r="AUL177" s="203"/>
      <c r="AUM177" s="204"/>
      <c r="AUN177" s="204"/>
      <c r="AUO177" s="204"/>
      <c r="AUP177" s="205"/>
      <c r="AUQ177" s="206"/>
      <c r="AUR177" s="207"/>
      <c r="AUS177" s="207"/>
      <c r="AUT177" s="208"/>
      <c r="AUU177" s="209"/>
      <c r="AUV177" s="207"/>
      <c r="AUW177" s="210"/>
      <c r="AUX177" s="209"/>
      <c r="AUY177" s="204"/>
      <c r="AUZ177" s="204"/>
      <c r="AVA177" s="204"/>
      <c r="AVB177" s="199"/>
      <c r="AVC177" s="167"/>
      <c r="AVD177" s="199"/>
      <c r="AVE177" s="200"/>
      <c r="AVF177" s="201"/>
      <c r="AVG177" s="202"/>
      <c r="AVH177" s="202"/>
      <c r="AVI177" s="202"/>
      <c r="AVJ177" s="202"/>
      <c r="AVK177" s="203"/>
      <c r="AVL177" s="204"/>
      <c r="AVM177" s="204"/>
      <c r="AVN177" s="204"/>
      <c r="AVO177" s="205"/>
      <c r="AVP177" s="206"/>
      <c r="AVQ177" s="207"/>
      <c r="AVR177" s="207"/>
      <c r="AVS177" s="208"/>
      <c r="AVT177" s="209"/>
      <c r="AVU177" s="207"/>
      <c r="AVV177" s="210"/>
      <c r="AVW177" s="209"/>
      <c r="AVX177" s="204"/>
      <c r="AVY177" s="204"/>
      <c r="AVZ177" s="204"/>
      <c r="AWA177" s="199"/>
      <c r="AWB177" s="167"/>
      <c r="AWC177" s="199"/>
      <c r="AWD177" s="200"/>
      <c r="AWE177" s="201"/>
      <c r="AWF177" s="202"/>
      <c r="AWG177" s="202"/>
      <c r="AWH177" s="202"/>
      <c r="AWI177" s="202"/>
      <c r="AWJ177" s="203"/>
      <c r="AWK177" s="204"/>
      <c r="AWL177" s="204"/>
      <c r="AWM177" s="204"/>
      <c r="AWN177" s="205"/>
      <c r="AWO177" s="206"/>
      <c r="AWP177" s="207"/>
      <c r="AWQ177" s="207"/>
      <c r="AWR177" s="208"/>
      <c r="AWS177" s="209"/>
      <c r="AWT177" s="207"/>
      <c r="AWU177" s="210"/>
      <c r="AWV177" s="209"/>
      <c r="AWW177" s="204"/>
      <c r="AWX177" s="204"/>
      <c r="AWY177" s="204"/>
      <c r="AWZ177" s="199"/>
      <c r="AXA177" s="167"/>
      <c r="AXB177" s="199"/>
      <c r="AXC177" s="200"/>
      <c r="AXD177" s="201"/>
      <c r="AXE177" s="202"/>
      <c r="AXF177" s="202"/>
      <c r="AXG177" s="202"/>
      <c r="AXH177" s="202"/>
      <c r="AXI177" s="203"/>
      <c r="AXJ177" s="204"/>
      <c r="AXK177" s="204"/>
      <c r="AXL177" s="204"/>
      <c r="AXM177" s="205"/>
      <c r="AXN177" s="206"/>
      <c r="AXO177" s="207"/>
      <c r="AXP177" s="207"/>
      <c r="AXQ177" s="208"/>
      <c r="AXR177" s="209"/>
      <c r="AXS177" s="207"/>
      <c r="AXT177" s="210"/>
      <c r="AXU177" s="209"/>
      <c r="AXV177" s="204"/>
      <c r="AXW177" s="204"/>
      <c r="AXX177" s="204"/>
      <c r="AXY177" s="199"/>
      <c r="AXZ177" s="167"/>
      <c r="AYA177" s="199"/>
      <c r="AYB177" s="200"/>
      <c r="AYC177" s="201"/>
      <c r="AYD177" s="202"/>
      <c r="AYE177" s="202"/>
      <c r="AYF177" s="202"/>
      <c r="AYG177" s="202"/>
      <c r="AYH177" s="203"/>
      <c r="AYI177" s="204"/>
      <c r="AYJ177" s="204"/>
      <c r="AYK177" s="204"/>
      <c r="AYL177" s="205"/>
      <c r="AYM177" s="206"/>
      <c r="AYN177" s="207"/>
      <c r="AYO177" s="207"/>
      <c r="AYP177" s="208"/>
      <c r="AYQ177" s="209"/>
      <c r="AYR177" s="207"/>
      <c r="AYS177" s="210"/>
      <c r="AYT177" s="209"/>
      <c r="AYU177" s="204"/>
      <c r="AYV177" s="204"/>
      <c r="AYW177" s="204"/>
      <c r="AYX177" s="199"/>
      <c r="AYY177" s="167"/>
      <c r="AYZ177" s="199"/>
      <c r="AZA177" s="200"/>
      <c r="AZB177" s="201"/>
      <c r="AZC177" s="202"/>
      <c r="AZD177" s="202"/>
      <c r="AZE177" s="202"/>
      <c r="AZF177" s="202"/>
      <c r="AZG177" s="203"/>
      <c r="AZH177" s="204"/>
      <c r="AZI177" s="204"/>
      <c r="AZJ177" s="204"/>
      <c r="AZK177" s="205"/>
      <c r="AZL177" s="206"/>
      <c r="AZM177" s="207"/>
      <c r="AZN177" s="207"/>
      <c r="AZO177" s="208"/>
      <c r="AZP177" s="209"/>
      <c r="AZQ177" s="207"/>
      <c r="AZR177" s="210"/>
      <c r="AZS177" s="209"/>
      <c r="AZT177" s="204"/>
      <c r="AZU177" s="204"/>
      <c r="AZV177" s="204"/>
      <c r="AZW177" s="199"/>
      <c r="AZX177" s="167"/>
      <c r="AZY177" s="199"/>
      <c r="AZZ177" s="200"/>
      <c r="BAA177" s="201"/>
      <c r="BAB177" s="202"/>
      <c r="BAC177" s="202"/>
      <c r="BAD177" s="202"/>
      <c r="BAE177" s="202"/>
      <c r="BAF177" s="203"/>
      <c r="BAG177" s="204"/>
      <c r="BAH177" s="204"/>
      <c r="BAI177" s="204"/>
      <c r="BAJ177" s="205"/>
      <c r="BAK177" s="206"/>
      <c r="BAL177" s="207"/>
      <c r="BAM177" s="207"/>
      <c r="BAN177" s="208"/>
      <c r="BAO177" s="209"/>
      <c r="BAP177" s="207"/>
      <c r="BAQ177" s="210"/>
      <c r="BAR177" s="209"/>
      <c r="BAS177" s="204"/>
      <c r="BAT177" s="204"/>
      <c r="BAU177" s="204"/>
      <c r="BAV177" s="199"/>
      <c r="BAW177" s="167"/>
      <c r="BAX177" s="199"/>
      <c r="BAY177" s="200"/>
      <c r="BAZ177" s="201"/>
      <c r="BBA177" s="202"/>
      <c r="BBB177" s="202"/>
      <c r="BBC177" s="202"/>
      <c r="BBD177" s="202"/>
      <c r="BBE177" s="203"/>
      <c r="BBF177" s="204"/>
      <c r="BBG177" s="204"/>
      <c r="BBH177" s="204"/>
      <c r="BBI177" s="205"/>
      <c r="BBJ177" s="206"/>
      <c r="BBK177" s="207"/>
      <c r="BBL177" s="207"/>
      <c r="BBM177" s="208"/>
      <c r="BBN177" s="209"/>
      <c r="BBO177" s="207"/>
      <c r="BBP177" s="210"/>
      <c r="BBQ177" s="209"/>
      <c r="BBR177" s="204"/>
      <c r="BBS177" s="204"/>
      <c r="BBT177" s="204"/>
      <c r="BBU177" s="199"/>
      <c r="BBV177" s="167"/>
      <c r="BBW177" s="199"/>
      <c r="BBX177" s="200"/>
      <c r="BBY177" s="201"/>
      <c r="BBZ177" s="202"/>
      <c r="BCA177" s="202"/>
      <c r="BCB177" s="202"/>
      <c r="BCC177" s="202"/>
      <c r="BCD177" s="203"/>
      <c r="BCE177" s="204"/>
      <c r="BCF177" s="204"/>
      <c r="BCG177" s="204"/>
      <c r="BCH177" s="205"/>
      <c r="BCI177" s="206"/>
      <c r="BCJ177" s="207"/>
      <c r="BCK177" s="207"/>
      <c r="BCL177" s="208"/>
      <c r="BCM177" s="209"/>
      <c r="BCN177" s="207"/>
      <c r="BCO177" s="210"/>
      <c r="BCP177" s="209"/>
      <c r="BCQ177" s="204"/>
      <c r="BCR177" s="204"/>
      <c r="BCS177" s="204"/>
      <c r="BCT177" s="199"/>
      <c r="BCU177" s="167"/>
      <c r="BCV177" s="199"/>
      <c r="BCW177" s="200"/>
      <c r="BCX177" s="201"/>
      <c r="BCY177" s="202"/>
      <c r="BCZ177" s="202"/>
      <c r="BDA177" s="202"/>
      <c r="BDB177" s="202"/>
      <c r="BDC177" s="203"/>
      <c r="BDD177" s="204"/>
      <c r="BDE177" s="204"/>
      <c r="BDF177" s="204"/>
      <c r="BDG177" s="205"/>
      <c r="BDH177" s="206"/>
      <c r="BDI177" s="207"/>
      <c r="BDJ177" s="207"/>
      <c r="BDK177" s="208"/>
      <c r="BDL177" s="209"/>
      <c r="BDM177" s="207"/>
      <c r="BDN177" s="210"/>
      <c r="BDO177" s="209"/>
      <c r="BDP177" s="204"/>
      <c r="BDQ177" s="204"/>
      <c r="BDR177" s="204"/>
      <c r="BDS177" s="199"/>
      <c r="BDT177" s="167"/>
      <c r="BDU177" s="199"/>
      <c r="BDV177" s="200"/>
      <c r="BDW177" s="201"/>
      <c r="BDX177" s="202"/>
      <c r="BDY177" s="202"/>
      <c r="BDZ177" s="202"/>
      <c r="BEA177" s="202"/>
      <c r="BEB177" s="203"/>
      <c r="BEC177" s="204"/>
      <c r="BED177" s="204"/>
      <c r="BEE177" s="204"/>
      <c r="BEF177" s="205"/>
      <c r="BEG177" s="206"/>
      <c r="BEH177" s="207"/>
      <c r="BEI177" s="207"/>
      <c r="BEJ177" s="208"/>
      <c r="BEK177" s="209"/>
      <c r="BEL177" s="207"/>
      <c r="BEM177" s="210"/>
      <c r="BEN177" s="209"/>
      <c r="BEO177" s="204"/>
      <c r="BEP177" s="204"/>
      <c r="BEQ177" s="204"/>
      <c r="BER177" s="199"/>
      <c r="BES177" s="167"/>
      <c r="BET177" s="199"/>
      <c r="BEU177" s="200"/>
      <c r="BEV177" s="201"/>
      <c r="BEW177" s="202"/>
      <c r="BEX177" s="202"/>
      <c r="BEY177" s="202"/>
      <c r="BEZ177" s="202"/>
      <c r="BFA177" s="203"/>
      <c r="BFB177" s="204"/>
      <c r="BFC177" s="204"/>
      <c r="BFD177" s="204"/>
      <c r="BFE177" s="205"/>
      <c r="BFF177" s="206"/>
      <c r="BFG177" s="207"/>
      <c r="BFH177" s="207"/>
      <c r="BFI177" s="208"/>
      <c r="BFJ177" s="209"/>
      <c r="BFK177" s="207"/>
      <c r="BFL177" s="210"/>
      <c r="BFM177" s="209"/>
      <c r="BFN177" s="204"/>
      <c r="BFO177" s="204"/>
      <c r="BFP177" s="204"/>
      <c r="BFQ177" s="199"/>
      <c r="BFR177" s="167"/>
      <c r="BFS177" s="199"/>
      <c r="BFT177" s="200"/>
      <c r="BFU177" s="201"/>
      <c r="BFV177" s="202"/>
      <c r="BFW177" s="202"/>
      <c r="BFX177" s="202"/>
      <c r="BFY177" s="202"/>
      <c r="BFZ177" s="203"/>
      <c r="BGA177" s="204"/>
      <c r="BGB177" s="204"/>
      <c r="BGC177" s="204"/>
      <c r="BGD177" s="205"/>
      <c r="BGE177" s="206"/>
      <c r="BGF177" s="207"/>
      <c r="BGG177" s="207"/>
      <c r="BGH177" s="208"/>
      <c r="BGI177" s="209"/>
      <c r="BGJ177" s="207"/>
      <c r="BGK177" s="210"/>
      <c r="BGL177" s="209"/>
      <c r="BGM177" s="204"/>
      <c r="BGN177" s="204"/>
      <c r="BGO177" s="204"/>
      <c r="BGP177" s="199"/>
      <c r="BGQ177" s="167"/>
      <c r="BGR177" s="199"/>
      <c r="BGS177" s="200"/>
      <c r="BGT177" s="201"/>
      <c r="BGU177" s="202"/>
      <c r="BGV177" s="202"/>
      <c r="BGW177" s="202"/>
      <c r="BGX177" s="202"/>
      <c r="BGY177" s="203"/>
      <c r="BGZ177" s="204"/>
      <c r="BHA177" s="204"/>
      <c r="BHB177" s="204"/>
      <c r="BHC177" s="205"/>
      <c r="BHD177" s="206"/>
      <c r="BHE177" s="207"/>
      <c r="BHF177" s="207"/>
      <c r="BHG177" s="208"/>
      <c r="BHH177" s="209"/>
      <c r="BHI177" s="207"/>
      <c r="BHJ177" s="210"/>
      <c r="BHK177" s="209"/>
      <c r="BHL177" s="204"/>
      <c r="BHM177" s="204"/>
      <c r="BHN177" s="204"/>
      <c r="BHO177" s="199"/>
      <c r="BHP177" s="167"/>
      <c r="BHQ177" s="199"/>
      <c r="BHR177" s="200"/>
      <c r="BHS177" s="201"/>
      <c r="BHT177" s="202"/>
      <c r="BHU177" s="202"/>
      <c r="BHV177" s="202"/>
      <c r="BHW177" s="202"/>
      <c r="BHX177" s="203"/>
      <c r="BHY177" s="204"/>
      <c r="BHZ177" s="204"/>
      <c r="BIA177" s="204"/>
      <c r="BIB177" s="205"/>
      <c r="BIC177" s="206"/>
      <c r="BID177" s="207"/>
      <c r="BIE177" s="207"/>
      <c r="BIF177" s="208"/>
      <c r="BIG177" s="209"/>
      <c r="BIH177" s="207"/>
      <c r="BII177" s="210"/>
      <c r="BIJ177" s="209"/>
      <c r="BIK177" s="204"/>
      <c r="BIL177" s="204"/>
      <c r="BIM177" s="204"/>
      <c r="BIN177" s="199"/>
      <c r="BIO177" s="167"/>
      <c r="BIP177" s="199"/>
      <c r="BIQ177" s="200"/>
      <c r="BIR177" s="201"/>
      <c r="BIS177" s="202"/>
      <c r="BIT177" s="202"/>
      <c r="BIU177" s="202"/>
      <c r="BIV177" s="202"/>
      <c r="BIW177" s="203"/>
      <c r="BIX177" s="204"/>
      <c r="BIY177" s="204"/>
      <c r="BIZ177" s="204"/>
      <c r="BJA177" s="205"/>
      <c r="BJB177" s="206"/>
      <c r="BJC177" s="207"/>
      <c r="BJD177" s="207"/>
      <c r="BJE177" s="208"/>
      <c r="BJF177" s="209"/>
      <c r="BJG177" s="207"/>
      <c r="BJH177" s="210"/>
      <c r="BJI177" s="209"/>
      <c r="BJJ177" s="204"/>
      <c r="BJK177" s="204"/>
      <c r="BJL177" s="204"/>
      <c r="BJM177" s="199"/>
      <c r="BJN177" s="167"/>
      <c r="BJO177" s="199"/>
      <c r="BJP177" s="200"/>
      <c r="BJQ177" s="201"/>
      <c r="BJR177" s="202"/>
      <c r="BJS177" s="202"/>
      <c r="BJT177" s="202"/>
      <c r="BJU177" s="202"/>
      <c r="BJV177" s="203"/>
      <c r="BJW177" s="204"/>
      <c r="BJX177" s="204"/>
      <c r="BJY177" s="204"/>
      <c r="BJZ177" s="205"/>
      <c r="BKA177" s="206"/>
      <c r="BKB177" s="207"/>
      <c r="BKC177" s="207"/>
      <c r="BKD177" s="208"/>
      <c r="BKE177" s="209"/>
      <c r="BKF177" s="207"/>
      <c r="BKG177" s="210"/>
      <c r="BKH177" s="209"/>
      <c r="BKI177" s="204"/>
      <c r="BKJ177" s="204"/>
      <c r="BKK177" s="204"/>
      <c r="BKL177" s="199"/>
      <c r="BKM177" s="167"/>
      <c r="BKN177" s="199"/>
      <c r="BKO177" s="200"/>
      <c r="BKP177" s="201"/>
      <c r="BKQ177" s="202"/>
      <c r="BKR177" s="202"/>
      <c r="BKS177" s="202"/>
      <c r="BKT177" s="202"/>
      <c r="BKU177" s="203"/>
      <c r="BKV177" s="204"/>
      <c r="BKW177" s="204"/>
      <c r="BKX177" s="204"/>
      <c r="BKY177" s="205"/>
      <c r="BKZ177" s="206"/>
      <c r="BLA177" s="207"/>
      <c r="BLB177" s="207"/>
      <c r="BLC177" s="208"/>
      <c r="BLD177" s="209"/>
      <c r="BLE177" s="207"/>
      <c r="BLF177" s="210"/>
      <c r="BLG177" s="209"/>
      <c r="BLH177" s="204"/>
      <c r="BLI177" s="204"/>
      <c r="BLJ177" s="204"/>
      <c r="BLK177" s="199"/>
      <c r="BLL177" s="167"/>
      <c r="BLM177" s="199"/>
      <c r="BLN177" s="200"/>
      <c r="BLO177" s="201"/>
      <c r="BLP177" s="202"/>
      <c r="BLQ177" s="202"/>
      <c r="BLR177" s="202"/>
      <c r="BLS177" s="202"/>
      <c r="BLT177" s="203"/>
      <c r="BLU177" s="204"/>
      <c r="BLV177" s="204"/>
      <c r="BLW177" s="204"/>
      <c r="BLX177" s="205"/>
      <c r="BLY177" s="206"/>
      <c r="BLZ177" s="207"/>
      <c r="BMA177" s="207"/>
      <c r="BMB177" s="208"/>
      <c r="BMC177" s="209"/>
      <c r="BMD177" s="207"/>
      <c r="BME177" s="210"/>
      <c r="BMF177" s="209"/>
      <c r="BMG177" s="204"/>
      <c r="BMH177" s="204"/>
      <c r="BMI177" s="204"/>
      <c r="BMJ177" s="199"/>
      <c r="BMK177" s="167"/>
      <c r="BML177" s="199"/>
      <c r="BMM177" s="200"/>
      <c r="BMN177" s="201"/>
      <c r="BMO177" s="202"/>
      <c r="BMP177" s="202"/>
      <c r="BMQ177" s="202"/>
      <c r="BMR177" s="202"/>
      <c r="BMS177" s="203"/>
      <c r="BMT177" s="204"/>
      <c r="BMU177" s="204"/>
      <c r="BMV177" s="204"/>
      <c r="BMW177" s="205"/>
      <c r="BMX177" s="206"/>
      <c r="BMY177" s="207"/>
      <c r="BMZ177" s="207"/>
      <c r="BNA177" s="208"/>
      <c r="BNB177" s="209"/>
      <c r="BNC177" s="207"/>
      <c r="BND177" s="210"/>
      <c r="BNE177" s="209"/>
      <c r="BNF177" s="204"/>
      <c r="BNG177" s="204"/>
      <c r="BNH177" s="204"/>
      <c r="BNI177" s="199"/>
      <c r="BNJ177" s="167"/>
      <c r="BNK177" s="199"/>
      <c r="BNL177" s="200"/>
      <c r="BNM177" s="201"/>
      <c r="BNN177" s="202"/>
      <c r="BNO177" s="202"/>
      <c r="BNP177" s="202"/>
      <c r="BNQ177" s="202"/>
      <c r="BNR177" s="203"/>
      <c r="BNS177" s="204"/>
      <c r="BNT177" s="204"/>
      <c r="BNU177" s="204"/>
      <c r="BNV177" s="205"/>
      <c r="BNW177" s="206"/>
      <c r="BNX177" s="207"/>
      <c r="BNY177" s="207"/>
      <c r="BNZ177" s="208"/>
      <c r="BOA177" s="209"/>
      <c r="BOB177" s="207"/>
      <c r="BOC177" s="210"/>
      <c r="BOD177" s="209"/>
      <c r="BOE177" s="204"/>
      <c r="BOF177" s="204"/>
      <c r="BOG177" s="204"/>
      <c r="BOH177" s="199"/>
      <c r="BOI177" s="167"/>
      <c r="BOJ177" s="199"/>
      <c r="BOK177" s="200"/>
      <c r="BOL177" s="201"/>
      <c r="BOM177" s="202"/>
      <c r="BON177" s="202"/>
      <c r="BOO177" s="202"/>
      <c r="BOP177" s="202"/>
      <c r="BOQ177" s="203"/>
      <c r="BOR177" s="204"/>
      <c r="BOS177" s="204"/>
      <c r="BOT177" s="204"/>
      <c r="BOU177" s="205"/>
      <c r="BOV177" s="206"/>
      <c r="BOW177" s="207"/>
      <c r="BOX177" s="207"/>
      <c r="BOY177" s="208"/>
      <c r="BOZ177" s="209"/>
      <c r="BPA177" s="207"/>
      <c r="BPB177" s="210"/>
      <c r="BPC177" s="209"/>
      <c r="BPD177" s="204"/>
      <c r="BPE177" s="204"/>
      <c r="BPF177" s="204"/>
      <c r="BPG177" s="199"/>
      <c r="BPH177" s="167"/>
      <c r="BPI177" s="199"/>
      <c r="BPJ177" s="200"/>
      <c r="BPK177" s="201"/>
      <c r="BPL177" s="202"/>
      <c r="BPM177" s="202"/>
      <c r="BPN177" s="202"/>
      <c r="BPO177" s="202"/>
      <c r="BPP177" s="203"/>
      <c r="BPQ177" s="204"/>
      <c r="BPR177" s="204"/>
      <c r="BPS177" s="204"/>
      <c r="BPT177" s="205"/>
      <c r="BPU177" s="206"/>
      <c r="BPV177" s="207"/>
      <c r="BPW177" s="207"/>
      <c r="BPX177" s="208"/>
      <c r="BPY177" s="209"/>
      <c r="BPZ177" s="207"/>
      <c r="BQA177" s="210"/>
      <c r="BQB177" s="209"/>
      <c r="BQC177" s="204"/>
      <c r="BQD177" s="204"/>
      <c r="BQE177" s="204"/>
      <c r="BQF177" s="199"/>
      <c r="BQG177" s="167"/>
      <c r="BQH177" s="199"/>
      <c r="BQI177" s="200"/>
      <c r="BQJ177" s="201"/>
      <c r="BQK177" s="202"/>
      <c r="BQL177" s="202"/>
      <c r="BQM177" s="202"/>
      <c r="BQN177" s="202"/>
      <c r="BQO177" s="203"/>
      <c r="BQP177" s="204"/>
      <c r="BQQ177" s="204"/>
      <c r="BQR177" s="204"/>
      <c r="BQS177" s="205"/>
      <c r="BQT177" s="206"/>
      <c r="BQU177" s="207"/>
      <c r="BQV177" s="207"/>
      <c r="BQW177" s="208"/>
      <c r="BQX177" s="209"/>
      <c r="BQY177" s="207"/>
      <c r="BQZ177" s="210"/>
      <c r="BRA177" s="209"/>
      <c r="BRB177" s="204"/>
      <c r="BRC177" s="204"/>
      <c r="BRD177" s="204"/>
      <c r="BRE177" s="199"/>
      <c r="BRF177" s="167"/>
      <c r="BRG177" s="199"/>
      <c r="BRH177" s="200"/>
      <c r="BRI177" s="201"/>
      <c r="BRJ177" s="202"/>
      <c r="BRK177" s="202"/>
      <c r="BRL177" s="202"/>
      <c r="BRM177" s="202"/>
      <c r="BRN177" s="203"/>
      <c r="BRO177" s="204"/>
      <c r="BRP177" s="204"/>
      <c r="BRQ177" s="204"/>
      <c r="BRR177" s="205"/>
      <c r="BRS177" s="206"/>
      <c r="BRT177" s="207"/>
      <c r="BRU177" s="207"/>
      <c r="BRV177" s="208"/>
      <c r="BRW177" s="209"/>
      <c r="BRX177" s="207"/>
      <c r="BRY177" s="210"/>
      <c r="BRZ177" s="209"/>
      <c r="BSA177" s="204"/>
      <c r="BSB177" s="204"/>
      <c r="BSC177" s="204"/>
      <c r="BSD177" s="199"/>
      <c r="BSE177" s="167"/>
      <c r="BSF177" s="199"/>
      <c r="BSG177" s="200"/>
      <c r="BSH177" s="201"/>
      <c r="BSI177" s="202"/>
      <c r="BSJ177" s="202"/>
      <c r="BSK177" s="202"/>
      <c r="BSL177" s="202"/>
      <c r="BSM177" s="203"/>
      <c r="BSN177" s="204"/>
      <c r="BSO177" s="204"/>
      <c r="BSP177" s="204"/>
      <c r="BSQ177" s="205"/>
      <c r="BSR177" s="206"/>
      <c r="BSS177" s="207"/>
      <c r="BST177" s="207"/>
      <c r="BSU177" s="208"/>
      <c r="BSV177" s="209"/>
      <c r="BSW177" s="207"/>
      <c r="BSX177" s="210"/>
      <c r="BSY177" s="209"/>
      <c r="BSZ177" s="204"/>
      <c r="BTA177" s="204"/>
      <c r="BTB177" s="204"/>
      <c r="BTC177" s="199"/>
      <c r="BTD177" s="167"/>
      <c r="BTE177" s="199"/>
      <c r="BTF177" s="200"/>
      <c r="BTG177" s="201"/>
      <c r="BTH177" s="202"/>
      <c r="BTI177" s="202"/>
      <c r="BTJ177" s="202"/>
      <c r="BTK177" s="202"/>
      <c r="BTL177" s="203"/>
      <c r="BTM177" s="204"/>
      <c r="BTN177" s="204"/>
      <c r="BTO177" s="204"/>
      <c r="BTP177" s="205"/>
      <c r="BTQ177" s="206"/>
      <c r="BTR177" s="207"/>
      <c r="BTS177" s="207"/>
      <c r="BTT177" s="208"/>
      <c r="BTU177" s="209"/>
      <c r="BTV177" s="207"/>
      <c r="BTW177" s="210"/>
      <c r="BTX177" s="209"/>
      <c r="BTY177" s="204"/>
      <c r="BTZ177" s="204"/>
      <c r="BUA177" s="204"/>
      <c r="BUB177" s="199"/>
      <c r="BUC177" s="167"/>
      <c r="BUD177" s="199"/>
      <c r="BUE177" s="200"/>
      <c r="BUF177" s="201"/>
      <c r="BUG177" s="202"/>
      <c r="BUH177" s="202"/>
      <c r="BUI177" s="202"/>
      <c r="BUJ177" s="202"/>
      <c r="BUK177" s="203"/>
      <c r="BUL177" s="204"/>
      <c r="BUM177" s="204"/>
      <c r="BUN177" s="204"/>
      <c r="BUO177" s="205"/>
      <c r="BUP177" s="206"/>
      <c r="BUQ177" s="207"/>
      <c r="BUR177" s="207"/>
      <c r="BUS177" s="208"/>
      <c r="BUT177" s="209"/>
      <c r="BUU177" s="207"/>
      <c r="BUV177" s="210"/>
      <c r="BUW177" s="209"/>
      <c r="BUX177" s="204"/>
      <c r="BUY177" s="204"/>
      <c r="BUZ177" s="204"/>
      <c r="BVA177" s="199"/>
      <c r="BVB177" s="167"/>
      <c r="BVC177" s="199"/>
      <c r="BVD177" s="200"/>
      <c r="BVE177" s="201"/>
      <c r="BVF177" s="202"/>
      <c r="BVG177" s="202"/>
      <c r="BVH177" s="202"/>
      <c r="BVI177" s="202"/>
      <c r="BVJ177" s="203"/>
      <c r="BVK177" s="204"/>
      <c r="BVL177" s="204"/>
      <c r="BVM177" s="204"/>
      <c r="BVN177" s="205"/>
      <c r="BVO177" s="206"/>
      <c r="BVP177" s="207"/>
      <c r="BVQ177" s="207"/>
      <c r="BVR177" s="208"/>
      <c r="BVS177" s="209"/>
      <c r="BVT177" s="207"/>
      <c r="BVU177" s="210"/>
      <c r="BVV177" s="209"/>
      <c r="BVW177" s="204"/>
      <c r="BVX177" s="204"/>
      <c r="BVY177" s="204"/>
      <c r="BVZ177" s="199"/>
      <c r="BWA177" s="167"/>
      <c r="BWB177" s="199"/>
      <c r="BWC177" s="200"/>
      <c r="BWD177" s="201"/>
      <c r="BWE177" s="202"/>
      <c r="BWF177" s="202"/>
      <c r="BWG177" s="202"/>
      <c r="BWH177" s="202"/>
      <c r="BWI177" s="203"/>
      <c r="BWJ177" s="204"/>
      <c r="BWK177" s="204"/>
      <c r="BWL177" s="204"/>
      <c r="BWM177" s="205"/>
      <c r="BWN177" s="206"/>
      <c r="BWO177" s="207"/>
      <c r="BWP177" s="207"/>
      <c r="BWQ177" s="208"/>
      <c r="BWR177" s="209"/>
      <c r="BWS177" s="207"/>
      <c r="BWT177" s="210"/>
      <c r="BWU177" s="209"/>
      <c r="BWV177" s="204"/>
      <c r="BWW177" s="204"/>
      <c r="BWX177" s="204"/>
      <c r="BWY177" s="199"/>
      <c r="BWZ177" s="167"/>
      <c r="BXA177" s="199"/>
      <c r="BXB177" s="200"/>
      <c r="BXC177" s="201"/>
      <c r="BXD177" s="202"/>
      <c r="BXE177" s="202"/>
      <c r="BXF177" s="202"/>
      <c r="BXG177" s="202"/>
      <c r="BXH177" s="203"/>
      <c r="BXI177" s="204"/>
      <c r="BXJ177" s="204"/>
      <c r="BXK177" s="204"/>
      <c r="BXL177" s="205"/>
      <c r="BXM177" s="206"/>
      <c r="BXN177" s="207"/>
      <c r="BXO177" s="207"/>
      <c r="BXP177" s="208"/>
      <c r="BXQ177" s="209"/>
      <c r="BXR177" s="207"/>
      <c r="BXS177" s="210"/>
      <c r="BXT177" s="209"/>
      <c r="BXU177" s="204"/>
      <c r="BXV177" s="204"/>
      <c r="BXW177" s="204"/>
      <c r="BXX177" s="199"/>
      <c r="BXY177" s="167"/>
      <c r="BXZ177" s="199"/>
      <c r="BYA177" s="200"/>
      <c r="BYB177" s="201"/>
      <c r="BYC177" s="202"/>
      <c r="BYD177" s="202"/>
      <c r="BYE177" s="202"/>
      <c r="BYF177" s="202"/>
      <c r="BYG177" s="203"/>
      <c r="BYH177" s="204"/>
      <c r="BYI177" s="204"/>
      <c r="BYJ177" s="204"/>
      <c r="BYK177" s="205"/>
      <c r="BYL177" s="206"/>
      <c r="BYM177" s="207"/>
      <c r="BYN177" s="207"/>
      <c r="BYO177" s="208"/>
      <c r="BYP177" s="209"/>
      <c r="BYQ177" s="207"/>
      <c r="BYR177" s="210"/>
      <c r="BYS177" s="209"/>
      <c r="BYT177" s="204"/>
      <c r="BYU177" s="204"/>
      <c r="BYV177" s="204"/>
      <c r="BYW177" s="199"/>
      <c r="BYX177" s="167"/>
      <c r="BYY177" s="199"/>
      <c r="BYZ177" s="200"/>
      <c r="BZA177" s="201"/>
      <c r="BZB177" s="202"/>
      <c r="BZC177" s="202"/>
      <c r="BZD177" s="202"/>
      <c r="BZE177" s="202"/>
      <c r="BZF177" s="203"/>
      <c r="BZG177" s="204"/>
      <c r="BZH177" s="204"/>
      <c r="BZI177" s="204"/>
      <c r="BZJ177" s="205"/>
      <c r="BZK177" s="206"/>
      <c r="BZL177" s="207"/>
      <c r="BZM177" s="207"/>
      <c r="BZN177" s="208"/>
      <c r="BZO177" s="209"/>
      <c r="BZP177" s="207"/>
      <c r="BZQ177" s="210"/>
      <c r="BZR177" s="209"/>
      <c r="BZS177" s="204"/>
      <c r="BZT177" s="204"/>
      <c r="BZU177" s="204"/>
      <c r="BZV177" s="199"/>
      <c r="BZW177" s="167"/>
      <c r="BZX177" s="199"/>
      <c r="BZY177" s="200"/>
      <c r="BZZ177" s="201"/>
      <c r="CAA177" s="202"/>
      <c r="CAB177" s="202"/>
      <c r="CAC177" s="202"/>
      <c r="CAD177" s="202"/>
      <c r="CAE177" s="203"/>
      <c r="CAF177" s="204"/>
      <c r="CAG177" s="204"/>
      <c r="CAH177" s="204"/>
      <c r="CAI177" s="205"/>
      <c r="CAJ177" s="206"/>
      <c r="CAK177" s="207"/>
      <c r="CAL177" s="207"/>
      <c r="CAM177" s="208"/>
      <c r="CAN177" s="209"/>
      <c r="CAO177" s="207"/>
      <c r="CAP177" s="210"/>
      <c r="CAQ177" s="209"/>
      <c r="CAR177" s="204"/>
      <c r="CAS177" s="204"/>
      <c r="CAT177" s="204"/>
      <c r="CAU177" s="199"/>
      <c r="CAV177" s="167"/>
      <c r="CAW177" s="199"/>
      <c r="CAX177" s="200"/>
      <c r="CAY177" s="201"/>
      <c r="CAZ177" s="202"/>
      <c r="CBA177" s="202"/>
      <c r="CBB177" s="202"/>
      <c r="CBC177" s="202"/>
      <c r="CBD177" s="203"/>
      <c r="CBE177" s="204"/>
      <c r="CBF177" s="204"/>
      <c r="CBG177" s="204"/>
      <c r="CBH177" s="205"/>
      <c r="CBI177" s="206"/>
      <c r="CBJ177" s="207"/>
      <c r="CBK177" s="207"/>
      <c r="CBL177" s="208"/>
      <c r="CBM177" s="209"/>
      <c r="CBN177" s="207"/>
      <c r="CBO177" s="210"/>
      <c r="CBP177" s="209"/>
      <c r="CBQ177" s="204"/>
      <c r="CBR177" s="204"/>
      <c r="CBS177" s="204"/>
      <c r="CBT177" s="199"/>
      <c r="CBU177" s="167"/>
      <c r="CBV177" s="199"/>
      <c r="CBW177" s="200"/>
      <c r="CBX177" s="201"/>
      <c r="CBY177" s="202"/>
      <c r="CBZ177" s="202"/>
      <c r="CCA177" s="202"/>
      <c r="CCB177" s="202"/>
      <c r="CCC177" s="203"/>
      <c r="CCD177" s="204"/>
      <c r="CCE177" s="204"/>
      <c r="CCF177" s="204"/>
      <c r="CCG177" s="205"/>
      <c r="CCH177" s="206"/>
      <c r="CCI177" s="207"/>
      <c r="CCJ177" s="207"/>
      <c r="CCK177" s="208"/>
      <c r="CCL177" s="209"/>
      <c r="CCM177" s="207"/>
      <c r="CCN177" s="210"/>
      <c r="CCO177" s="209"/>
      <c r="CCP177" s="204"/>
      <c r="CCQ177" s="204"/>
      <c r="CCR177" s="204"/>
      <c r="CCS177" s="199"/>
      <c r="CCT177" s="167"/>
      <c r="CCU177" s="199"/>
      <c r="CCV177" s="200"/>
      <c r="CCW177" s="201"/>
      <c r="CCX177" s="202"/>
      <c r="CCY177" s="202"/>
      <c r="CCZ177" s="202"/>
      <c r="CDA177" s="202"/>
      <c r="CDB177" s="203"/>
      <c r="CDC177" s="204"/>
      <c r="CDD177" s="204"/>
      <c r="CDE177" s="204"/>
      <c r="CDF177" s="205"/>
      <c r="CDG177" s="206"/>
      <c r="CDH177" s="207"/>
      <c r="CDI177" s="207"/>
      <c r="CDJ177" s="208"/>
      <c r="CDK177" s="209"/>
      <c r="CDL177" s="207"/>
      <c r="CDM177" s="210"/>
      <c r="CDN177" s="209"/>
      <c r="CDO177" s="204"/>
      <c r="CDP177" s="204"/>
      <c r="CDQ177" s="204"/>
      <c r="CDR177" s="199"/>
      <c r="CDS177" s="167"/>
      <c r="CDT177" s="199"/>
      <c r="CDU177" s="200"/>
      <c r="CDV177" s="201"/>
      <c r="CDW177" s="202"/>
      <c r="CDX177" s="202"/>
      <c r="CDY177" s="202"/>
      <c r="CDZ177" s="202"/>
      <c r="CEA177" s="203"/>
      <c r="CEB177" s="204"/>
      <c r="CEC177" s="204"/>
      <c r="CED177" s="204"/>
      <c r="CEE177" s="205"/>
      <c r="CEF177" s="206"/>
      <c r="CEG177" s="207"/>
      <c r="CEH177" s="207"/>
      <c r="CEI177" s="208"/>
      <c r="CEJ177" s="209"/>
      <c r="CEK177" s="207"/>
      <c r="CEL177" s="210"/>
      <c r="CEM177" s="209"/>
      <c r="CEN177" s="204"/>
      <c r="CEO177" s="204"/>
      <c r="CEP177" s="204"/>
      <c r="CEQ177" s="199"/>
      <c r="CER177" s="167"/>
      <c r="CES177" s="199"/>
      <c r="CET177" s="200"/>
      <c r="CEU177" s="201"/>
      <c r="CEV177" s="202"/>
      <c r="CEW177" s="202"/>
      <c r="CEX177" s="202"/>
      <c r="CEY177" s="202"/>
      <c r="CEZ177" s="203"/>
      <c r="CFA177" s="204"/>
      <c r="CFB177" s="204"/>
      <c r="CFC177" s="204"/>
      <c r="CFD177" s="205"/>
      <c r="CFE177" s="206"/>
      <c r="CFF177" s="207"/>
      <c r="CFG177" s="207"/>
      <c r="CFH177" s="208"/>
      <c r="CFI177" s="209"/>
      <c r="CFJ177" s="207"/>
      <c r="CFK177" s="210"/>
      <c r="CFL177" s="209"/>
      <c r="CFM177" s="204"/>
      <c r="CFN177" s="204"/>
      <c r="CFO177" s="204"/>
      <c r="CFP177" s="199"/>
      <c r="CFQ177" s="167"/>
      <c r="CFR177" s="199"/>
      <c r="CFS177" s="200"/>
      <c r="CFT177" s="201"/>
      <c r="CFU177" s="202"/>
      <c r="CFV177" s="202"/>
      <c r="CFW177" s="202"/>
      <c r="CFX177" s="202"/>
      <c r="CFY177" s="203"/>
      <c r="CFZ177" s="204"/>
      <c r="CGA177" s="204"/>
      <c r="CGB177" s="204"/>
      <c r="CGC177" s="205"/>
      <c r="CGD177" s="206"/>
      <c r="CGE177" s="207"/>
      <c r="CGF177" s="207"/>
      <c r="CGG177" s="208"/>
      <c r="CGH177" s="209"/>
      <c r="CGI177" s="207"/>
      <c r="CGJ177" s="210"/>
      <c r="CGK177" s="209"/>
      <c r="CGL177" s="204"/>
      <c r="CGM177" s="204"/>
      <c r="CGN177" s="204"/>
      <c r="CGO177" s="199"/>
      <c r="CGP177" s="167"/>
      <c r="CGQ177" s="199"/>
      <c r="CGR177" s="200"/>
      <c r="CGS177" s="201"/>
      <c r="CGT177" s="202"/>
      <c r="CGU177" s="202"/>
      <c r="CGV177" s="202"/>
      <c r="CGW177" s="202"/>
      <c r="CGX177" s="203"/>
      <c r="CGY177" s="204"/>
      <c r="CGZ177" s="204"/>
      <c r="CHA177" s="204"/>
      <c r="CHB177" s="205"/>
      <c r="CHC177" s="206"/>
      <c r="CHD177" s="207"/>
      <c r="CHE177" s="207"/>
      <c r="CHF177" s="208"/>
      <c r="CHG177" s="209"/>
      <c r="CHH177" s="207"/>
      <c r="CHI177" s="210"/>
      <c r="CHJ177" s="209"/>
      <c r="CHK177" s="204"/>
      <c r="CHL177" s="204"/>
      <c r="CHM177" s="204"/>
      <c r="CHN177" s="199"/>
      <c r="CHO177" s="167"/>
      <c r="CHP177" s="199"/>
      <c r="CHQ177" s="200"/>
      <c r="CHR177" s="201"/>
      <c r="CHS177" s="202"/>
      <c r="CHT177" s="202"/>
      <c r="CHU177" s="202"/>
      <c r="CHV177" s="202"/>
      <c r="CHW177" s="203"/>
      <c r="CHX177" s="204"/>
      <c r="CHY177" s="204"/>
      <c r="CHZ177" s="204"/>
      <c r="CIA177" s="205"/>
      <c r="CIB177" s="206"/>
      <c r="CIC177" s="207"/>
      <c r="CID177" s="207"/>
      <c r="CIE177" s="208"/>
      <c r="CIF177" s="209"/>
      <c r="CIG177" s="207"/>
      <c r="CIH177" s="210"/>
      <c r="CII177" s="209"/>
      <c r="CIJ177" s="204"/>
      <c r="CIK177" s="204"/>
      <c r="CIL177" s="204"/>
      <c r="CIM177" s="199"/>
      <c r="CIN177" s="167"/>
      <c r="CIO177" s="199"/>
      <c r="CIP177" s="200"/>
      <c r="CIQ177" s="201"/>
      <c r="CIR177" s="202"/>
      <c r="CIS177" s="202"/>
      <c r="CIT177" s="202"/>
      <c r="CIU177" s="202"/>
      <c r="CIV177" s="203"/>
      <c r="CIW177" s="204"/>
      <c r="CIX177" s="204"/>
      <c r="CIY177" s="204"/>
      <c r="CIZ177" s="205"/>
      <c r="CJA177" s="206"/>
      <c r="CJB177" s="207"/>
      <c r="CJC177" s="207"/>
      <c r="CJD177" s="208"/>
      <c r="CJE177" s="209"/>
      <c r="CJF177" s="207"/>
      <c r="CJG177" s="210"/>
      <c r="CJH177" s="209"/>
      <c r="CJI177" s="204"/>
      <c r="CJJ177" s="204"/>
      <c r="CJK177" s="204"/>
      <c r="CJL177" s="199"/>
      <c r="CJM177" s="167"/>
      <c r="CJN177" s="199"/>
      <c r="CJO177" s="200"/>
      <c r="CJP177" s="201"/>
      <c r="CJQ177" s="202"/>
      <c r="CJR177" s="202"/>
      <c r="CJS177" s="202"/>
      <c r="CJT177" s="202"/>
      <c r="CJU177" s="203"/>
      <c r="CJV177" s="204"/>
      <c r="CJW177" s="204"/>
      <c r="CJX177" s="204"/>
      <c r="CJY177" s="205"/>
      <c r="CJZ177" s="206"/>
      <c r="CKA177" s="207"/>
      <c r="CKB177" s="207"/>
      <c r="CKC177" s="208"/>
      <c r="CKD177" s="209"/>
      <c r="CKE177" s="207"/>
      <c r="CKF177" s="210"/>
      <c r="CKG177" s="209"/>
      <c r="CKH177" s="204"/>
      <c r="CKI177" s="204"/>
      <c r="CKJ177" s="204"/>
      <c r="CKK177" s="199"/>
      <c r="CKL177" s="167"/>
      <c r="CKM177" s="199"/>
      <c r="CKN177" s="200"/>
      <c r="CKO177" s="201"/>
      <c r="CKP177" s="202"/>
      <c r="CKQ177" s="202"/>
      <c r="CKR177" s="202"/>
      <c r="CKS177" s="202"/>
      <c r="CKT177" s="203"/>
      <c r="CKU177" s="204"/>
      <c r="CKV177" s="204"/>
      <c r="CKW177" s="204"/>
      <c r="CKX177" s="205"/>
      <c r="CKY177" s="206"/>
      <c r="CKZ177" s="207"/>
      <c r="CLA177" s="207"/>
      <c r="CLB177" s="208"/>
      <c r="CLC177" s="209"/>
      <c r="CLD177" s="207"/>
      <c r="CLE177" s="210"/>
      <c r="CLF177" s="209"/>
      <c r="CLG177" s="204"/>
      <c r="CLH177" s="204"/>
      <c r="CLI177" s="204"/>
      <c r="CLJ177" s="199"/>
      <c r="CLK177" s="167"/>
      <c r="CLL177" s="199"/>
      <c r="CLM177" s="200"/>
      <c r="CLN177" s="201"/>
      <c r="CLO177" s="202"/>
      <c r="CLP177" s="202"/>
      <c r="CLQ177" s="202"/>
      <c r="CLR177" s="202"/>
      <c r="CLS177" s="203"/>
      <c r="CLT177" s="204"/>
      <c r="CLU177" s="204"/>
      <c r="CLV177" s="204"/>
      <c r="CLW177" s="205"/>
      <c r="CLX177" s="206"/>
      <c r="CLY177" s="207"/>
      <c r="CLZ177" s="207"/>
      <c r="CMA177" s="208"/>
      <c r="CMB177" s="209"/>
      <c r="CMC177" s="207"/>
      <c r="CMD177" s="210"/>
      <c r="CME177" s="209"/>
      <c r="CMF177" s="204"/>
      <c r="CMG177" s="204"/>
      <c r="CMH177" s="204"/>
      <c r="CMI177" s="199"/>
      <c r="CMJ177" s="167"/>
      <c r="CMK177" s="199"/>
      <c r="CML177" s="200"/>
      <c r="CMM177" s="201"/>
      <c r="CMN177" s="202"/>
      <c r="CMO177" s="202"/>
      <c r="CMP177" s="202"/>
      <c r="CMQ177" s="202"/>
      <c r="CMR177" s="203"/>
      <c r="CMS177" s="204"/>
      <c r="CMT177" s="204"/>
      <c r="CMU177" s="204"/>
      <c r="CMV177" s="205"/>
      <c r="CMW177" s="206"/>
      <c r="CMX177" s="207"/>
      <c r="CMY177" s="207"/>
      <c r="CMZ177" s="208"/>
      <c r="CNA177" s="209"/>
      <c r="CNB177" s="207"/>
      <c r="CNC177" s="210"/>
      <c r="CND177" s="209"/>
      <c r="CNE177" s="204"/>
      <c r="CNF177" s="204"/>
      <c r="CNG177" s="204"/>
      <c r="CNH177" s="199"/>
      <c r="CNI177" s="167"/>
      <c r="CNJ177" s="199"/>
      <c r="CNK177" s="200"/>
      <c r="CNL177" s="201"/>
      <c r="CNM177" s="202"/>
      <c r="CNN177" s="202"/>
      <c r="CNO177" s="202"/>
      <c r="CNP177" s="202"/>
      <c r="CNQ177" s="203"/>
      <c r="CNR177" s="204"/>
      <c r="CNS177" s="204"/>
      <c r="CNT177" s="204"/>
      <c r="CNU177" s="205"/>
      <c r="CNV177" s="206"/>
      <c r="CNW177" s="207"/>
      <c r="CNX177" s="207"/>
      <c r="CNY177" s="208"/>
      <c r="CNZ177" s="209"/>
      <c r="COA177" s="207"/>
      <c r="COB177" s="210"/>
      <c r="COC177" s="209"/>
      <c r="COD177" s="204"/>
      <c r="COE177" s="204"/>
      <c r="COF177" s="204"/>
      <c r="COG177" s="199"/>
      <c r="COH177" s="167"/>
      <c r="COI177" s="199"/>
      <c r="COJ177" s="200"/>
      <c r="COK177" s="201"/>
      <c r="COL177" s="202"/>
      <c r="COM177" s="202"/>
      <c r="CON177" s="202"/>
      <c r="COO177" s="202"/>
      <c r="COP177" s="203"/>
      <c r="COQ177" s="204"/>
      <c r="COR177" s="204"/>
      <c r="COS177" s="204"/>
      <c r="COT177" s="205"/>
      <c r="COU177" s="206"/>
      <c r="COV177" s="207"/>
      <c r="COW177" s="207"/>
      <c r="COX177" s="208"/>
      <c r="COY177" s="209"/>
      <c r="COZ177" s="207"/>
      <c r="CPA177" s="210"/>
      <c r="CPB177" s="209"/>
      <c r="CPC177" s="204"/>
      <c r="CPD177" s="204"/>
      <c r="CPE177" s="204"/>
      <c r="CPF177" s="199"/>
      <c r="CPG177" s="167"/>
      <c r="CPH177" s="199"/>
      <c r="CPI177" s="200"/>
      <c r="CPJ177" s="201"/>
      <c r="CPK177" s="202"/>
      <c r="CPL177" s="202"/>
      <c r="CPM177" s="202"/>
      <c r="CPN177" s="202"/>
      <c r="CPO177" s="203"/>
      <c r="CPP177" s="204"/>
      <c r="CPQ177" s="204"/>
      <c r="CPR177" s="204"/>
      <c r="CPS177" s="205"/>
      <c r="CPT177" s="206"/>
      <c r="CPU177" s="207"/>
      <c r="CPV177" s="207"/>
      <c r="CPW177" s="208"/>
      <c r="CPX177" s="209"/>
      <c r="CPY177" s="207"/>
      <c r="CPZ177" s="210"/>
      <c r="CQA177" s="209"/>
      <c r="CQB177" s="204"/>
      <c r="CQC177" s="204"/>
      <c r="CQD177" s="204"/>
      <c r="CQE177" s="199"/>
      <c r="CQF177" s="167"/>
      <c r="CQG177" s="199"/>
      <c r="CQH177" s="200"/>
      <c r="CQI177" s="201"/>
      <c r="CQJ177" s="202"/>
      <c r="CQK177" s="202"/>
      <c r="CQL177" s="202"/>
      <c r="CQM177" s="202"/>
      <c r="CQN177" s="203"/>
      <c r="CQO177" s="204"/>
      <c r="CQP177" s="204"/>
      <c r="CQQ177" s="204"/>
      <c r="CQR177" s="205"/>
      <c r="CQS177" s="206"/>
      <c r="CQT177" s="207"/>
      <c r="CQU177" s="207"/>
      <c r="CQV177" s="208"/>
      <c r="CQW177" s="209"/>
      <c r="CQX177" s="207"/>
      <c r="CQY177" s="210"/>
      <c r="CQZ177" s="209"/>
      <c r="CRA177" s="204"/>
      <c r="CRB177" s="204"/>
      <c r="CRC177" s="204"/>
      <c r="CRD177" s="199"/>
      <c r="CRE177" s="167"/>
      <c r="CRF177" s="199"/>
      <c r="CRG177" s="200"/>
      <c r="CRH177" s="201"/>
      <c r="CRI177" s="202"/>
      <c r="CRJ177" s="202"/>
      <c r="CRK177" s="202"/>
      <c r="CRL177" s="202"/>
      <c r="CRM177" s="203"/>
      <c r="CRN177" s="204"/>
      <c r="CRO177" s="204"/>
      <c r="CRP177" s="204"/>
      <c r="CRQ177" s="205"/>
      <c r="CRR177" s="206"/>
      <c r="CRS177" s="207"/>
      <c r="CRT177" s="207"/>
      <c r="CRU177" s="208"/>
      <c r="CRV177" s="209"/>
      <c r="CRW177" s="207"/>
      <c r="CRX177" s="210"/>
      <c r="CRY177" s="209"/>
      <c r="CRZ177" s="204"/>
      <c r="CSA177" s="204"/>
      <c r="CSB177" s="204"/>
      <c r="CSC177" s="199"/>
      <c r="CSD177" s="167"/>
      <c r="CSE177" s="199"/>
      <c r="CSF177" s="200"/>
      <c r="CSG177" s="201"/>
      <c r="CSH177" s="202"/>
      <c r="CSI177" s="202"/>
      <c r="CSJ177" s="202"/>
      <c r="CSK177" s="202"/>
      <c r="CSL177" s="203"/>
      <c r="CSM177" s="204"/>
      <c r="CSN177" s="204"/>
      <c r="CSO177" s="204"/>
      <c r="CSP177" s="205"/>
      <c r="CSQ177" s="206"/>
      <c r="CSR177" s="207"/>
      <c r="CSS177" s="207"/>
      <c r="CST177" s="208"/>
      <c r="CSU177" s="209"/>
      <c r="CSV177" s="207"/>
      <c r="CSW177" s="210"/>
      <c r="CSX177" s="209"/>
      <c r="CSY177" s="204"/>
      <c r="CSZ177" s="204"/>
      <c r="CTA177" s="204"/>
      <c r="CTB177" s="199"/>
      <c r="CTC177" s="167"/>
      <c r="CTD177" s="199"/>
      <c r="CTE177" s="200"/>
      <c r="CTF177" s="201"/>
      <c r="CTG177" s="202"/>
      <c r="CTH177" s="202"/>
      <c r="CTI177" s="202"/>
      <c r="CTJ177" s="202"/>
      <c r="CTK177" s="203"/>
      <c r="CTL177" s="204"/>
      <c r="CTM177" s="204"/>
      <c r="CTN177" s="204"/>
      <c r="CTO177" s="205"/>
      <c r="CTP177" s="206"/>
      <c r="CTQ177" s="207"/>
      <c r="CTR177" s="207"/>
      <c r="CTS177" s="208"/>
      <c r="CTT177" s="209"/>
      <c r="CTU177" s="207"/>
      <c r="CTV177" s="210"/>
      <c r="CTW177" s="209"/>
      <c r="CTX177" s="204"/>
      <c r="CTY177" s="204"/>
      <c r="CTZ177" s="204"/>
      <c r="CUA177" s="199"/>
      <c r="CUB177" s="167"/>
      <c r="CUC177" s="199"/>
      <c r="CUD177" s="200"/>
      <c r="CUE177" s="201"/>
      <c r="CUF177" s="202"/>
      <c r="CUG177" s="202"/>
      <c r="CUH177" s="202"/>
      <c r="CUI177" s="202"/>
      <c r="CUJ177" s="203"/>
      <c r="CUK177" s="204"/>
      <c r="CUL177" s="204"/>
      <c r="CUM177" s="204"/>
      <c r="CUN177" s="205"/>
      <c r="CUO177" s="206"/>
      <c r="CUP177" s="207"/>
      <c r="CUQ177" s="207"/>
      <c r="CUR177" s="208"/>
      <c r="CUS177" s="209"/>
      <c r="CUT177" s="207"/>
      <c r="CUU177" s="210"/>
      <c r="CUV177" s="209"/>
      <c r="CUW177" s="204"/>
      <c r="CUX177" s="204"/>
      <c r="CUY177" s="204"/>
      <c r="CUZ177" s="199"/>
      <c r="CVA177" s="167"/>
      <c r="CVB177" s="199"/>
      <c r="CVC177" s="200"/>
      <c r="CVD177" s="201"/>
      <c r="CVE177" s="202"/>
      <c r="CVF177" s="202"/>
      <c r="CVG177" s="202"/>
      <c r="CVH177" s="202"/>
      <c r="CVI177" s="203"/>
      <c r="CVJ177" s="204"/>
      <c r="CVK177" s="204"/>
      <c r="CVL177" s="204"/>
      <c r="CVM177" s="205"/>
      <c r="CVN177" s="206"/>
      <c r="CVO177" s="207"/>
      <c r="CVP177" s="207"/>
      <c r="CVQ177" s="208"/>
      <c r="CVR177" s="209"/>
      <c r="CVS177" s="207"/>
      <c r="CVT177" s="210"/>
      <c r="CVU177" s="209"/>
      <c r="CVV177" s="204"/>
      <c r="CVW177" s="204"/>
      <c r="CVX177" s="204"/>
      <c r="CVY177" s="199"/>
      <c r="CVZ177" s="167"/>
      <c r="CWA177" s="199"/>
      <c r="CWB177" s="200"/>
      <c r="CWC177" s="201"/>
      <c r="CWD177" s="202"/>
      <c r="CWE177" s="202"/>
      <c r="CWF177" s="202"/>
      <c r="CWG177" s="202"/>
      <c r="CWH177" s="203"/>
      <c r="CWI177" s="204"/>
      <c r="CWJ177" s="204"/>
      <c r="CWK177" s="204"/>
      <c r="CWL177" s="205"/>
      <c r="CWM177" s="206"/>
      <c r="CWN177" s="207"/>
      <c r="CWO177" s="207"/>
      <c r="CWP177" s="208"/>
      <c r="CWQ177" s="209"/>
      <c r="CWR177" s="207"/>
      <c r="CWS177" s="210"/>
      <c r="CWT177" s="209"/>
      <c r="CWU177" s="204"/>
      <c r="CWV177" s="204"/>
      <c r="CWW177" s="204"/>
      <c r="CWX177" s="199"/>
      <c r="CWY177" s="167"/>
      <c r="CWZ177" s="199"/>
      <c r="CXA177" s="200"/>
      <c r="CXB177" s="201"/>
      <c r="CXC177" s="202"/>
      <c r="CXD177" s="202"/>
      <c r="CXE177" s="202"/>
      <c r="CXF177" s="202"/>
      <c r="CXG177" s="203"/>
      <c r="CXH177" s="204"/>
      <c r="CXI177" s="204"/>
      <c r="CXJ177" s="204"/>
      <c r="CXK177" s="205"/>
      <c r="CXL177" s="206"/>
      <c r="CXM177" s="207"/>
      <c r="CXN177" s="207"/>
      <c r="CXO177" s="208"/>
      <c r="CXP177" s="209"/>
      <c r="CXQ177" s="207"/>
      <c r="CXR177" s="210"/>
      <c r="CXS177" s="209"/>
      <c r="CXT177" s="204"/>
      <c r="CXU177" s="204"/>
      <c r="CXV177" s="204"/>
      <c r="CXW177" s="199"/>
      <c r="CXX177" s="167"/>
      <c r="CXY177" s="199"/>
      <c r="CXZ177" s="200"/>
      <c r="CYA177" s="201"/>
      <c r="CYB177" s="202"/>
      <c r="CYC177" s="202"/>
      <c r="CYD177" s="202"/>
      <c r="CYE177" s="202"/>
      <c r="CYF177" s="203"/>
      <c r="CYG177" s="204"/>
      <c r="CYH177" s="204"/>
      <c r="CYI177" s="204"/>
      <c r="CYJ177" s="205"/>
      <c r="CYK177" s="206"/>
      <c r="CYL177" s="207"/>
      <c r="CYM177" s="207"/>
      <c r="CYN177" s="208"/>
      <c r="CYO177" s="209"/>
      <c r="CYP177" s="207"/>
      <c r="CYQ177" s="210"/>
      <c r="CYR177" s="209"/>
      <c r="CYS177" s="204"/>
      <c r="CYT177" s="204"/>
      <c r="CYU177" s="204"/>
      <c r="CYV177" s="199"/>
      <c r="CYW177" s="167"/>
      <c r="CYX177" s="199"/>
      <c r="CYY177" s="200"/>
      <c r="CYZ177" s="201"/>
      <c r="CZA177" s="202"/>
      <c r="CZB177" s="202"/>
      <c r="CZC177" s="202"/>
      <c r="CZD177" s="202"/>
      <c r="CZE177" s="203"/>
      <c r="CZF177" s="204"/>
      <c r="CZG177" s="204"/>
      <c r="CZH177" s="204"/>
      <c r="CZI177" s="205"/>
      <c r="CZJ177" s="206"/>
      <c r="CZK177" s="207"/>
      <c r="CZL177" s="207"/>
      <c r="CZM177" s="208"/>
      <c r="CZN177" s="209"/>
      <c r="CZO177" s="207"/>
      <c r="CZP177" s="210"/>
      <c r="CZQ177" s="209"/>
      <c r="CZR177" s="204"/>
      <c r="CZS177" s="204"/>
      <c r="CZT177" s="204"/>
      <c r="CZU177" s="199"/>
      <c r="CZV177" s="167"/>
      <c r="CZW177" s="199"/>
      <c r="CZX177" s="200"/>
      <c r="CZY177" s="201"/>
      <c r="CZZ177" s="202"/>
      <c r="DAA177" s="202"/>
      <c r="DAB177" s="202"/>
      <c r="DAC177" s="202"/>
      <c r="DAD177" s="203"/>
      <c r="DAE177" s="204"/>
      <c r="DAF177" s="204"/>
      <c r="DAG177" s="204"/>
      <c r="DAH177" s="205"/>
      <c r="DAI177" s="206"/>
      <c r="DAJ177" s="207"/>
      <c r="DAK177" s="207"/>
      <c r="DAL177" s="208"/>
      <c r="DAM177" s="209"/>
      <c r="DAN177" s="207"/>
      <c r="DAO177" s="210"/>
      <c r="DAP177" s="209"/>
      <c r="DAQ177" s="204"/>
      <c r="DAR177" s="204"/>
      <c r="DAS177" s="204"/>
      <c r="DAT177" s="199"/>
      <c r="DAU177" s="167"/>
      <c r="DAV177" s="199"/>
      <c r="DAW177" s="200"/>
      <c r="DAX177" s="201"/>
      <c r="DAY177" s="202"/>
      <c r="DAZ177" s="202"/>
      <c r="DBA177" s="202"/>
      <c r="DBB177" s="202"/>
      <c r="DBC177" s="203"/>
      <c r="DBD177" s="204"/>
      <c r="DBE177" s="204"/>
      <c r="DBF177" s="204"/>
      <c r="DBG177" s="205"/>
      <c r="DBH177" s="206"/>
      <c r="DBI177" s="207"/>
      <c r="DBJ177" s="207"/>
      <c r="DBK177" s="208"/>
      <c r="DBL177" s="209"/>
      <c r="DBM177" s="207"/>
      <c r="DBN177" s="210"/>
      <c r="DBO177" s="209"/>
      <c r="DBP177" s="204"/>
      <c r="DBQ177" s="204"/>
      <c r="DBR177" s="204"/>
      <c r="DBS177" s="199"/>
      <c r="DBT177" s="167"/>
      <c r="DBU177" s="199"/>
      <c r="DBV177" s="200"/>
      <c r="DBW177" s="201"/>
      <c r="DBX177" s="202"/>
      <c r="DBY177" s="202"/>
      <c r="DBZ177" s="202"/>
      <c r="DCA177" s="202"/>
      <c r="DCB177" s="203"/>
      <c r="DCC177" s="204"/>
      <c r="DCD177" s="204"/>
      <c r="DCE177" s="204"/>
      <c r="DCF177" s="205"/>
      <c r="DCG177" s="206"/>
      <c r="DCH177" s="207"/>
      <c r="DCI177" s="207"/>
      <c r="DCJ177" s="208"/>
      <c r="DCK177" s="209"/>
      <c r="DCL177" s="207"/>
      <c r="DCM177" s="210"/>
      <c r="DCN177" s="209"/>
      <c r="DCO177" s="204"/>
      <c r="DCP177" s="204"/>
      <c r="DCQ177" s="204"/>
      <c r="DCR177" s="199"/>
      <c r="DCS177" s="167"/>
      <c r="DCT177" s="199"/>
      <c r="DCU177" s="200"/>
      <c r="DCV177" s="201"/>
      <c r="DCW177" s="202"/>
      <c r="DCX177" s="202"/>
      <c r="DCY177" s="202"/>
      <c r="DCZ177" s="202"/>
      <c r="DDA177" s="203"/>
      <c r="DDB177" s="204"/>
      <c r="DDC177" s="204"/>
      <c r="DDD177" s="204"/>
      <c r="DDE177" s="205"/>
      <c r="DDF177" s="206"/>
      <c r="DDG177" s="207"/>
      <c r="DDH177" s="207"/>
      <c r="DDI177" s="208"/>
      <c r="DDJ177" s="209"/>
      <c r="DDK177" s="207"/>
      <c r="DDL177" s="210"/>
      <c r="DDM177" s="209"/>
      <c r="DDN177" s="204"/>
      <c r="DDO177" s="204"/>
      <c r="DDP177" s="204"/>
      <c r="DDQ177" s="199"/>
      <c r="DDR177" s="167"/>
      <c r="DDS177" s="199"/>
      <c r="DDT177" s="200"/>
      <c r="DDU177" s="201"/>
      <c r="DDV177" s="202"/>
      <c r="DDW177" s="202"/>
      <c r="DDX177" s="202"/>
      <c r="DDY177" s="202"/>
      <c r="DDZ177" s="203"/>
      <c r="DEA177" s="204"/>
      <c r="DEB177" s="204"/>
      <c r="DEC177" s="204"/>
      <c r="DED177" s="205"/>
      <c r="DEE177" s="206"/>
      <c r="DEF177" s="207"/>
      <c r="DEG177" s="207"/>
      <c r="DEH177" s="208"/>
      <c r="DEI177" s="209"/>
      <c r="DEJ177" s="207"/>
      <c r="DEK177" s="210"/>
      <c r="DEL177" s="209"/>
      <c r="DEM177" s="204"/>
      <c r="DEN177" s="204"/>
      <c r="DEO177" s="204"/>
      <c r="DEP177" s="199"/>
      <c r="DEQ177" s="167"/>
      <c r="DER177" s="199"/>
      <c r="DES177" s="200"/>
      <c r="DET177" s="201"/>
      <c r="DEU177" s="202"/>
      <c r="DEV177" s="202"/>
      <c r="DEW177" s="202"/>
      <c r="DEX177" s="202"/>
      <c r="DEY177" s="203"/>
      <c r="DEZ177" s="204"/>
      <c r="DFA177" s="204"/>
      <c r="DFB177" s="204"/>
      <c r="DFC177" s="205"/>
      <c r="DFD177" s="206"/>
      <c r="DFE177" s="207"/>
      <c r="DFF177" s="207"/>
      <c r="DFG177" s="208"/>
      <c r="DFH177" s="209"/>
      <c r="DFI177" s="207"/>
      <c r="DFJ177" s="210"/>
      <c r="DFK177" s="209"/>
      <c r="DFL177" s="204"/>
      <c r="DFM177" s="204"/>
      <c r="DFN177" s="204"/>
      <c r="DFO177" s="199"/>
      <c r="DFP177" s="167"/>
      <c r="DFQ177" s="199"/>
      <c r="DFR177" s="200"/>
      <c r="DFS177" s="201"/>
      <c r="DFT177" s="202"/>
      <c r="DFU177" s="202"/>
      <c r="DFV177" s="202"/>
      <c r="DFW177" s="202"/>
      <c r="DFX177" s="203"/>
      <c r="DFY177" s="204"/>
      <c r="DFZ177" s="204"/>
      <c r="DGA177" s="204"/>
      <c r="DGB177" s="205"/>
      <c r="DGC177" s="206"/>
      <c r="DGD177" s="207"/>
      <c r="DGE177" s="207"/>
      <c r="DGF177" s="208"/>
      <c r="DGG177" s="209"/>
      <c r="DGH177" s="207"/>
      <c r="DGI177" s="210"/>
      <c r="DGJ177" s="209"/>
      <c r="DGK177" s="204"/>
      <c r="DGL177" s="204"/>
      <c r="DGM177" s="204"/>
      <c r="DGN177" s="199"/>
      <c r="DGO177" s="167"/>
      <c r="DGP177" s="199"/>
      <c r="DGQ177" s="200"/>
      <c r="DGR177" s="201"/>
      <c r="DGS177" s="202"/>
      <c r="DGT177" s="202"/>
      <c r="DGU177" s="202"/>
      <c r="DGV177" s="202"/>
      <c r="DGW177" s="203"/>
      <c r="DGX177" s="204"/>
      <c r="DGY177" s="204"/>
      <c r="DGZ177" s="204"/>
      <c r="DHA177" s="205"/>
      <c r="DHB177" s="206"/>
      <c r="DHC177" s="207"/>
      <c r="DHD177" s="207"/>
      <c r="DHE177" s="208"/>
      <c r="DHF177" s="209"/>
      <c r="DHG177" s="207"/>
      <c r="DHH177" s="210"/>
      <c r="DHI177" s="209"/>
      <c r="DHJ177" s="204"/>
      <c r="DHK177" s="204"/>
      <c r="DHL177" s="204"/>
      <c r="DHM177" s="199"/>
      <c r="DHN177" s="167"/>
      <c r="DHO177" s="199"/>
      <c r="DHP177" s="200"/>
      <c r="DHQ177" s="201"/>
      <c r="DHR177" s="202"/>
      <c r="DHS177" s="202"/>
      <c r="DHT177" s="202"/>
      <c r="DHU177" s="202"/>
      <c r="DHV177" s="203"/>
      <c r="DHW177" s="204"/>
      <c r="DHX177" s="204"/>
      <c r="DHY177" s="204"/>
      <c r="DHZ177" s="205"/>
      <c r="DIA177" s="206"/>
      <c r="DIB177" s="207"/>
      <c r="DIC177" s="207"/>
      <c r="DID177" s="208"/>
      <c r="DIE177" s="209"/>
      <c r="DIF177" s="207"/>
      <c r="DIG177" s="210"/>
      <c r="DIH177" s="209"/>
      <c r="DII177" s="204"/>
      <c r="DIJ177" s="204"/>
      <c r="DIK177" s="204"/>
      <c r="DIL177" s="199"/>
      <c r="DIM177" s="167"/>
      <c r="DIN177" s="199"/>
      <c r="DIO177" s="200"/>
      <c r="DIP177" s="201"/>
      <c r="DIQ177" s="202"/>
      <c r="DIR177" s="202"/>
      <c r="DIS177" s="202"/>
      <c r="DIT177" s="202"/>
      <c r="DIU177" s="203"/>
      <c r="DIV177" s="204"/>
      <c r="DIW177" s="204"/>
      <c r="DIX177" s="204"/>
      <c r="DIY177" s="205"/>
      <c r="DIZ177" s="206"/>
      <c r="DJA177" s="207"/>
      <c r="DJB177" s="207"/>
      <c r="DJC177" s="208"/>
      <c r="DJD177" s="209"/>
      <c r="DJE177" s="207"/>
      <c r="DJF177" s="210"/>
      <c r="DJG177" s="209"/>
      <c r="DJH177" s="204"/>
      <c r="DJI177" s="204"/>
      <c r="DJJ177" s="204"/>
      <c r="DJK177" s="199"/>
      <c r="DJL177" s="167"/>
      <c r="DJM177" s="199"/>
      <c r="DJN177" s="200"/>
      <c r="DJO177" s="201"/>
      <c r="DJP177" s="202"/>
      <c r="DJQ177" s="202"/>
      <c r="DJR177" s="202"/>
      <c r="DJS177" s="202"/>
      <c r="DJT177" s="203"/>
      <c r="DJU177" s="204"/>
      <c r="DJV177" s="204"/>
      <c r="DJW177" s="204"/>
      <c r="DJX177" s="205"/>
      <c r="DJY177" s="206"/>
      <c r="DJZ177" s="207"/>
      <c r="DKA177" s="207"/>
      <c r="DKB177" s="208"/>
      <c r="DKC177" s="209"/>
      <c r="DKD177" s="207"/>
      <c r="DKE177" s="210"/>
      <c r="DKF177" s="209"/>
      <c r="DKG177" s="204"/>
      <c r="DKH177" s="204"/>
      <c r="DKI177" s="204"/>
      <c r="DKJ177" s="199"/>
      <c r="DKK177" s="167"/>
      <c r="DKL177" s="199"/>
      <c r="DKM177" s="200"/>
      <c r="DKN177" s="201"/>
      <c r="DKO177" s="202"/>
      <c r="DKP177" s="202"/>
      <c r="DKQ177" s="202"/>
      <c r="DKR177" s="202"/>
      <c r="DKS177" s="203"/>
      <c r="DKT177" s="204"/>
      <c r="DKU177" s="204"/>
      <c r="DKV177" s="204"/>
      <c r="DKW177" s="205"/>
      <c r="DKX177" s="206"/>
      <c r="DKY177" s="207"/>
      <c r="DKZ177" s="207"/>
      <c r="DLA177" s="208"/>
      <c r="DLB177" s="209"/>
      <c r="DLC177" s="207"/>
      <c r="DLD177" s="210"/>
      <c r="DLE177" s="209"/>
      <c r="DLF177" s="204"/>
      <c r="DLG177" s="204"/>
      <c r="DLH177" s="204"/>
      <c r="DLI177" s="199"/>
      <c r="DLJ177" s="167"/>
      <c r="DLK177" s="199"/>
      <c r="DLL177" s="200"/>
      <c r="DLM177" s="201"/>
      <c r="DLN177" s="202"/>
      <c r="DLO177" s="202"/>
      <c r="DLP177" s="202"/>
      <c r="DLQ177" s="202"/>
      <c r="DLR177" s="203"/>
      <c r="DLS177" s="204"/>
      <c r="DLT177" s="204"/>
      <c r="DLU177" s="204"/>
      <c r="DLV177" s="205"/>
      <c r="DLW177" s="206"/>
      <c r="DLX177" s="207"/>
      <c r="DLY177" s="207"/>
      <c r="DLZ177" s="208"/>
      <c r="DMA177" s="209"/>
      <c r="DMB177" s="207"/>
      <c r="DMC177" s="210"/>
      <c r="DMD177" s="209"/>
      <c r="DME177" s="204"/>
      <c r="DMF177" s="204"/>
      <c r="DMG177" s="204"/>
      <c r="DMH177" s="199"/>
      <c r="DMI177" s="167"/>
      <c r="DMJ177" s="199"/>
      <c r="DMK177" s="200"/>
      <c r="DML177" s="201"/>
      <c r="DMM177" s="202"/>
      <c r="DMN177" s="202"/>
      <c r="DMO177" s="202"/>
      <c r="DMP177" s="202"/>
      <c r="DMQ177" s="203"/>
      <c r="DMR177" s="204"/>
      <c r="DMS177" s="204"/>
      <c r="DMT177" s="204"/>
      <c r="DMU177" s="205"/>
      <c r="DMV177" s="206"/>
      <c r="DMW177" s="207"/>
      <c r="DMX177" s="207"/>
      <c r="DMY177" s="208"/>
      <c r="DMZ177" s="209"/>
      <c r="DNA177" s="207"/>
      <c r="DNB177" s="210"/>
      <c r="DNC177" s="209"/>
      <c r="DND177" s="204"/>
      <c r="DNE177" s="204"/>
      <c r="DNF177" s="204"/>
      <c r="DNG177" s="199"/>
      <c r="DNH177" s="167"/>
      <c r="DNI177" s="199"/>
      <c r="DNJ177" s="200"/>
      <c r="DNK177" s="201"/>
      <c r="DNL177" s="202"/>
      <c r="DNM177" s="202"/>
      <c r="DNN177" s="202"/>
      <c r="DNO177" s="202"/>
      <c r="DNP177" s="203"/>
      <c r="DNQ177" s="204"/>
      <c r="DNR177" s="204"/>
      <c r="DNS177" s="204"/>
      <c r="DNT177" s="205"/>
      <c r="DNU177" s="206"/>
      <c r="DNV177" s="207"/>
      <c r="DNW177" s="207"/>
      <c r="DNX177" s="208"/>
      <c r="DNY177" s="209"/>
      <c r="DNZ177" s="207"/>
      <c r="DOA177" s="210"/>
      <c r="DOB177" s="209"/>
      <c r="DOC177" s="204"/>
      <c r="DOD177" s="204"/>
      <c r="DOE177" s="204"/>
      <c r="DOF177" s="199"/>
      <c r="DOG177" s="167"/>
      <c r="DOH177" s="199"/>
      <c r="DOI177" s="200"/>
      <c r="DOJ177" s="201"/>
      <c r="DOK177" s="202"/>
      <c r="DOL177" s="202"/>
      <c r="DOM177" s="202"/>
      <c r="DON177" s="202"/>
      <c r="DOO177" s="203"/>
      <c r="DOP177" s="204"/>
      <c r="DOQ177" s="204"/>
      <c r="DOR177" s="204"/>
      <c r="DOS177" s="205"/>
      <c r="DOT177" s="206"/>
      <c r="DOU177" s="207"/>
      <c r="DOV177" s="207"/>
      <c r="DOW177" s="208"/>
      <c r="DOX177" s="209"/>
      <c r="DOY177" s="207"/>
      <c r="DOZ177" s="210"/>
      <c r="DPA177" s="209"/>
      <c r="DPB177" s="204"/>
      <c r="DPC177" s="204"/>
      <c r="DPD177" s="204"/>
      <c r="DPE177" s="199"/>
      <c r="DPF177" s="167"/>
      <c r="DPG177" s="199"/>
      <c r="DPH177" s="200"/>
      <c r="DPI177" s="201"/>
      <c r="DPJ177" s="202"/>
      <c r="DPK177" s="202"/>
      <c r="DPL177" s="202"/>
      <c r="DPM177" s="202"/>
      <c r="DPN177" s="203"/>
      <c r="DPO177" s="204"/>
      <c r="DPP177" s="204"/>
      <c r="DPQ177" s="204"/>
      <c r="DPR177" s="205"/>
      <c r="DPS177" s="206"/>
      <c r="DPT177" s="207"/>
      <c r="DPU177" s="207"/>
      <c r="DPV177" s="208"/>
      <c r="DPW177" s="209"/>
      <c r="DPX177" s="207"/>
      <c r="DPY177" s="210"/>
      <c r="DPZ177" s="209"/>
      <c r="DQA177" s="204"/>
      <c r="DQB177" s="204"/>
      <c r="DQC177" s="204"/>
      <c r="DQD177" s="199"/>
      <c r="DQE177" s="167"/>
      <c r="DQF177" s="199"/>
      <c r="DQG177" s="200"/>
      <c r="DQH177" s="201"/>
      <c r="DQI177" s="202"/>
      <c r="DQJ177" s="202"/>
      <c r="DQK177" s="202"/>
      <c r="DQL177" s="202"/>
      <c r="DQM177" s="203"/>
      <c r="DQN177" s="204"/>
      <c r="DQO177" s="204"/>
      <c r="DQP177" s="204"/>
      <c r="DQQ177" s="205"/>
      <c r="DQR177" s="206"/>
      <c r="DQS177" s="207"/>
      <c r="DQT177" s="207"/>
      <c r="DQU177" s="208"/>
      <c r="DQV177" s="209"/>
      <c r="DQW177" s="207"/>
      <c r="DQX177" s="210"/>
      <c r="DQY177" s="209"/>
      <c r="DQZ177" s="204"/>
      <c r="DRA177" s="204"/>
      <c r="DRB177" s="204"/>
      <c r="DRC177" s="199"/>
      <c r="DRD177" s="167"/>
      <c r="DRE177" s="199"/>
      <c r="DRF177" s="200"/>
      <c r="DRG177" s="201"/>
      <c r="DRH177" s="202"/>
      <c r="DRI177" s="202"/>
      <c r="DRJ177" s="202"/>
      <c r="DRK177" s="202"/>
      <c r="DRL177" s="203"/>
      <c r="DRM177" s="204"/>
      <c r="DRN177" s="204"/>
      <c r="DRO177" s="204"/>
      <c r="DRP177" s="205"/>
      <c r="DRQ177" s="206"/>
      <c r="DRR177" s="207"/>
      <c r="DRS177" s="207"/>
      <c r="DRT177" s="208"/>
      <c r="DRU177" s="209"/>
      <c r="DRV177" s="207"/>
      <c r="DRW177" s="210"/>
      <c r="DRX177" s="209"/>
      <c r="DRY177" s="204"/>
      <c r="DRZ177" s="204"/>
      <c r="DSA177" s="204"/>
      <c r="DSB177" s="199"/>
      <c r="DSC177" s="167"/>
      <c r="DSD177" s="199"/>
      <c r="DSE177" s="200"/>
      <c r="DSF177" s="201"/>
      <c r="DSG177" s="202"/>
      <c r="DSH177" s="202"/>
      <c r="DSI177" s="202"/>
      <c r="DSJ177" s="202"/>
      <c r="DSK177" s="203"/>
      <c r="DSL177" s="204"/>
      <c r="DSM177" s="204"/>
      <c r="DSN177" s="204"/>
      <c r="DSO177" s="205"/>
      <c r="DSP177" s="206"/>
      <c r="DSQ177" s="207"/>
      <c r="DSR177" s="207"/>
      <c r="DSS177" s="208"/>
      <c r="DST177" s="209"/>
      <c r="DSU177" s="207"/>
      <c r="DSV177" s="210"/>
      <c r="DSW177" s="209"/>
      <c r="DSX177" s="204"/>
      <c r="DSY177" s="204"/>
      <c r="DSZ177" s="204"/>
      <c r="DTA177" s="199"/>
      <c r="DTB177" s="167"/>
      <c r="DTC177" s="199"/>
      <c r="DTD177" s="200"/>
      <c r="DTE177" s="201"/>
      <c r="DTF177" s="202"/>
      <c r="DTG177" s="202"/>
      <c r="DTH177" s="202"/>
      <c r="DTI177" s="202"/>
      <c r="DTJ177" s="203"/>
      <c r="DTK177" s="204"/>
      <c r="DTL177" s="204"/>
      <c r="DTM177" s="204"/>
      <c r="DTN177" s="205"/>
      <c r="DTO177" s="206"/>
      <c r="DTP177" s="207"/>
      <c r="DTQ177" s="207"/>
      <c r="DTR177" s="208"/>
      <c r="DTS177" s="209"/>
      <c r="DTT177" s="207"/>
      <c r="DTU177" s="210"/>
      <c r="DTV177" s="209"/>
      <c r="DTW177" s="204"/>
      <c r="DTX177" s="204"/>
      <c r="DTY177" s="204"/>
      <c r="DTZ177" s="199"/>
      <c r="DUA177" s="167"/>
      <c r="DUB177" s="199"/>
      <c r="DUC177" s="200"/>
      <c r="DUD177" s="201"/>
      <c r="DUE177" s="202"/>
      <c r="DUF177" s="202"/>
      <c r="DUG177" s="202"/>
      <c r="DUH177" s="202"/>
      <c r="DUI177" s="203"/>
      <c r="DUJ177" s="204"/>
      <c r="DUK177" s="204"/>
      <c r="DUL177" s="204"/>
      <c r="DUM177" s="205"/>
      <c r="DUN177" s="206"/>
      <c r="DUO177" s="207"/>
      <c r="DUP177" s="207"/>
      <c r="DUQ177" s="208"/>
      <c r="DUR177" s="209"/>
      <c r="DUS177" s="207"/>
      <c r="DUT177" s="210"/>
      <c r="DUU177" s="209"/>
      <c r="DUV177" s="204"/>
      <c r="DUW177" s="204"/>
      <c r="DUX177" s="204"/>
      <c r="DUY177" s="199"/>
      <c r="DUZ177" s="167"/>
      <c r="DVA177" s="199"/>
      <c r="DVB177" s="200"/>
      <c r="DVC177" s="201"/>
      <c r="DVD177" s="202"/>
      <c r="DVE177" s="202"/>
      <c r="DVF177" s="202"/>
      <c r="DVG177" s="202"/>
      <c r="DVH177" s="203"/>
      <c r="DVI177" s="204"/>
      <c r="DVJ177" s="204"/>
      <c r="DVK177" s="204"/>
      <c r="DVL177" s="205"/>
      <c r="DVM177" s="206"/>
      <c r="DVN177" s="207"/>
      <c r="DVO177" s="207"/>
      <c r="DVP177" s="208"/>
      <c r="DVQ177" s="209"/>
      <c r="DVR177" s="207"/>
      <c r="DVS177" s="210"/>
      <c r="DVT177" s="209"/>
      <c r="DVU177" s="204"/>
      <c r="DVV177" s="204"/>
      <c r="DVW177" s="204"/>
      <c r="DVX177" s="199"/>
      <c r="DVY177" s="167"/>
      <c r="DVZ177" s="199"/>
      <c r="DWA177" s="200"/>
      <c r="DWB177" s="201"/>
      <c r="DWC177" s="202"/>
      <c r="DWD177" s="202"/>
      <c r="DWE177" s="202"/>
      <c r="DWF177" s="202"/>
      <c r="DWG177" s="203"/>
      <c r="DWH177" s="204"/>
      <c r="DWI177" s="204"/>
      <c r="DWJ177" s="204"/>
      <c r="DWK177" s="205"/>
      <c r="DWL177" s="206"/>
      <c r="DWM177" s="207"/>
      <c r="DWN177" s="207"/>
      <c r="DWO177" s="208"/>
      <c r="DWP177" s="209"/>
      <c r="DWQ177" s="207"/>
      <c r="DWR177" s="210"/>
      <c r="DWS177" s="209"/>
      <c r="DWT177" s="204"/>
      <c r="DWU177" s="204"/>
      <c r="DWV177" s="204"/>
      <c r="DWW177" s="199"/>
      <c r="DWX177" s="167"/>
      <c r="DWY177" s="199"/>
      <c r="DWZ177" s="200"/>
      <c r="DXA177" s="201"/>
      <c r="DXB177" s="202"/>
      <c r="DXC177" s="202"/>
      <c r="DXD177" s="202"/>
      <c r="DXE177" s="202"/>
      <c r="DXF177" s="203"/>
      <c r="DXG177" s="204"/>
      <c r="DXH177" s="204"/>
      <c r="DXI177" s="204"/>
      <c r="DXJ177" s="205"/>
      <c r="DXK177" s="206"/>
      <c r="DXL177" s="207"/>
      <c r="DXM177" s="207"/>
      <c r="DXN177" s="208"/>
      <c r="DXO177" s="209"/>
      <c r="DXP177" s="207"/>
      <c r="DXQ177" s="210"/>
      <c r="DXR177" s="209"/>
      <c r="DXS177" s="204"/>
      <c r="DXT177" s="204"/>
      <c r="DXU177" s="204"/>
      <c r="DXV177" s="199"/>
      <c r="DXW177" s="167"/>
      <c r="DXX177" s="199"/>
      <c r="DXY177" s="200"/>
      <c r="DXZ177" s="201"/>
      <c r="DYA177" s="202"/>
      <c r="DYB177" s="202"/>
      <c r="DYC177" s="202"/>
      <c r="DYD177" s="202"/>
      <c r="DYE177" s="203"/>
      <c r="DYF177" s="204"/>
      <c r="DYG177" s="204"/>
      <c r="DYH177" s="204"/>
      <c r="DYI177" s="205"/>
      <c r="DYJ177" s="206"/>
      <c r="DYK177" s="207"/>
      <c r="DYL177" s="207"/>
      <c r="DYM177" s="208"/>
      <c r="DYN177" s="209"/>
      <c r="DYO177" s="207"/>
      <c r="DYP177" s="210"/>
      <c r="DYQ177" s="209"/>
      <c r="DYR177" s="204"/>
      <c r="DYS177" s="204"/>
      <c r="DYT177" s="204"/>
      <c r="DYU177" s="199"/>
      <c r="DYV177" s="167"/>
      <c r="DYW177" s="199"/>
      <c r="DYX177" s="200"/>
      <c r="DYY177" s="201"/>
      <c r="DYZ177" s="202"/>
      <c r="DZA177" s="202"/>
      <c r="DZB177" s="202"/>
      <c r="DZC177" s="202"/>
      <c r="DZD177" s="203"/>
      <c r="DZE177" s="204"/>
      <c r="DZF177" s="204"/>
      <c r="DZG177" s="204"/>
      <c r="DZH177" s="205"/>
      <c r="DZI177" s="206"/>
      <c r="DZJ177" s="207"/>
      <c r="DZK177" s="207"/>
      <c r="DZL177" s="208"/>
      <c r="DZM177" s="209"/>
      <c r="DZN177" s="207"/>
      <c r="DZO177" s="210"/>
      <c r="DZP177" s="209"/>
      <c r="DZQ177" s="204"/>
      <c r="DZR177" s="204"/>
      <c r="DZS177" s="204"/>
      <c r="DZT177" s="199"/>
      <c r="DZU177" s="167"/>
      <c r="DZV177" s="199"/>
      <c r="DZW177" s="200"/>
      <c r="DZX177" s="201"/>
      <c r="DZY177" s="202"/>
      <c r="DZZ177" s="202"/>
      <c r="EAA177" s="202"/>
      <c r="EAB177" s="202"/>
      <c r="EAC177" s="203"/>
      <c r="EAD177" s="204"/>
      <c r="EAE177" s="204"/>
      <c r="EAF177" s="204"/>
      <c r="EAG177" s="205"/>
      <c r="EAH177" s="206"/>
      <c r="EAI177" s="207"/>
      <c r="EAJ177" s="207"/>
      <c r="EAK177" s="208"/>
      <c r="EAL177" s="209"/>
      <c r="EAM177" s="207"/>
      <c r="EAN177" s="210"/>
      <c r="EAO177" s="209"/>
      <c r="EAP177" s="204"/>
      <c r="EAQ177" s="204"/>
      <c r="EAR177" s="204"/>
      <c r="EAS177" s="199"/>
      <c r="EAT177" s="167"/>
      <c r="EAU177" s="199"/>
      <c r="EAV177" s="200"/>
      <c r="EAW177" s="201"/>
      <c r="EAX177" s="202"/>
      <c r="EAY177" s="202"/>
      <c r="EAZ177" s="202"/>
      <c r="EBA177" s="202"/>
      <c r="EBB177" s="203"/>
      <c r="EBC177" s="204"/>
      <c r="EBD177" s="204"/>
      <c r="EBE177" s="204"/>
      <c r="EBF177" s="205"/>
      <c r="EBG177" s="206"/>
      <c r="EBH177" s="207"/>
      <c r="EBI177" s="207"/>
      <c r="EBJ177" s="208"/>
      <c r="EBK177" s="209"/>
      <c r="EBL177" s="207"/>
      <c r="EBM177" s="210"/>
      <c r="EBN177" s="209"/>
      <c r="EBO177" s="204"/>
      <c r="EBP177" s="204"/>
      <c r="EBQ177" s="204"/>
      <c r="EBR177" s="199"/>
      <c r="EBS177" s="167"/>
      <c r="EBT177" s="199"/>
      <c r="EBU177" s="200"/>
      <c r="EBV177" s="201"/>
      <c r="EBW177" s="202"/>
      <c r="EBX177" s="202"/>
      <c r="EBY177" s="202"/>
      <c r="EBZ177" s="202"/>
      <c r="ECA177" s="203"/>
      <c r="ECB177" s="204"/>
      <c r="ECC177" s="204"/>
      <c r="ECD177" s="204"/>
      <c r="ECE177" s="205"/>
      <c r="ECF177" s="206"/>
      <c r="ECG177" s="207"/>
      <c r="ECH177" s="207"/>
      <c r="ECI177" s="208"/>
      <c r="ECJ177" s="209"/>
      <c r="ECK177" s="207"/>
      <c r="ECL177" s="210"/>
      <c r="ECM177" s="209"/>
      <c r="ECN177" s="204"/>
      <c r="ECO177" s="204"/>
      <c r="ECP177" s="204"/>
      <c r="ECQ177" s="199"/>
      <c r="ECR177" s="167"/>
      <c r="ECS177" s="199"/>
      <c r="ECT177" s="200"/>
      <c r="ECU177" s="201"/>
      <c r="ECV177" s="202"/>
      <c r="ECW177" s="202"/>
      <c r="ECX177" s="202"/>
      <c r="ECY177" s="202"/>
      <c r="ECZ177" s="203"/>
      <c r="EDA177" s="204"/>
      <c r="EDB177" s="204"/>
      <c r="EDC177" s="204"/>
      <c r="EDD177" s="205"/>
      <c r="EDE177" s="206"/>
      <c r="EDF177" s="207"/>
      <c r="EDG177" s="207"/>
      <c r="EDH177" s="208"/>
      <c r="EDI177" s="209"/>
      <c r="EDJ177" s="207"/>
      <c r="EDK177" s="210"/>
      <c r="EDL177" s="209"/>
      <c r="EDM177" s="204"/>
      <c r="EDN177" s="204"/>
      <c r="EDO177" s="204"/>
      <c r="EDP177" s="199"/>
      <c r="EDQ177" s="167"/>
      <c r="EDR177" s="199"/>
      <c r="EDS177" s="200"/>
      <c r="EDT177" s="201"/>
      <c r="EDU177" s="202"/>
      <c r="EDV177" s="202"/>
      <c r="EDW177" s="202"/>
      <c r="EDX177" s="202"/>
      <c r="EDY177" s="203"/>
      <c r="EDZ177" s="204"/>
      <c r="EEA177" s="204"/>
      <c r="EEB177" s="204"/>
      <c r="EEC177" s="205"/>
      <c r="EED177" s="206"/>
      <c r="EEE177" s="207"/>
      <c r="EEF177" s="207"/>
      <c r="EEG177" s="208"/>
      <c r="EEH177" s="209"/>
      <c r="EEI177" s="207"/>
      <c r="EEJ177" s="210"/>
      <c r="EEK177" s="209"/>
      <c r="EEL177" s="204"/>
      <c r="EEM177" s="204"/>
      <c r="EEN177" s="204"/>
      <c r="EEO177" s="199"/>
      <c r="EEP177" s="167"/>
      <c r="EEQ177" s="199"/>
      <c r="EER177" s="200"/>
      <c r="EES177" s="201"/>
      <c r="EET177" s="202"/>
      <c r="EEU177" s="202"/>
      <c r="EEV177" s="202"/>
      <c r="EEW177" s="202"/>
      <c r="EEX177" s="203"/>
      <c r="EEY177" s="204"/>
      <c r="EEZ177" s="204"/>
      <c r="EFA177" s="204"/>
      <c r="EFB177" s="205"/>
      <c r="EFC177" s="206"/>
      <c r="EFD177" s="207"/>
      <c r="EFE177" s="207"/>
      <c r="EFF177" s="208"/>
      <c r="EFG177" s="209"/>
      <c r="EFH177" s="207"/>
      <c r="EFI177" s="210"/>
      <c r="EFJ177" s="209"/>
      <c r="EFK177" s="204"/>
      <c r="EFL177" s="204"/>
      <c r="EFM177" s="204"/>
      <c r="EFN177" s="199"/>
      <c r="EFO177" s="167"/>
      <c r="EFP177" s="199"/>
      <c r="EFQ177" s="200"/>
      <c r="EFR177" s="201"/>
      <c r="EFS177" s="202"/>
      <c r="EFT177" s="202"/>
      <c r="EFU177" s="202"/>
      <c r="EFV177" s="202"/>
      <c r="EFW177" s="203"/>
      <c r="EFX177" s="204"/>
      <c r="EFY177" s="204"/>
      <c r="EFZ177" s="204"/>
      <c r="EGA177" s="205"/>
      <c r="EGB177" s="206"/>
      <c r="EGC177" s="207"/>
      <c r="EGD177" s="207"/>
      <c r="EGE177" s="208"/>
      <c r="EGF177" s="209"/>
      <c r="EGG177" s="207"/>
      <c r="EGH177" s="210"/>
      <c r="EGI177" s="209"/>
      <c r="EGJ177" s="204"/>
      <c r="EGK177" s="204"/>
      <c r="EGL177" s="204"/>
      <c r="EGM177" s="199"/>
      <c r="EGN177" s="167"/>
      <c r="EGO177" s="199"/>
      <c r="EGP177" s="200"/>
      <c r="EGQ177" s="201"/>
      <c r="EGR177" s="202"/>
      <c r="EGS177" s="202"/>
      <c r="EGT177" s="202"/>
      <c r="EGU177" s="202"/>
      <c r="EGV177" s="203"/>
      <c r="EGW177" s="204"/>
      <c r="EGX177" s="204"/>
      <c r="EGY177" s="204"/>
      <c r="EGZ177" s="205"/>
      <c r="EHA177" s="206"/>
      <c r="EHB177" s="207"/>
      <c r="EHC177" s="207"/>
      <c r="EHD177" s="208"/>
      <c r="EHE177" s="209"/>
      <c r="EHF177" s="207"/>
      <c r="EHG177" s="210"/>
      <c r="EHH177" s="209"/>
      <c r="EHI177" s="204"/>
      <c r="EHJ177" s="204"/>
      <c r="EHK177" s="204"/>
      <c r="EHL177" s="199"/>
      <c r="EHM177" s="167"/>
      <c r="EHN177" s="199"/>
      <c r="EHO177" s="200"/>
      <c r="EHP177" s="201"/>
      <c r="EHQ177" s="202"/>
      <c r="EHR177" s="202"/>
      <c r="EHS177" s="202"/>
      <c r="EHT177" s="202"/>
      <c r="EHU177" s="203"/>
      <c r="EHV177" s="204"/>
      <c r="EHW177" s="204"/>
      <c r="EHX177" s="204"/>
      <c r="EHY177" s="205"/>
      <c r="EHZ177" s="206"/>
      <c r="EIA177" s="207"/>
      <c r="EIB177" s="207"/>
      <c r="EIC177" s="208"/>
      <c r="EID177" s="209"/>
      <c r="EIE177" s="207"/>
      <c r="EIF177" s="210"/>
      <c r="EIG177" s="209"/>
      <c r="EIH177" s="204"/>
      <c r="EII177" s="204"/>
      <c r="EIJ177" s="204"/>
      <c r="EIK177" s="199"/>
      <c r="EIL177" s="167"/>
      <c r="EIM177" s="199"/>
      <c r="EIN177" s="200"/>
      <c r="EIO177" s="201"/>
      <c r="EIP177" s="202"/>
      <c r="EIQ177" s="202"/>
      <c r="EIR177" s="202"/>
      <c r="EIS177" s="202"/>
      <c r="EIT177" s="203"/>
      <c r="EIU177" s="204"/>
      <c r="EIV177" s="204"/>
      <c r="EIW177" s="204"/>
      <c r="EIX177" s="205"/>
      <c r="EIY177" s="206"/>
      <c r="EIZ177" s="207"/>
      <c r="EJA177" s="207"/>
      <c r="EJB177" s="208"/>
      <c r="EJC177" s="209"/>
      <c r="EJD177" s="207"/>
      <c r="EJE177" s="210"/>
      <c r="EJF177" s="209"/>
      <c r="EJG177" s="204"/>
      <c r="EJH177" s="204"/>
      <c r="EJI177" s="204"/>
      <c r="EJJ177" s="199"/>
      <c r="EJK177" s="167"/>
      <c r="EJL177" s="199"/>
      <c r="EJM177" s="200"/>
      <c r="EJN177" s="201"/>
      <c r="EJO177" s="202"/>
      <c r="EJP177" s="202"/>
      <c r="EJQ177" s="202"/>
      <c r="EJR177" s="202"/>
      <c r="EJS177" s="203"/>
      <c r="EJT177" s="204"/>
      <c r="EJU177" s="204"/>
      <c r="EJV177" s="204"/>
      <c r="EJW177" s="205"/>
      <c r="EJX177" s="206"/>
      <c r="EJY177" s="207"/>
      <c r="EJZ177" s="207"/>
      <c r="EKA177" s="208"/>
      <c r="EKB177" s="209"/>
      <c r="EKC177" s="207"/>
      <c r="EKD177" s="210"/>
      <c r="EKE177" s="209"/>
      <c r="EKF177" s="204"/>
      <c r="EKG177" s="204"/>
      <c r="EKH177" s="204"/>
      <c r="EKI177" s="199"/>
      <c r="EKJ177" s="167"/>
      <c r="EKK177" s="199"/>
      <c r="EKL177" s="200"/>
      <c r="EKM177" s="201"/>
      <c r="EKN177" s="202"/>
      <c r="EKO177" s="202"/>
      <c r="EKP177" s="202"/>
      <c r="EKQ177" s="202"/>
      <c r="EKR177" s="203"/>
      <c r="EKS177" s="204"/>
      <c r="EKT177" s="204"/>
      <c r="EKU177" s="204"/>
      <c r="EKV177" s="205"/>
      <c r="EKW177" s="206"/>
      <c r="EKX177" s="207"/>
      <c r="EKY177" s="207"/>
      <c r="EKZ177" s="208"/>
      <c r="ELA177" s="209"/>
      <c r="ELB177" s="207"/>
      <c r="ELC177" s="210"/>
      <c r="ELD177" s="209"/>
      <c r="ELE177" s="204"/>
      <c r="ELF177" s="204"/>
      <c r="ELG177" s="204"/>
      <c r="ELH177" s="199"/>
      <c r="ELI177" s="167"/>
      <c r="ELJ177" s="199"/>
      <c r="ELK177" s="200"/>
      <c r="ELL177" s="201"/>
      <c r="ELM177" s="202"/>
      <c r="ELN177" s="202"/>
      <c r="ELO177" s="202"/>
      <c r="ELP177" s="202"/>
      <c r="ELQ177" s="203"/>
      <c r="ELR177" s="204"/>
      <c r="ELS177" s="204"/>
      <c r="ELT177" s="204"/>
      <c r="ELU177" s="205"/>
      <c r="ELV177" s="206"/>
      <c r="ELW177" s="207"/>
      <c r="ELX177" s="207"/>
      <c r="ELY177" s="208"/>
      <c r="ELZ177" s="209"/>
      <c r="EMA177" s="207"/>
      <c r="EMB177" s="210"/>
      <c r="EMC177" s="209"/>
      <c r="EMD177" s="204"/>
      <c r="EME177" s="204"/>
      <c r="EMF177" s="204"/>
      <c r="EMG177" s="199"/>
      <c r="EMH177" s="167"/>
      <c r="EMI177" s="199"/>
      <c r="EMJ177" s="200"/>
      <c r="EMK177" s="201"/>
      <c r="EML177" s="202"/>
      <c r="EMM177" s="202"/>
      <c r="EMN177" s="202"/>
      <c r="EMO177" s="202"/>
      <c r="EMP177" s="203"/>
      <c r="EMQ177" s="204"/>
      <c r="EMR177" s="204"/>
      <c r="EMS177" s="204"/>
      <c r="EMT177" s="205"/>
      <c r="EMU177" s="206"/>
      <c r="EMV177" s="207"/>
      <c r="EMW177" s="207"/>
      <c r="EMX177" s="208"/>
      <c r="EMY177" s="209"/>
      <c r="EMZ177" s="207"/>
      <c r="ENA177" s="210"/>
      <c r="ENB177" s="209"/>
      <c r="ENC177" s="204"/>
      <c r="END177" s="204"/>
      <c r="ENE177" s="204"/>
      <c r="ENF177" s="199"/>
      <c r="ENG177" s="167"/>
      <c r="ENH177" s="199"/>
      <c r="ENI177" s="200"/>
      <c r="ENJ177" s="201"/>
      <c r="ENK177" s="202"/>
      <c r="ENL177" s="202"/>
      <c r="ENM177" s="202"/>
      <c r="ENN177" s="202"/>
      <c r="ENO177" s="203"/>
      <c r="ENP177" s="204"/>
      <c r="ENQ177" s="204"/>
      <c r="ENR177" s="204"/>
      <c r="ENS177" s="205"/>
      <c r="ENT177" s="206"/>
      <c r="ENU177" s="207"/>
      <c r="ENV177" s="207"/>
      <c r="ENW177" s="208"/>
      <c r="ENX177" s="209"/>
      <c r="ENY177" s="207"/>
      <c r="ENZ177" s="210"/>
      <c r="EOA177" s="209"/>
      <c r="EOB177" s="204"/>
      <c r="EOC177" s="204"/>
      <c r="EOD177" s="204"/>
      <c r="EOE177" s="199"/>
      <c r="EOF177" s="167"/>
      <c r="EOG177" s="199"/>
      <c r="EOH177" s="200"/>
      <c r="EOI177" s="201"/>
      <c r="EOJ177" s="202"/>
      <c r="EOK177" s="202"/>
      <c r="EOL177" s="202"/>
      <c r="EOM177" s="202"/>
      <c r="EON177" s="203"/>
      <c r="EOO177" s="204"/>
      <c r="EOP177" s="204"/>
      <c r="EOQ177" s="204"/>
      <c r="EOR177" s="205"/>
      <c r="EOS177" s="206"/>
      <c r="EOT177" s="207"/>
      <c r="EOU177" s="207"/>
      <c r="EOV177" s="208"/>
      <c r="EOW177" s="209"/>
      <c r="EOX177" s="207"/>
      <c r="EOY177" s="210"/>
      <c r="EOZ177" s="209"/>
      <c r="EPA177" s="204"/>
      <c r="EPB177" s="204"/>
      <c r="EPC177" s="204"/>
      <c r="EPD177" s="199"/>
      <c r="EPE177" s="167"/>
      <c r="EPF177" s="199"/>
      <c r="EPG177" s="200"/>
      <c r="EPH177" s="201"/>
      <c r="EPI177" s="202"/>
      <c r="EPJ177" s="202"/>
      <c r="EPK177" s="202"/>
      <c r="EPL177" s="202"/>
      <c r="EPM177" s="203"/>
      <c r="EPN177" s="204"/>
      <c r="EPO177" s="204"/>
      <c r="EPP177" s="204"/>
      <c r="EPQ177" s="205"/>
      <c r="EPR177" s="206"/>
      <c r="EPS177" s="207"/>
      <c r="EPT177" s="207"/>
      <c r="EPU177" s="208"/>
      <c r="EPV177" s="209"/>
      <c r="EPW177" s="207"/>
      <c r="EPX177" s="210"/>
      <c r="EPY177" s="209"/>
      <c r="EPZ177" s="204"/>
      <c r="EQA177" s="204"/>
      <c r="EQB177" s="204"/>
      <c r="EQC177" s="199"/>
      <c r="EQD177" s="167"/>
      <c r="EQE177" s="199"/>
      <c r="EQF177" s="200"/>
      <c r="EQG177" s="201"/>
      <c r="EQH177" s="202"/>
      <c r="EQI177" s="202"/>
      <c r="EQJ177" s="202"/>
      <c r="EQK177" s="202"/>
      <c r="EQL177" s="203"/>
      <c r="EQM177" s="204"/>
      <c r="EQN177" s="204"/>
      <c r="EQO177" s="204"/>
      <c r="EQP177" s="205"/>
      <c r="EQQ177" s="206"/>
      <c r="EQR177" s="207"/>
      <c r="EQS177" s="207"/>
      <c r="EQT177" s="208"/>
      <c r="EQU177" s="209"/>
      <c r="EQV177" s="207"/>
      <c r="EQW177" s="210"/>
      <c r="EQX177" s="209"/>
      <c r="EQY177" s="204"/>
      <c r="EQZ177" s="204"/>
      <c r="ERA177" s="204"/>
      <c r="ERB177" s="199"/>
      <c r="ERC177" s="167"/>
      <c r="ERD177" s="199"/>
      <c r="ERE177" s="200"/>
      <c r="ERF177" s="201"/>
      <c r="ERG177" s="202"/>
      <c r="ERH177" s="202"/>
      <c r="ERI177" s="202"/>
      <c r="ERJ177" s="202"/>
      <c r="ERK177" s="203"/>
      <c r="ERL177" s="204"/>
      <c r="ERM177" s="204"/>
      <c r="ERN177" s="204"/>
      <c r="ERO177" s="205"/>
      <c r="ERP177" s="206"/>
      <c r="ERQ177" s="207"/>
      <c r="ERR177" s="207"/>
      <c r="ERS177" s="208"/>
      <c r="ERT177" s="209"/>
      <c r="ERU177" s="207"/>
      <c r="ERV177" s="210"/>
      <c r="ERW177" s="209"/>
      <c r="ERX177" s="204"/>
      <c r="ERY177" s="204"/>
      <c r="ERZ177" s="204"/>
      <c r="ESA177" s="199"/>
      <c r="ESB177" s="167"/>
      <c r="ESC177" s="199"/>
      <c r="ESD177" s="200"/>
      <c r="ESE177" s="201"/>
      <c r="ESF177" s="202"/>
      <c r="ESG177" s="202"/>
      <c r="ESH177" s="202"/>
      <c r="ESI177" s="202"/>
      <c r="ESJ177" s="203"/>
      <c r="ESK177" s="204"/>
      <c r="ESL177" s="204"/>
      <c r="ESM177" s="204"/>
      <c r="ESN177" s="205"/>
      <c r="ESO177" s="206"/>
      <c r="ESP177" s="207"/>
      <c r="ESQ177" s="207"/>
      <c r="ESR177" s="208"/>
      <c r="ESS177" s="209"/>
      <c r="EST177" s="207"/>
      <c r="ESU177" s="210"/>
      <c r="ESV177" s="209"/>
      <c r="ESW177" s="204"/>
      <c r="ESX177" s="204"/>
      <c r="ESY177" s="204"/>
      <c r="ESZ177" s="199"/>
      <c r="ETA177" s="167"/>
      <c r="ETB177" s="199"/>
      <c r="ETC177" s="200"/>
      <c r="ETD177" s="201"/>
      <c r="ETE177" s="202"/>
      <c r="ETF177" s="202"/>
      <c r="ETG177" s="202"/>
      <c r="ETH177" s="202"/>
      <c r="ETI177" s="203"/>
      <c r="ETJ177" s="204"/>
      <c r="ETK177" s="204"/>
      <c r="ETL177" s="204"/>
      <c r="ETM177" s="205"/>
      <c r="ETN177" s="206"/>
      <c r="ETO177" s="207"/>
      <c r="ETP177" s="207"/>
      <c r="ETQ177" s="208"/>
      <c r="ETR177" s="209"/>
      <c r="ETS177" s="207"/>
      <c r="ETT177" s="210"/>
      <c r="ETU177" s="209"/>
      <c r="ETV177" s="204"/>
      <c r="ETW177" s="204"/>
      <c r="ETX177" s="204"/>
      <c r="ETY177" s="199"/>
      <c r="ETZ177" s="167"/>
      <c r="EUA177" s="199"/>
      <c r="EUB177" s="200"/>
      <c r="EUC177" s="201"/>
      <c r="EUD177" s="202"/>
      <c r="EUE177" s="202"/>
      <c r="EUF177" s="202"/>
      <c r="EUG177" s="202"/>
      <c r="EUH177" s="203"/>
      <c r="EUI177" s="204"/>
      <c r="EUJ177" s="204"/>
      <c r="EUK177" s="204"/>
      <c r="EUL177" s="205"/>
      <c r="EUM177" s="206"/>
      <c r="EUN177" s="207"/>
      <c r="EUO177" s="207"/>
      <c r="EUP177" s="208"/>
      <c r="EUQ177" s="209"/>
      <c r="EUR177" s="207"/>
      <c r="EUS177" s="210"/>
      <c r="EUT177" s="209"/>
      <c r="EUU177" s="204"/>
      <c r="EUV177" s="204"/>
      <c r="EUW177" s="204"/>
      <c r="EUX177" s="199"/>
      <c r="EUY177" s="167"/>
      <c r="EUZ177" s="199"/>
      <c r="EVA177" s="200"/>
      <c r="EVB177" s="201"/>
      <c r="EVC177" s="202"/>
      <c r="EVD177" s="202"/>
      <c r="EVE177" s="202"/>
      <c r="EVF177" s="202"/>
      <c r="EVG177" s="203"/>
      <c r="EVH177" s="204"/>
      <c r="EVI177" s="204"/>
      <c r="EVJ177" s="204"/>
      <c r="EVK177" s="205"/>
      <c r="EVL177" s="206"/>
      <c r="EVM177" s="207"/>
      <c r="EVN177" s="207"/>
      <c r="EVO177" s="208"/>
      <c r="EVP177" s="209"/>
      <c r="EVQ177" s="207"/>
      <c r="EVR177" s="210"/>
      <c r="EVS177" s="209"/>
      <c r="EVT177" s="204"/>
      <c r="EVU177" s="204"/>
      <c r="EVV177" s="204"/>
      <c r="EVW177" s="199"/>
      <c r="EVX177" s="167"/>
      <c r="EVY177" s="199"/>
      <c r="EVZ177" s="200"/>
      <c r="EWA177" s="201"/>
      <c r="EWB177" s="202"/>
      <c r="EWC177" s="202"/>
      <c r="EWD177" s="202"/>
      <c r="EWE177" s="202"/>
      <c r="EWF177" s="203"/>
      <c r="EWG177" s="204"/>
      <c r="EWH177" s="204"/>
      <c r="EWI177" s="204"/>
      <c r="EWJ177" s="205"/>
      <c r="EWK177" s="206"/>
      <c r="EWL177" s="207"/>
      <c r="EWM177" s="207"/>
      <c r="EWN177" s="208"/>
      <c r="EWO177" s="209"/>
      <c r="EWP177" s="207"/>
      <c r="EWQ177" s="210"/>
      <c r="EWR177" s="209"/>
      <c r="EWS177" s="204"/>
      <c r="EWT177" s="204"/>
      <c r="EWU177" s="204"/>
      <c r="EWV177" s="199"/>
      <c r="EWW177" s="167"/>
      <c r="EWX177" s="199"/>
      <c r="EWY177" s="200"/>
      <c r="EWZ177" s="201"/>
      <c r="EXA177" s="202"/>
      <c r="EXB177" s="202"/>
      <c r="EXC177" s="202"/>
      <c r="EXD177" s="202"/>
      <c r="EXE177" s="203"/>
      <c r="EXF177" s="204"/>
      <c r="EXG177" s="204"/>
      <c r="EXH177" s="204"/>
      <c r="EXI177" s="205"/>
      <c r="EXJ177" s="206"/>
      <c r="EXK177" s="207"/>
      <c r="EXL177" s="207"/>
      <c r="EXM177" s="208"/>
      <c r="EXN177" s="209"/>
      <c r="EXO177" s="207"/>
      <c r="EXP177" s="210"/>
      <c r="EXQ177" s="209"/>
      <c r="EXR177" s="204"/>
      <c r="EXS177" s="204"/>
      <c r="EXT177" s="204"/>
      <c r="EXU177" s="199"/>
      <c r="EXV177" s="167"/>
      <c r="EXW177" s="199"/>
      <c r="EXX177" s="200"/>
      <c r="EXY177" s="201"/>
      <c r="EXZ177" s="202"/>
      <c r="EYA177" s="202"/>
      <c r="EYB177" s="202"/>
      <c r="EYC177" s="202"/>
      <c r="EYD177" s="203"/>
      <c r="EYE177" s="204"/>
      <c r="EYF177" s="204"/>
      <c r="EYG177" s="204"/>
      <c r="EYH177" s="205"/>
      <c r="EYI177" s="206"/>
      <c r="EYJ177" s="207"/>
      <c r="EYK177" s="207"/>
      <c r="EYL177" s="208"/>
      <c r="EYM177" s="209"/>
      <c r="EYN177" s="207"/>
      <c r="EYO177" s="210"/>
      <c r="EYP177" s="209"/>
      <c r="EYQ177" s="204"/>
      <c r="EYR177" s="204"/>
      <c r="EYS177" s="204"/>
      <c r="EYT177" s="199"/>
      <c r="EYU177" s="167"/>
      <c r="EYV177" s="199"/>
      <c r="EYW177" s="200"/>
      <c r="EYX177" s="201"/>
      <c r="EYY177" s="202"/>
      <c r="EYZ177" s="202"/>
      <c r="EZA177" s="202"/>
      <c r="EZB177" s="202"/>
      <c r="EZC177" s="203"/>
      <c r="EZD177" s="204"/>
      <c r="EZE177" s="204"/>
      <c r="EZF177" s="204"/>
      <c r="EZG177" s="205"/>
      <c r="EZH177" s="206"/>
      <c r="EZI177" s="207"/>
      <c r="EZJ177" s="207"/>
      <c r="EZK177" s="208"/>
      <c r="EZL177" s="209"/>
      <c r="EZM177" s="207"/>
      <c r="EZN177" s="210"/>
      <c r="EZO177" s="209"/>
      <c r="EZP177" s="204"/>
      <c r="EZQ177" s="204"/>
      <c r="EZR177" s="204"/>
      <c r="EZS177" s="199"/>
      <c r="EZT177" s="167"/>
      <c r="EZU177" s="199"/>
      <c r="EZV177" s="200"/>
      <c r="EZW177" s="201"/>
      <c r="EZX177" s="202"/>
      <c r="EZY177" s="202"/>
      <c r="EZZ177" s="202"/>
      <c r="FAA177" s="202"/>
      <c r="FAB177" s="203"/>
      <c r="FAC177" s="204"/>
      <c r="FAD177" s="204"/>
      <c r="FAE177" s="204"/>
      <c r="FAF177" s="205"/>
      <c r="FAG177" s="206"/>
      <c r="FAH177" s="207"/>
      <c r="FAI177" s="207"/>
      <c r="FAJ177" s="208"/>
      <c r="FAK177" s="209"/>
      <c r="FAL177" s="207"/>
      <c r="FAM177" s="210"/>
      <c r="FAN177" s="209"/>
      <c r="FAO177" s="204"/>
      <c r="FAP177" s="204"/>
      <c r="FAQ177" s="204"/>
      <c r="FAR177" s="199"/>
      <c r="FAS177" s="167"/>
      <c r="FAT177" s="199"/>
      <c r="FAU177" s="200"/>
      <c r="FAV177" s="201"/>
      <c r="FAW177" s="202"/>
      <c r="FAX177" s="202"/>
      <c r="FAY177" s="202"/>
      <c r="FAZ177" s="202"/>
      <c r="FBA177" s="203"/>
      <c r="FBB177" s="204"/>
      <c r="FBC177" s="204"/>
      <c r="FBD177" s="204"/>
      <c r="FBE177" s="205"/>
      <c r="FBF177" s="206"/>
      <c r="FBG177" s="207"/>
      <c r="FBH177" s="207"/>
      <c r="FBI177" s="208"/>
      <c r="FBJ177" s="209"/>
      <c r="FBK177" s="207"/>
      <c r="FBL177" s="210"/>
      <c r="FBM177" s="209"/>
      <c r="FBN177" s="204"/>
      <c r="FBO177" s="204"/>
      <c r="FBP177" s="204"/>
      <c r="FBQ177" s="199"/>
      <c r="FBR177" s="167"/>
      <c r="FBS177" s="199"/>
      <c r="FBT177" s="200"/>
      <c r="FBU177" s="201"/>
      <c r="FBV177" s="202"/>
      <c r="FBW177" s="202"/>
      <c r="FBX177" s="202"/>
      <c r="FBY177" s="202"/>
      <c r="FBZ177" s="203"/>
      <c r="FCA177" s="204"/>
      <c r="FCB177" s="204"/>
      <c r="FCC177" s="204"/>
      <c r="FCD177" s="205"/>
      <c r="FCE177" s="206"/>
      <c r="FCF177" s="207"/>
      <c r="FCG177" s="207"/>
      <c r="FCH177" s="208"/>
      <c r="FCI177" s="209"/>
      <c r="FCJ177" s="207"/>
      <c r="FCK177" s="210"/>
      <c r="FCL177" s="209"/>
      <c r="FCM177" s="204"/>
      <c r="FCN177" s="204"/>
      <c r="FCO177" s="204"/>
      <c r="FCP177" s="199"/>
      <c r="FCQ177" s="167"/>
      <c r="FCR177" s="199"/>
      <c r="FCS177" s="200"/>
      <c r="FCT177" s="201"/>
      <c r="FCU177" s="202"/>
      <c r="FCV177" s="202"/>
      <c r="FCW177" s="202"/>
      <c r="FCX177" s="202"/>
      <c r="FCY177" s="203"/>
      <c r="FCZ177" s="204"/>
      <c r="FDA177" s="204"/>
      <c r="FDB177" s="204"/>
      <c r="FDC177" s="205"/>
      <c r="FDD177" s="206"/>
      <c r="FDE177" s="207"/>
      <c r="FDF177" s="207"/>
      <c r="FDG177" s="208"/>
      <c r="FDH177" s="209"/>
      <c r="FDI177" s="207"/>
      <c r="FDJ177" s="210"/>
      <c r="FDK177" s="209"/>
      <c r="FDL177" s="204"/>
      <c r="FDM177" s="204"/>
      <c r="FDN177" s="204"/>
      <c r="FDO177" s="199"/>
      <c r="FDP177" s="167"/>
      <c r="FDQ177" s="199"/>
      <c r="FDR177" s="200"/>
      <c r="FDS177" s="201"/>
      <c r="FDT177" s="202"/>
      <c r="FDU177" s="202"/>
      <c r="FDV177" s="202"/>
      <c r="FDW177" s="202"/>
      <c r="FDX177" s="203"/>
      <c r="FDY177" s="204"/>
      <c r="FDZ177" s="204"/>
      <c r="FEA177" s="204"/>
      <c r="FEB177" s="205"/>
      <c r="FEC177" s="206"/>
      <c r="FED177" s="207"/>
      <c r="FEE177" s="207"/>
      <c r="FEF177" s="208"/>
      <c r="FEG177" s="209"/>
      <c r="FEH177" s="207"/>
      <c r="FEI177" s="210"/>
      <c r="FEJ177" s="209"/>
      <c r="FEK177" s="204"/>
      <c r="FEL177" s="204"/>
      <c r="FEM177" s="204"/>
      <c r="FEN177" s="199"/>
      <c r="FEO177" s="167"/>
      <c r="FEP177" s="199"/>
      <c r="FEQ177" s="200"/>
      <c r="FER177" s="201"/>
      <c r="FES177" s="202"/>
      <c r="FET177" s="202"/>
      <c r="FEU177" s="202"/>
      <c r="FEV177" s="202"/>
      <c r="FEW177" s="203"/>
      <c r="FEX177" s="204"/>
      <c r="FEY177" s="204"/>
      <c r="FEZ177" s="204"/>
      <c r="FFA177" s="205"/>
      <c r="FFB177" s="206"/>
      <c r="FFC177" s="207"/>
      <c r="FFD177" s="207"/>
      <c r="FFE177" s="208"/>
      <c r="FFF177" s="209"/>
      <c r="FFG177" s="207"/>
      <c r="FFH177" s="210"/>
      <c r="FFI177" s="209"/>
      <c r="FFJ177" s="204"/>
      <c r="FFK177" s="204"/>
      <c r="FFL177" s="204"/>
      <c r="FFM177" s="199"/>
      <c r="FFN177" s="167"/>
      <c r="FFO177" s="199"/>
      <c r="FFP177" s="200"/>
      <c r="FFQ177" s="201"/>
      <c r="FFR177" s="202"/>
      <c r="FFS177" s="202"/>
      <c r="FFT177" s="202"/>
      <c r="FFU177" s="202"/>
      <c r="FFV177" s="203"/>
      <c r="FFW177" s="204"/>
      <c r="FFX177" s="204"/>
      <c r="FFY177" s="204"/>
      <c r="FFZ177" s="205"/>
      <c r="FGA177" s="206"/>
      <c r="FGB177" s="207"/>
      <c r="FGC177" s="207"/>
      <c r="FGD177" s="208"/>
      <c r="FGE177" s="209"/>
      <c r="FGF177" s="207"/>
      <c r="FGG177" s="210"/>
      <c r="FGH177" s="209"/>
      <c r="FGI177" s="204"/>
      <c r="FGJ177" s="204"/>
      <c r="FGK177" s="204"/>
      <c r="FGL177" s="199"/>
      <c r="FGM177" s="167"/>
      <c r="FGN177" s="199"/>
      <c r="FGO177" s="200"/>
      <c r="FGP177" s="201"/>
      <c r="FGQ177" s="202"/>
      <c r="FGR177" s="202"/>
      <c r="FGS177" s="202"/>
      <c r="FGT177" s="202"/>
      <c r="FGU177" s="203"/>
      <c r="FGV177" s="204"/>
      <c r="FGW177" s="204"/>
      <c r="FGX177" s="204"/>
      <c r="FGY177" s="205"/>
      <c r="FGZ177" s="206"/>
      <c r="FHA177" s="207"/>
      <c r="FHB177" s="207"/>
      <c r="FHC177" s="208"/>
      <c r="FHD177" s="209"/>
      <c r="FHE177" s="207"/>
      <c r="FHF177" s="210"/>
      <c r="FHG177" s="209"/>
      <c r="FHH177" s="204"/>
      <c r="FHI177" s="204"/>
      <c r="FHJ177" s="204"/>
      <c r="FHK177" s="199"/>
      <c r="FHL177" s="167"/>
      <c r="FHM177" s="199"/>
      <c r="FHN177" s="200"/>
      <c r="FHO177" s="201"/>
      <c r="FHP177" s="202"/>
      <c r="FHQ177" s="202"/>
      <c r="FHR177" s="202"/>
      <c r="FHS177" s="202"/>
      <c r="FHT177" s="203"/>
      <c r="FHU177" s="204"/>
      <c r="FHV177" s="204"/>
      <c r="FHW177" s="204"/>
      <c r="FHX177" s="205"/>
      <c r="FHY177" s="206"/>
      <c r="FHZ177" s="207"/>
      <c r="FIA177" s="207"/>
      <c r="FIB177" s="208"/>
      <c r="FIC177" s="209"/>
      <c r="FID177" s="207"/>
      <c r="FIE177" s="210"/>
      <c r="FIF177" s="209"/>
      <c r="FIG177" s="204"/>
      <c r="FIH177" s="204"/>
      <c r="FII177" s="204"/>
      <c r="FIJ177" s="199"/>
      <c r="FIK177" s="167"/>
      <c r="FIL177" s="199"/>
      <c r="FIM177" s="200"/>
      <c r="FIN177" s="201"/>
      <c r="FIO177" s="202"/>
      <c r="FIP177" s="202"/>
      <c r="FIQ177" s="202"/>
      <c r="FIR177" s="202"/>
      <c r="FIS177" s="203"/>
      <c r="FIT177" s="204"/>
      <c r="FIU177" s="204"/>
      <c r="FIV177" s="204"/>
      <c r="FIW177" s="205"/>
      <c r="FIX177" s="206"/>
      <c r="FIY177" s="207"/>
      <c r="FIZ177" s="207"/>
      <c r="FJA177" s="208"/>
      <c r="FJB177" s="209"/>
      <c r="FJC177" s="207"/>
      <c r="FJD177" s="210"/>
      <c r="FJE177" s="209"/>
      <c r="FJF177" s="204"/>
      <c r="FJG177" s="204"/>
      <c r="FJH177" s="204"/>
      <c r="FJI177" s="199"/>
      <c r="FJJ177" s="167"/>
      <c r="FJK177" s="199"/>
      <c r="FJL177" s="200"/>
      <c r="FJM177" s="201"/>
      <c r="FJN177" s="202"/>
      <c r="FJO177" s="202"/>
      <c r="FJP177" s="202"/>
      <c r="FJQ177" s="202"/>
      <c r="FJR177" s="203"/>
      <c r="FJS177" s="204"/>
      <c r="FJT177" s="204"/>
      <c r="FJU177" s="204"/>
      <c r="FJV177" s="205"/>
      <c r="FJW177" s="206"/>
      <c r="FJX177" s="207"/>
      <c r="FJY177" s="207"/>
      <c r="FJZ177" s="208"/>
      <c r="FKA177" s="209"/>
      <c r="FKB177" s="207"/>
      <c r="FKC177" s="210"/>
      <c r="FKD177" s="209"/>
      <c r="FKE177" s="204"/>
      <c r="FKF177" s="204"/>
      <c r="FKG177" s="204"/>
      <c r="FKH177" s="199"/>
      <c r="FKI177" s="167"/>
      <c r="FKJ177" s="199"/>
      <c r="FKK177" s="200"/>
      <c r="FKL177" s="201"/>
      <c r="FKM177" s="202"/>
      <c r="FKN177" s="202"/>
      <c r="FKO177" s="202"/>
      <c r="FKP177" s="202"/>
      <c r="FKQ177" s="203"/>
      <c r="FKR177" s="204"/>
      <c r="FKS177" s="204"/>
      <c r="FKT177" s="204"/>
      <c r="FKU177" s="205"/>
      <c r="FKV177" s="206"/>
      <c r="FKW177" s="207"/>
      <c r="FKX177" s="207"/>
      <c r="FKY177" s="208"/>
      <c r="FKZ177" s="209"/>
      <c r="FLA177" s="207"/>
      <c r="FLB177" s="210"/>
      <c r="FLC177" s="209"/>
      <c r="FLD177" s="204"/>
      <c r="FLE177" s="204"/>
      <c r="FLF177" s="204"/>
      <c r="FLG177" s="199"/>
      <c r="FLH177" s="167"/>
      <c r="FLI177" s="199"/>
      <c r="FLJ177" s="200"/>
      <c r="FLK177" s="201"/>
      <c r="FLL177" s="202"/>
      <c r="FLM177" s="202"/>
      <c r="FLN177" s="202"/>
      <c r="FLO177" s="202"/>
      <c r="FLP177" s="203"/>
      <c r="FLQ177" s="204"/>
      <c r="FLR177" s="204"/>
      <c r="FLS177" s="204"/>
      <c r="FLT177" s="205"/>
      <c r="FLU177" s="206"/>
      <c r="FLV177" s="207"/>
      <c r="FLW177" s="207"/>
      <c r="FLX177" s="208"/>
      <c r="FLY177" s="209"/>
      <c r="FLZ177" s="207"/>
      <c r="FMA177" s="210"/>
      <c r="FMB177" s="209"/>
      <c r="FMC177" s="204"/>
      <c r="FMD177" s="204"/>
      <c r="FME177" s="204"/>
      <c r="FMF177" s="199"/>
      <c r="FMG177" s="167"/>
      <c r="FMH177" s="199"/>
      <c r="FMI177" s="200"/>
      <c r="FMJ177" s="201"/>
      <c r="FMK177" s="202"/>
      <c r="FML177" s="202"/>
      <c r="FMM177" s="202"/>
      <c r="FMN177" s="202"/>
      <c r="FMO177" s="203"/>
      <c r="FMP177" s="204"/>
      <c r="FMQ177" s="204"/>
      <c r="FMR177" s="204"/>
      <c r="FMS177" s="205"/>
      <c r="FMT177" s="206"/>
      <c r="FMU177" s="207"/>
      <c r="FMV177" s="207"/>
      <c r="FMW177" s="208"/>
      <c r="FMX177" s="209"/>
      <c r="FMY177" s="207"/>
      <c r="FMZ177" s="210"/>
      <c r="FNA177" s="209"/>
      <c r="FNB177" s="204"/>
      <c r="FNC177" s="204"/>
      <c r="FND177" s="204"/>
      <c r="FNE177" s="199"/>
      <c r="FNF177" s="167"/>
      <c r="FNG177" s="199"/>
      <c r="FNH177" s="200"/>
      <c r="FNI177" s="201"/>
      <c r="FNJ177" s="202"/>
      <c r="FNK177" s="202"/>
      <c r="FNL177" s="202"/>
      <c r="FNM177" s="202"/>
      <c r="FNN177" s="203"/>
      <c r="FNO177" s="204"/>
      <c r="FNP177" s="204"/>
      <c r="FNQ177" s="204"/>
      <c r="FNR177" s="205"/>
      <c r="FNS177" s="206"/>
      <c r="FNT177" s="207"/>
      <c r="FNU177" s="207"/>
      <c r="FNV177" s="208"/>
      <c r="FNW177" s="209"/>
      <c r="FNX177" s="207"/>
      <c r="FNY177" s="210"/>
      <c r="FNZ177" s="209"/>
      <c r="FOA177" s="204"/>
      <c r="FOB177" s="204"/>
      <c r="FOC177" s="204"/>
      <c r="FOD177" s="199"/>
      <c r="FOE177" s="167"/>
      <c r="FOF177" s="199"/>
      <c r="FOG177" s="200"/>
      <c r="FOH177" s="201"/>
      <c r="FOI177" s="202"/>
      <c r="FOJ177" s="202"/>
      <c r="FOK177" s="202"/>
      <c r="FOL177" s="202"/>
      <c r="FOM177" s="203"/>
      <c r="FON177" s="204"/>
      <c r="FOO177" s="204"/>
      <c r="FOP177" s="204"/>
      <c r="FOQ177" s="205"/>
      <c r="FOR177" s="206"/>
      <c r="FOS177" s="207"/>
      <c r="FOT177" s="207"/>
      <c r="FOU177" s="208"/>
      <c r="FOV177" s="209"/>
      <c r="FOW177" s="207"/>
      <c r="FOX177" s="210"/>
      <c r="FOY177" s="209"/>
      <c r="FOZ177" s="204"/>
      <c r="FPA177" s="204"/>
      <c r="FPB177" s="204"/>
      <c r="FPC177" s="199"/>
      <c r="FPD177" s="167"/>
      <c r="FPE177" s="199"/>
      <c r="FPF177" s="200"/>
      <c r="FPG177" s="201"/>
      <c r="FPH177" s="202"/>
      <c r="FPI177" s="202"/>
      <c r="FPJ177" s="202"/>
      <c r="FPK177" s="202"/>
      <c r="FPL177" s="203"/>
      <c r="FPM177" s="204"/>
      <c r="FPN177" s="204"/>
      <c r="FPO177" s="204"/>
      <c r="FPP177" s="205"/>
      <c r="FPQ177" s="206"/>
      <c r="FPR177" s="207"/>
      <c r="FPS177" s="207"/>
      <c r="FPT177" s="208"/>
      <c r="FPU177" s="209"/>
      <c r="FPV177" s="207"/>
      <c r="FPW177" s="210"/>
      <c r="FPX177" s="209"/>
      <c r="FPY177" s="204"/>
      <c r="FPZ177" s="204"/>
      <c r="FQA177" s="204"/>
      <c r="FQB177" s="199"/>
      <c r="FQC177" s="167"/>
      <c r="FQD177" s="199"/>
      <c r="FQE177" s="200"/>
      <c r="FQF177" s="201"/>
      <c r="FQG177" s="202"/>
      <c r="FQH177" s="202"/>
      <c r="FQI177" s="202"/>
      <c r="FQJ177" s="202"/>
      <c r="FQK177" s="203"/>
      <c r="FQL177" s="204"/>
      <c r="FQM177" s="204"/>
      <c r="FQN177" s="204"/>
      <c r="FQO177" s="205"/>
      <c r="FQP177" s="206"/>
      <c r="FQQ177" s="207"/>
      <c r="FQR177" s="207"/>
      <c r="FQS177" s="208"/>
      <c r="FQT177" s="209"/>
      <c r="FQU177" s="207"/>
      <c r="FQV177" s="210"/>
      <c r="FQW177" s="209"/>
      <c r="FQX177" s="204"/>
      <c r="FQY177" s="204"/>
      <c r="FQZ177" s="204"/>
      <c r="FRA177" s="199"/>
      <c r="FRB177" s="167"/>
      <c r="FRC177" s="199"/>
      <c r="FRD177" s="200"/>
      <c r="FRE177" s="201"/>
      <c r="FRF177" s="202"/>
      <c r="FRG177" s="202"/>
      <c r="FRH177" s="202"/>
      <c r="FRI177" s="202"/>
      <c r="FRJ177" s="203"/>
      <c r="FRK177" s="204"/>
      <c r="FRL177" s="204"/>
      <c r="FRM177" s="204"/>
      <c r="FRN177" s="205"/>
      <c r="FRO177" s="206"/>
      <c r="FRP177" s="207"/>
      <c r="FRQ177" s="207"/>
      <c r="FRR177" s="208"/>
      <c r="FRS177" s="209"/>
      <c r="FRT177" s="207"/>
      <c r="FRU177" s="210"/>
      <c r="FRV177" s="209"/>
      <c r="FRW177" s="204"/>
      <c r="FRX177" s="204"/>
      <c r="FRY177" s="204"/>
      <c r="FRZ177" s="199"/>
      <c r="FSA177" s="167"/>
      <c r="FSB177" s="199"/>
      <c r="FSC177" s="200"/>
      <c r="FSD177" s="201"/>
      <c r="FSE177" s="202"/>
      <c r="FSF177" s="202"/>
      <c r="FSG177" s="202"/>
      <c r="FSH177" s="202"/>
      <c r="FSI177" s="203"/>
      <c r="FSJ177" s="204"/>
      <c r="FSK177" s="204"/>
      <c r="FSL177" s="204"/>
      <c r="FSM177" s="205"/>
      <c r="FSN177" s="206"/>
      <c r="FSO177" s="207"/>
      <c r="FSP177" s="207"/>
      <c r="FSQ177" s="208"/>
      <c r="FSR177" s="209"/>
      <c r="FSS177" s="207"/>
      <c r="FST177" s="210"/>
      <c r="FSU177" s="209"/>
      <c r="FSV177" s="204"/>
      <c r="FSW177" s="204"/>
      <c r="FSX177" s="204"/>
      <c r="FSY177" s="199"/>
      <c r="FSZ177" s="167"/>
      <c r="FTA177" s="199"/>
      <c r="FTB177" s="200"/>
      <c r="FTC177" s="201"/>
      <c r="FTD177" s="202"/>
      <c r="FTE177" s="202"/>
      <c r="FTF177" s="202"/>
      <c r="FTG177" s="202"/>
      <c r="FTH177" s="203"/>
      <c r="FTI177" s="204"/>
      <c r="FTJ177" s="204"/>
      <c r="FTK177" s="204"/>
      <c r="FTL177" s="205"/>
      <c r="FTM177" s="206"/>
      <c r="FTN177" s="207"/>
      <c r="FTO177" s="207"/>
      <c r="FTP177" s="208"/>
      <c r="FTQ177" s="209"/>
      <c r="FTR177" s="207"/>
      <c r="FTS177" s="210"/>
      <c r="FTT177" s="209"/>
      <c r="FTU177" s="204"/>
      <c r="FTV177" s="204"/>
      <c r="FTW177" s="204"/>
      <c r="FTX177" s="199"/>
      <c r="FTY177" s="167"/>
      <c r="FTZ177" s="199"/>
      <c r="FUA177" s="200"/>
      <c r="FUB177" s="201"/>
      <c r="FUC177" s="202"/>
      <c r="FUD177" s="202"/>
      <c r="FUE177" s="202"/>
      <c r="FUF177" s="202"/>
      <c r="FUG177" s="203"/>
      <c r="FUH177" s="204"/>
      <c r="FUI177" s="204"/>
      <c r="FUJ177" s="204"/>
      <c r="FUK177" s="205"/>
      <c r="FUL177" s="206"/>
      <c r="FUM177" s="207"/>
      <c r="FUN177" s="207"/>
      <c r="FUO177" s="208"/>
      <c r="FUP177" s="209"/>
      <c r="FUQ177" s="207"/>
      <c r="FUR177" s="210"/>
      <c r="FUS177" s="209"/>
      <c r="FUT177" s="204"/>
      <c r="FUU177" s="204"/>
      <c r="FUV177" s="204"/>
      <c r="FUW177" s="199"/>
      <c r="FUX177" s="167"/>
      <c r="FUY177" s="199"/>
      <c r="FUZ177" s="200"/>
      <c r="FVA177" s="201"/>
      <c r="FVB177" s="202"/>
      <c r="FVC177" s="202"/>
      <c r="FVD177" s="202"/>
      <c r="FVE177" s="202"/>
      <c r="FVF177" s="203"/>
      <c r="FVG177" s="204"/>
      <c r="FVH177" s="204"/>
      <c r="FVI177" s="204"/>
      <c r="FVJ177" s="205"/>
      <c r="FVK177" s="206"/>
      <c r="FVL177" s="207"/>
      <c r="FVM177" s="207"/>
      <c r="FVN177" s="208"/>
      <c r="FVO177" s="209"/>
      <c r="FVP177" s="207"/>
      <c r="FVQ177" s="210"/>
      <c r="FVR177" s="209"/>
      <c r="FVS177" s="204"/>
      <c r="FVT177" s="204"/>
      <c r="FVU177" s="204"/>
      <c r="FVV177" s="199"/>
      <c r="FVW177" s="167"/>
      <c r="FVX177" s="199"/>
      <c r="FVY177" s="200"/>
      <c r="FVZ177" s="201"/>
      <c r="FWA177" s="202"/>
      <c r="FWB177" s="202"/>
      <c r="FWC177" s="202"/>
      <c r="FWD177" s="202"/>
      <c r="FWE177" s="203"/>
      <c r="FWF177" s="204"/>
      <c r="FWG177" s="204"/>
      <c r="FWH177" s="204"/>
      <c r="FWI177" s="205"/>
      <c r="FWJ177" s="206"/>
      <c r="FWK177" s="207"/>
      <c r="FWL177" s="207"/>
      <c r="FWM177" s="208"/>
      <c r="FWN177" s="209"/>
      <c r="FWO177" s="207"/>
      <c r="FWP177" s="210"/>
      <c r="FWQ177" s="209"/>
      <c r="FWR177" s="204"/>
      <c r="FWS177" s="204"/>
      <c r="FWT177" s="204"/>
      <c r="FWU177" s="199"/>
      <c r="FWV177" s="167"/>
      <c r="FWW177" s="199"/>
      <c r="FWX177" s="200"/>
      <c r="FWY177" s="201"/>
      <c r="FWZ177" s="202"/>
      <c r="FXA177" s="202"/>
      <c r="FXB177" s="202"/>
      <c r="FXC177" s="202"/>
      <c r="FXD177" s="203"/>
      <c r="FXE177" s="204"/>
      <c r="FXF177" s="204"/>
      <c r="FXG177" s="204"/>
      <c r="FXH177" s="205"/>
      <c r="FXI177" s="206"/>
      <c r="FXJ177" s="207"/>
      <c r="FXK177" s="207"/>
      <c r="FXL177" s="208"/>
      <c r="FXM177" s="209"/>
      <c r="FXN177" s="207"/>
      <c r="FXO177" s="210"/>
      <c r="FXP177" s="209"/>
      <c r="FXQ177" s="204"/>
      <c r="FXR177" s="204"/>
      <c r="FXS177" s="204"/>
      <c r="FXT177" s="199"/>
      <c r="FXU177" s="167"/>
      <c r="FXV177" s="199"/>
      <c r="FXW177" s="200"/>
      <c r="FXX177" s="201"/>
      <c r="FXY177" s="202"/>
      <c r="FXZ177" s="202"/>
      <c r="FYA177" s="202"/>
      <c r="FYB177" s="202"/>
      <c r="FYC177" s="203"/>
      <c r="FYD177" s="204"/>
      <c r="FYE177" s="204"/>
      <c r="FYF177" s="204"/>
      <c r="FYG177" s="205"/>
      <c r="FYH177" s="206"/>
      <c r="FYI177" s="207"/>
      <c r="FYJ177" s="207"/>
      <c r="FYK177" s="208"/>
      <c r="FYL177" s="209"/>
      <c r="FYM177" s="207"/>
      <c r="FYN177" s="210"/>
      <c r="FYO177" s="209"/>
      <c r="FYP177" s="204"/>
      <c r="FYQ177" s="204"/>
      <c r="FYR177" s="204"/>
      <c r="FYS177" s="199"/>
      <c r="FYT177" s="167"/>
      <c r="FYU177" s="199"/>
      <c r="FYV177" s="200"/>
      <c r="FYW177" s="201"/>
      <c r="FYX177" s="202"/>
      <c r="FYY177" s="202"/>
      <c r="FYZ177" s="202"/>
      <c r="FZA177" s="202"/>
      <c r="FZB177" s="203"/>
      <c r="FZC177" s="204"/>
      <c r="FZD177" s="204"/>
      <c r="FZE177" s="204"/>
      <c r="FZF177" s="205"/>
      <c r="FZG177" s="206"/>
      <c r="FZH177" s="207"/>
      <c r="FZI177" s="207"/>
      <c r="FZJ177" s="208"/>
      <c r="FZK177" s="209"/>
      <c r="FZL177" s="207"/>
      <c r="FZM177" s="210"/>
      <c r="FZN177" s="209"/>
      <c r="FZO177" s="204"/>
      <c r="FZP177" s="204"/>
      <c r="FZQ177" s="204"/>
      <c r="FZR177" s="199"/>
      <c r="FZS177" s="167"/>
      <c r="FZT177" s="199"/>
      <c r="FZU177" s="200"/>
      <c r="FZV177" s="201"/>
      <c r="FZW177" s="202"/>
      <c r="FZX177" s="202"/>
      <c r="FZY177" s="202"/>
      <c r="FZZ177" s="202"/>
      <c r="GAA177" s="203"/>
      <c r="GAB177" s="204"/>
      <c r="GAC177" s="204"/>
      <c r="GAD177" s="204"/>
      <c r="GAE177" s="205"/>
      <c r="GAF177" s="206"/>
      <c r="GAG177" s="207"/>
      <c r="GAH177" s="207"/>
      <c r="GAI177" s="208"/>
      <c r="GAJ177" s="209"/>
      <c r="GAK177" s="207"/>
      <c r="GAL177" s="210"/>
      <c r="GAM177" s="209"/>
      <c r="GAN177" s="204"/>
      <c r="GAO177" s="204"/>
      <c r="GAP177" s="204"/>
      <c r="GAQ177" s="199"/>
      <c r="GAR177" s="167"/>
      <c r="GAS177" s="199"/>
      <c r="GAT177" s="200"/>
      <c r="GAU177" s="201"/>
      <c r="GAV177" s="202"/>
      <c r="GAW177" s="202"/>
      <c r="GAX177" s="202"/>
      <c r="GAY177" s="202"/>
      <c r="GAZ177" s="203"/>
      <c r="GBA177" s="204"/>
      <c r="GBB177" s="204"/>
      <c r="GBC177" s="204"/>
      <c r="GBD177" s="205"/>
      <c r="GBE177" s="206"/>
      <c r="GBF177" s="207"/>
      <c r="GBG177" s="207"/>
      <c r="GBH177" s="208"/>
      <c r="GBI177" s="209"/>
      <c r="GBJ177" s="207"/>
      <c r="GBK177" s="210"/>
      <c r="GBL177" s="209"/>
      <c r="GBM177" s="204"/>
      <c r="GBN177" s="204"/>
      <c r="GBO177" s="204"/>
      <c r="GBP177" s="199"/>
      <c r="GBQ177" s="167"/>
      <c r="GBR177" s="199"/>
      <c r="GBS177" s="200"/>
      <c r="GBT177" s="201"/>
      <c r="GBU177" s="202"/>
      <c r="GBV177" s="202"/>
      <c r="GBW177" s="202"/>
      <c r="GBX177" s="202"/>
      <c r="GBY177" s="203"/>
      <c r="GBZ177" s="204"/>
      <c r="GCA177" s="204"/>
      <c r="GCB177" s="204"/>
      <c r="GCC177" s="205"/>
      <c r="GCD177" s="206"/>
      <c r="GCE177" s="207"/>
      <c r="GCF177" s="207"/>
      <c r="GCG177" s="208"/>
      <c r="GCH177" s="209"/>
      <c r="GCI177" s="207"/>
      <c r="GCJ177" s="210"/>
      <c r="GCK177" s="209"/>
      <c r="GCL177" s="204"/>
      <c r="GCM177" s="204"/>
      <c r="GCN177" s="204"/>
      <c r="GCO177" s="199"/>
      <c r="GCP177" s="167"/>
      <c r="GCQ177" s="199"/>
      <c r="GCR177" s="200"/>
      <c r="GCS177" s="201"/>
      <c r="GCT177" s="202"/>
      <c r="GCU177" s="202"/>
      <c r="GCV177" s="202"/>
      <c r="GCW177" s="202"/>
      <c r="GCX177" s="203"/>
      <c r="GCY177" s="204"/>
      <c r="GCZ177" s="204"/>
      <c r="GDA177" s="204"/>
      <c r="GDB177" s="205"/>
      <c r="GDC177" s="206"/>
      <c r="GDD177" s="207"/>
      <c r="GDE177" s="207"/>
      <c r="GDF177" s="208"/>
      <c r="GDG177" s="209"/>
      <c r="GDH177" s="207"/>
      <c r="GDI177" s="210"/>
      <c r="GDJ177" s="209"/>
      <c r="GDK177" s="204"/>
      <c r="GDL177" s="204"/>
      <c r="GDM177" s="204"/>
      <c r="GDN177" s="199"/>
      <c r="GDO177" s="167"/>
      <c r="GDP177" s="199"/>
      <c r="GDQ177" s="200"/>
      <c r="GDR177" s="201"/>
      <c r="GDS177" s="202"/>
      <c r="GDT177" s="202"/>
      <c r="GDU177" s="202"/>
      <c r="GDV177" s="202"/>
      <c r="GDW177" s="203"/>
      <c r="GDX177" s="204"/>
      <c r="GDY177" s="204"/>
      <c r="GDZ177" s="204"/>
      <c r="GEA177" s="205"/>
      <c r="GEB177" s="206"/>
      <c r="GEC177" s="207"/>
      <c r="GED177" s="207"/>
      <c r="GEE177" s="208"/>
      <c r="GEF177" s="209"/>
      <c r="GEG177" s="207"/>
      <c r="GEH177" s="210"/>
      <c r="GEI177" s="209"/>
      <c r="GEJ177" s="204"/>
      <c r="GEK177" s="204"/>
      <c r="GEL177" s="204"/>
      <c r="GEM177" s="199"/>
      <c r="GEN177" s="167"/>
      <c r="GEO177" s="199"/>
      <c r="GEP177" s="200"/>
      <c r="GEQ177" s="201"/>
      <c r="GER177" s="202"/>
      <c r="GES177" s="202"/>
      <c r="GET177" s="202"/>
      <c r="GEU177" s="202"/>
      <c r="GEV177" s="203"/>
      <c r="GEW177" s="204"/>
      <c r="GEX177" s="204"/>
      <c r="GEY177" s="204"/>
      <c r="GEZ177" s="205"/>
      <c r="GFA177" s="206"/>
      <c r="GFB177" s="207"/>
      <c r="GFC177" s="207"/>
      <c r="GFD177" s="208"/>
      <c r="GFE177" s="209"/>
      <c r="GFF177" s="207"/>
      <c r="GFG177" s="210"/>
      <c r="GFH177" s="209"/>
      <c r="GFI177" s="204"/>
      <c r="GFJ177" s="204"/>
      <c r="GFK177" s="204"/>
      <c r="GFL177" s="199"/>
      <c r="GFM177" s="167"/>
      <c r="GFN177" s="199"/>
      <c r="GFO177" s="200"/>
      <c r="GFP177" s="201"/>
      <c r="GFQ177" s="202"/>
      <c r="GFR177" s="202"/>
      <c r="GFS177" s="202"/>
      <c r="GFT177" s="202"/>
      <c r="GFU177" s="203"/>
      <c r="GFV177" s="204"/>
      <c r="GFW177" s="204"/>
      <c r="GFX177" s="204"/>
      <c r="GFY177" s="205"/>
      <c r="GFZ177" s="206"/>
      <c r="GGA177" s="207"/>
      <c r="GGB177" s="207"/>
      <c r="GGC177" s="208"/>
      <c r="GGD177" s="209"/>
      <c r="GGE177" s="207"/>
      <c r="GGF177" s="210"/>
      <c r="GGG177" s="209"/>
      <c r="GGH177" s="204"/>
      <c r="GGI177" s="204"/>
      <c r="GGJ177" s="204"/>
      <c r="GGK177" s="199"/>
      <c r="GGL177" s="167"/>
      <c r="GGM177" s="199"/>
      <c r="GGN177" s="200"/>
      <c r="GGO177" s="201"/>
      <c r="GGP177" s="202"/>
      <c r="GGQ177" s="202"/>
      <c r="GGR177" s="202"/>
      <c r="GGS177" s="202"/>
      <c r="GGT177" s="203"/>
      <c r="GGU177" s="204"/>
      <c r="GGV177" s="204"/>
      <c r="GGW177" s="204"/>
      <c r="GGX177" s="205"/>
      <c r="GGY177" s="206"/>
      <c r="GGZ177" s="207"/>
      <c r="GHA177" s="207"/>
      <c r="GHB177" s="208"/>
      <c r="GHC177" s="209"/>
      <c r="GHD177" s="207"/>
      <c r="GHE177" s="210"/>
      <c r="GHF177" s="209"/>
      <c r="GHG177" s="204"/>
      <c r="GHH177" s="204"/>
      <c r="GHI177" s="204"/>
      <c r="GHJ177" s="199"/>
      <c r="GHK177" s="167"/>
      <c r="GHL177" s="199"/>
      <c r="GHM177" s="200"/>
      <c r="GHN177" s="201"/>
      <c r="GHO177" s="202"/>
      <c r="GHP177" s="202"/>
      <c r="GHQ177" s="202"/>
      <c r="GHR177" s="202"/>
      <c r="GHS177" s="203"/>
      <c r="GHT177" s="204"/>
      <c r="GHU177" s="204"/>
      <c r="GHV177" s="204"/>
      <c r="GHW177" s="205"/>
      <c r="GHX177" s="206"/>
      <c r="GHY177" s="207"/>
      <c r="GHZ177" s="207"/>
      <c r="GIA177" s="208"/>
      <c r="GIB177" s="209"/>
      <c r="GIC177" s="207"/>
      <c r="GID177" s="210"/>
      <c r="GIE177" s="209"/>
      <c r="GIF177" s="204"/>
      <c r="GIG177" s="204"/>
      <c r="GIH177" s="204"/>
      <c r="GII177" s="199"/>
      <c r="GIJ177" s="167"/>
      <c r="GIK177" s="199"/>
      <c r="GIL177" s="200"/>
      <c r="GIM177" s="201"/>
      <c r="GIN177" s="202"/>
      <c r="GIO177" s="202"/>
      <c r="GIP177" s="202"/>
      <c r="GIQ177" s="202"/>
      <c r="GIR177" s="203"/>
      <c r="GIS177" s="204"/>
      <c r="GIT177" s="204"/>
      <c r="GIU177" s="204"/>
      <c r="GIV177" s="205"/>
      <c r="GIW177" s="206"/>
      <c r="GIX177" s="207"/>
      <c r="GIY177" s="207"/>
      <c r="GIZ177" s="208"/>
      <c r="GJA177" s="209"/>
      <c r="GJB177" s="207"/>
      <c r="GJC177" s="210"/>
      <c r="GJD177" s="209"/>
      <c r="GJE177" s="204"/>
      <c r="GJF177" s="204"/>
      <c r="GJG177" s="204"/>
      <c r="GJH177" s="199"/>
      <c r="GJI177" s="167"/>
      <c r="GJJ177" s="199"/>
      <c r="GJK177" s="200"/>
      <c r="GJL177" s="201"/>
      <c r="GJM177" s="202"/>
      <c r="GJN177" s="202"/>
      <c r="GJO177" s="202"/>
      <c r="GJP177" s="202"/>
      <c r="GJQ177" s="203"/>
      <c r="GJR177" s="204"/>
      <c r="GJS177" s="204"/>
      <c r="GJT177" s="204"/>
      <c r="GJU177" s="205"/>
      <c r="GJV177" s="206"/>
      <c r="GJW177" s="207"/>
      <c r="GJX177" s="207"/>
      <c r="GJY177" s="208"/>
      <c r="GJZ177" s="209"/>
      <c r="GKA177" s="207"/>
      <c r="GKB177" s="210"/>
      <c r="GKC177" s="209"/>
      <c r="GKD177" s="204"/>
      <c r="GKE177" s="204"/>
      <c r="GKF177" s="204"/>
      <c r="GKG177" s="199"/>
      <c r="GKH177" s="167"/>
      <c r="GKI177" s="199"/>
      <c r="GKJ177" s="200"/>
      <c r="GKK177" s="201"/>
      <c r="GKL177" s="202"/>
      <c r="GKM177" s="202"/>
      <c r="GKN177" s="202"/>
      <c r="GKO177" s="202"/>
      <c r="GKP177" s="203"/>
      <c r="GKQ177" s="204"/>
      <c r="GKR177" s="204"/>
      <c r="GKS177" s="204"/>
      <c r="GKT177" s="205"/>
      <c r="GKU177" s="206"/>
      <c r="GKV177" s="207"/>
      <c r="GKW177" s="207"/>
      <c r="GKX177" s="208"/>
      <c r="GKY177" s="209"/>
      <c r="GKZ177" s="207"/>
      <c r="GLA177" s="210"/>
      <c r="GLB177" s="209"/>
      <c r="GLC177" s="204"/>
      <c r="GLD177" s="204"/>
      <c r="GLE177" s="204"/>
      <c r="GLF177" s="199"/>
      <c r="GLG177" s="167"/>
      <c r="GLH177" s="199"/>
      <c r="GLI177" s="200"/>
      <c r="GLJ177" s="201"/>
      <c r="GLK177" s="202"/>
      <c r="GLL177" s="202"/>
      <c r="GLM177" s="202"/>
      <c r="GLN177" s="202"/>
      <c r="GLO177" s="203"/>
      <c r="GLP177" s="204"/>
      <c r="GLQ177" s="204"/>
      <c r="GLR177" s="204"/>
      <c r="GLS177" s="205"/>
      <c r="GLT177" s="206"/>
      <c r="GLU177" s="207"/>
      <c r="GLV177" s="207"/>
      <c r="GLW177" s="208"/>
      <c r="GLX177" s="209"/>
      <c r="GLY177" s="207"/>
      <c r="GLZ177" s="210"/>
      <c r="GMA177" s="209"/>
      <c r="GMB177" s="204"/>
      <c r="GMC177" s="204"/>
      <c r="GMD177" s="204"/>
      <c r="GME177" s="199"/>
      <c r="GMF177" s="167"/>
      <c r="GMG177" s="199"/>
      <c r="GMH177" s="200"/>
      <c r="GMI177" s="201"/>
      <c r="GMJ177" s="202"/>
      <c r="GMK177" s="202"/>
      <c r="GML177" s="202"/>
      <c r="GMM177" s="202"/>
      <c r="GMN177" s="203"/>
      <c r="GMO177" s="204"/>
      <c r="GMP177" s="204"/>
      <c r="GMQ177" s="204"/>
      <c r="GMR177" s="205"/>
      <c r="GMS177" s="206"/>
      <c r="GMT177" s="207"/>
      <c r="GMU177" s="207"/>
      <c r="GMV177" s="208"/>
      <c r="GMW177" s="209"/>
      <c r="GMX177" s="207"/>
      <c r="GMY177" s="210"/>
      <c r="GMZ177" s="209"/>
      <c r="GNA177" s="204"/>
      <c r="GNB177" s="204"/>
      <c r="GNC177" s="204"/>
      <c r="GND177" s="199"/>
      <c r="GNE177" s="167"/>
      <c r="GNF177" s="199"/>
      <c r="GNG177" s="200"/>
      <c r="GNH177" s="201"/>
      <c r="GNI177" s="202"/>
      <c r="GNJ177" s="202"/>
      <c r="GNK177" s="202"/>
      <c r="GNL177" s="202"/>
      <c r="GNM177" s="203"/>
      <c r="GNN177" s="204"/>
      <c r="GNO177" s="204"/>
      <c r="GNP177" s="204"/>
      <c r="GNQ177" s="205"/>
      <c r="GNR177" s="206"/>
      <c r="GNS177" s="207"/>
      <c r="GNT177" s="207"/>
      <c r="GNU177" s="208"/>
      <c r="GNV177" s="209"/>
      <c r="GNW177" s="207"/>
      <c r="GNX177" s="210"/>
      <c r="GNY177" s="209"/>
      <c r="GNZ177" s="204"/>
      <c r="GOA177" s="204"/>
      <c r="GOB177" s="204"/>
      <c r="GOC177" s="199"/>
      <c r="GOD177" s="167"/>
      <c r="GOE177" s="199"/>
      <c r="GOF177" s="200"/>
      <c r="GOG177" s="201"/>
      <c r="GOH177" s="202"/>
      <c r="GOI177" s="202"/>
      <c r="GOJ177" s="202"/>
      <c r="GOK177" s="202"/>
      <c r="GOL177" s="203"/>
      <c r="GOM177" s="204"/>
      <c r="GON177" s="204"/>
      <c r="GOO177" s="204"/>
      <c r="GOP177" s="205"/>
      <c r="GOQ177" s="206"/>
      <c r="GOR177" s="207"/>
      <c r="GOS177" s="207"/>
      <c r="GOT177" s="208"/>
      <c r="GOU177" s="209"/>
      <c r="GOV177" s="207"/>
      <c r="GOW177" s="210"/>
      <c r="GOX177" s="209"/>
      <c r="GOY177" s="204"/>
      <c r="GOZ177" s="204"/>
      <c r="GPA177" s="204"/>
      <c r="GPB177" s="199"/>
      <c r="GPC177" s="167"/>
      <c r="GPD177" s="199"/>
      <c r="GPE177" s="200"/>
      <c r="GPF177" s="201"/>
      <c r="GPG177" s="202"/>
      <c r="GPH177" s="202"/>
      <c r="GPI177" s="202"/>
      <c r="GPJ177" s="202"/>
      <c r="GPK177" s="203"/>
      <c r="GPL177" s="204"/>
      <c r="GPM177" s="204"/>
      <c r="GPN177" s="204"/>
      <c r="GPO177" s="205"/>
      <c r="GPP177" s="206"/>
      <c r="GPQ177" s="207"/>
      <c r="GPR177" s="207"/>
      <c r="GPS177" s="208"/>
      <c r="GPT177" s="209"/>
      <c r="GPU177" s="207"/>
      <c r="GPV177" s="210"/>
      <c r="GPW177" s="209"/>
      <c r="GPX177" s="204"/>
      <c r="GPY177" s="204"/>
      <c r="GPZ177" s="204"/>
      <c r="GQA177" s="199"/>
      <c r="GQB177" s="167"/>
      <c r="GQC177" s="199"/>
      <c r="GQD177" s="200"/>
      <c r="GQE177" s="201"/>
      <c r="GQF177" s="202"/>
      <c r="GQG177" s="202"/>
      <c r="GQH177" s="202"/>
      <c r="GQI177" s="202"/>
      <c r="GQJ177" s="203"/>
      <c r="GQK177" s="204"/>
      <c r="GQL177" s="204"/>
      <c r="GQM177" s="204"/>
      <c r="GQN177" s="205"/>
      <c r="GQO177" s="206"/>
      <c r="GQP177" s="207"/>
      <c r="GQQ177" s="207"/>
      <c r="GQR177" s="208"/>
      <c r="GQS177" s="209"/>
      <c r="GQT177" s="207"/>
      <c r="GQU177" s="210"/>
      <c r="GQV177" s="209"/>
      <c r="GQW177" s="204"/>
      <c r="GQX177" s="204"/>
      <c r="GQY177" s="204"/>
      <c r="GQZ177" s="199"/>
      <c r="GRA177" s="167"/>
      <c r="GRB177" s="199"/>
      <c r="GRC177" s="200"/>
      <c r="GRD177" s="201"/>
      <c r="GRE177" s="202"/>
      <c r="GRF177" s="202"/>
      <c r="GRG177" s="202"/>
      <c r="GRH177" s="202"/>
      <c r="GRI177" s="203"/>
      <c r="GRJ177" s="204"/>
      <c r="GRK177" s="204"/>
      <c r="GRL177" s="204"/>
      <c r="GRM177" s="205"/>
      <c r="GRN177" s="206"/>
      <c r="GRO177" s="207"/>
      <c r="GRP177" s="207"/>
      <c r="GRQ177" s="208"/>
      <c r="GRR177" s="209"/>
      <c r="GRS177" s="207"/>
      <c r="GRT177" s="210"/>
      <c r="GRU177" s="209"/>
      <c r="GRV177" s="204"/>
      <c r="GRW177" s="204"/>
      <c r="GRX177" s="204"/>
      <c r="GRY177" s="199"/>
      <c r="GRZ177" s="167"/>
      <c r="GSA177" s="199"/>
      <c r="GSB177" s="200"/>
      <c r="GSC177" s="201"/>
      <c r="GSD177" s="202"/>
      <c r="GSE177" s="202"/>
      <c r="GSF177" s="202"/>
      <c r="GSG177" s="202"/>
      <c r="GSH177" s="203"/>
      <c r="GSI177" s="204"/>
      <c r="GSJ177" s="204"/>
      <c r="GSK177" s="204"/>
      <c r="GSL177" s="205"/>
      <c r="GSM177" s="206"/>
      <c r="GSN177" s="207"/>
      <c r="GSO177" s="207"/>
      <c r="GSP177" s="208"/>
      <c r="GSQ177" s="209"/>
      <c r="GSR177" s="207"/>
      <c r="GSS177" s="210"/>
      <c r="GST177" s="209"/>
      <c r="GSU177" s="204"/>
      <c r="GSV177" s="204"/>
      <c r="GSW177" s="204"/>
      <c r="GSX177" s="199"/>
      <c r="GSY177" s="167"/>
      <c r="GSZ177" s="199"/>
      <c r="GTA177" s="200"/>
      <c r="GTB177" s="201"/>
      <c r="GTC177" s="202"/>
      <c r="GTD177" s="202"/>
      <c r="GTE177" s="202"/>
      <c r="GTF177" s="202"/>
      <c r="GTG177" s="203"/>
      <c r="GTH177" s="204"/>
      <c r="GTI177" s="204"/>
      <c r="GTJ177" s="204"/>
      <c r="GTK177" s="205"/>
      <c r="GTL177" s="206"/>
      <c r="GTM177" s="207"/>
      <c r="GTN177" s="207"/>
      <c r="GTO177" s="208"/>
      <c r="GTP177" s="209"/>
      <c r="GTQ177" s="207"/>
      <c r="GTR177" s="210"/>
      <c r="GTS177" s="209"/>
      <c r="GTT177" s="204"/>
      <c r="GTU177" s="204"/>
      <c r="GTV177" s="204"/>
      <c r="GTW177" s="199"/>
      <c r="GTX177" s="167"/>
      <c r="GTY177" s="199"/>
      <c r="GTZ177" s="200"/>
      <c r="GUA177" s="201"/>
      <c r="GUB177" s="202"/>
      <c r="GUC177" s="202"/>
      <c r="GUD177" s="202"/>
      <c r="GUE177" s="202"/>
      <c r="GUF177" s="203"/>
      <c r="GUG177" s="204"/>
      <c r="GUH177" s="204"/>
      <c r="GUI177" s="204"/>
      <c r="GUJ177" s="205"/>
      <c r="GUK177" s="206"/>
      <c r="GUL177" s="207"/>
      <c r="GUM177" s="207"/>
      <c r="GUN177" s="208"/>
      <c r="GUO177" s="209"/>
      <c r="GUP177" s="207"/>
      <c r="GUQ177" s="210"/>
      <c r="GUR177" s="209"/>
      <c r="GUS177" s="204"/>
      <c r="GUT177" s="204"/>
      <c r="GUU177" s="204"/>
      <c r="GUV177" s="199"/>
      <c r="GUW177" s="167"/>
      <c r="GUX177" s="199"/>
      <c r="GUY177" s="200"/>
      <c r="GUZ177" s="201"/>
      <c r="GVA177" s="202"/>
      <c r="GVB177" s="202"/>
      <c r="GVC177" s="202"/>
      <c r="GVD177" s="202"/>
      <c r="GVE177" s="203"/>
      <c r="GVF177" s="204"/>
      <c r="GVG177" s="204"/>
      <c r="GVH177" s="204"/>
      <c r="GVI177" s="205"/>
      <c r="GVJ177" s="206"/>
      <c r="GVK177" s="207"/>
      <c r="GVL177" s="207"/>
      <c r="GVM177" s="208"/>
      <c r="GVN177" s="209"/>
      <c r="GVO177" s="207"/>
      <c r="GVP177" s="210"/>
      <c r="GVQ177" s="209"/>
      <c r="GVR177" s="204"/>
      <c r="GVS177" s="204"/>
      <c r="GVT177" s="204"/>
      <c r="GVU177" s="199"/>
      <c r="GVV177" s="167"/>
      <c r="GVW177" s="199"/>
      <c r="GVX177" s="200"/>
      <c r="GVY177" s="201"/>
      <c r="GVZ177" s="202"/>
      <c r="GWA177" s="202"/>
      <c r="GWB177" s="202"/>
      <c r="GWC177" s="202"/>
      <c r="GWD177" s="203"/>
      <c r="GWE177" s="204"/>
      <c r="GWF177" s="204"/>
      <c r="GWG177" s="204"/>
      <c r="GWH177" s="205"/>
      <c r="GWI177" s="206"/>
      <c r="GWJ177" s="207"/>
      <c r="GWK177" s="207"/>
      <c r="GWL177" s="208"/>
      <c r="GWM177" s="209"/>
      <c r="GWN177" s="207"/>
      <c r="GWO177" s="210"/>
      <c r="GWP177" s="209"/>
      <c r="GWQ177" s="204"/>
      <c r="GWR177" s="204"/>
      <c r="GWS177" s="204"/>
      <c r="GWT177" s="199"/>
      <c r="GWU177" s="167"/>
      <c r="GWV177" s="199"/>
      <c r="GWW177" s="200"/>
      <c r="GWX177" s="201"/>
      <c r="GWY177" s="202"/>
      <c r="GWZ177" s="202"/>
      <c r="GXA177" s="202"/>
      <c r="GXB177" s="202"/>
      <c r="GXC177" s="203"/>
      <c r="GXD177" s="204"/>
      <c r="GXE177" s="204"/>
      <c r="GXF177" s="204"/>
      <c r="GXG177" s="205"/>
      <c r="GXH177" s="206"/>
      <c r="GXI177" s="207"/>
      <c r="GXJ177" s="207"/>
      <c r="GXK177" s="208"/>
      <c r="GXL177" s="209"/>
      <c r="GXM177" s="207"/>
      <c r="GXN177" s="210"/>
      <c r="GXO177" s="209"/>
      <c r="GXP177" s="204"/>
      <c r="GXQ177" s="204"/>
      <c r="GXR177" s="204"/>
      <c r="GXS177" s="199"/>
      <c r="GXT177" s="167"/>
      <c r="GXU177" s="199"/>
      <c r="GXV177" s="200"/>
      <c r="GXW177" s="201"/>
      <c r="GXX177" s="202"/>
      <c r="GXY177" s="202"/>
      <c r="GXZ177" s="202"/>
      <c r="GYA177" s="202"/>
      <c r="GYB177" s="203"/>
      <c r="GYC177" s="204"/>
      <c r="GYD177" s="204"/>
      <c r="GYE177" s="204"/>
      <c r="GYF177" s="205"/>
      <c r="GYG177" s="206"/>
      <c r="GYH177" s="207"/>
      <c r="GYI177" s="207"/>
      <c r="GYJ177" s="208"/>
      <c r="GYK177" s="209"/>
      <c r="GYL177" s="207"/>
      <c r="GYM177" s="210"/>
      <c r="GYN177" s="209"/>
      <c r="GYO177" s="204"/>
      <c r="GYP177" s="204"/>
      <c r="GYQ177" s="204"/>
      <c r="GYR177" s="199"/>
      <c r="GYS177" s="167"/>
      <c r="GYT177" s="199"/>
      <c r="GYU177" s="200"/>
      <c r="GYV177" s="201"/>
      <c r="GYW177" s="202"/>
      <c r="GYX177" s="202"/>
      <c r="GYY177" s="202"/>
      <c r="GYZ177" s="202"/>
      <c r="GZA177" s="203"/>
      <c r="GZB177" s="204"/>
      <c r="GZC177" s="204"/>
      <c r="GZD177" s="204"/>
      <c r="GZE177" s="205"/>
      <c r="GZF177" s="206"/>
      <c r="GZG177" s="207"/>
      <c r="GZH177" s="207"/>
      <c r="GZI177" s="208"/>
      <c r="GZJ177" s="209"/>
      <c r="GZK177" s="207"/>
      <c r="GZL177" s="210"/>
      <c r="GZM177" s="209"/>
      <c r="GZN177" s="204"/>
      <c r="GZO177" s="204"/>
      <c r="GZP177" s="204"/>
      <c r="GZQ177" s="199"/>
      <c r="GZR177" s="167"/>
      <c r="GZS177" s="199"/>
      <c r="GZT177" s="200"/>
      <c r="GZU177" s="201"/>
      <c r="GZV177" s="202"/>
      <c r="GZW177" s="202"/>
      <c r="GZX177" s="202"/>
      <c r="GZY177" s="202"/>
      <c r="GZZ177" s="203"/>
      <c r="HAA177" s="204"/>
      <c r="HAB177" s="204"/>
      <c r="HAC177" s="204"/>
      <c r="HAD177" s="205"/>
      <c r="HAE177" s="206"/>
      <c r="HAF177" s="207"/>
      <c r="HAG177" s="207"/>
      <c r="HAH177" s="208"/>
      <c r="HAI177" s="209"/>
      <c r="HAJ177" s="207"/>
      <c r="HAK177" s="210"/>
      <c r="HAL177" s="209"/>
      <c r="HAM177" s="204"/>
      <c r="HAN177" s="204"/>
      <c r="HAO177" s="204"/>
      <c r="HAP177" s="199"/>
      <c r="HAQ177" s="167"/>
      <c r="HAR177" s="199"/>
      <c r="HAS177" s="200"/>
      <c r="HAT177" s="201"/>
      <c r="HAU177" s="202"/>
      <c r="HAV177" s="202"/>
      <c r="HAW177" s="202"/>
      <c r="HAX177" s="202"/>
      <c r="HAY177" s="203"/>
      <c r="HAZ177" s="204"/>
      <c r="HBA177" s="204"/>
      <c r="HBB177" s="204"/>
      <c r="HBC177" s="205"/>
      <c r="HBD177" s="206"/>
      <c r="HBE177" s="207"/>
      <c r="HBF177" s="207"/>
      <c r="HBG177" s="208"/>
      <c r="HBH177" s="209"/>
      <c r="HBI177" s="207"/>
      <c r="HBJ177" s="210"/>
      <c r="HBK177" s="209"/>
      <c r="HBL177" s="204"/>
      <c r="HBM177" s="204"/>
      <c r="HBN177" s="204"/>
      <c r="HBO177" s="199"/>
      <c r="HBP177" s="167"/>
      <c r="HBQ177" s="199"/>
      <c r="HBR177" s="200"/>
      <c r="HBS177" s="201"/>
      <c r="HBT177" s="202"/>
      <c r="HBU177" s="202"/>
      <c r="HBV177" s="202"/>
      <c r="HBW177" s="202"/>
      <c r="HBX177" s="203"/>
      <c r="HBY177" s="204"/>
      <c r="HBZ177" s="204"/>
      <c r="HCA177" s="204"/>
      <c r="HCB177" s="205"/>
      <c r="HCC177" s="206"/>
      <c r="HCD177" s="207"/>
      <c r="HCE177" s="207"/>
      <c r="HCF177" s="208"/>
      <c r="HCG177" s="209"/>
      <c r="HCH177" s="207"/>
      <c r="HCI177" s="210"/>
      <c r="HCJ177" s="209"/>
      <c r="HCK177" s="204"/>
      <c r="HCL177" s="204"/>
      <c r="HCM177" s="204"/>
      <c r="HCN177" s="199"/>
      <c r="HCO177" s="167"/>
      <c r="HCP177" s="199"/>
      <c r="HCQ177" s="200"/>
      <c r="HCR177" s="201"/>
      <c r="HCS177" s="202"/>
      <c r="HCT177" s="202"/>
      <c r="HCU177" s="202"/>
      <c r="HCV177" s="202"/>
      <c r="HCW177" s="203"/>
      <c r="HCX177" s="204"/>
      <c r="HCY177" s="204"/>
      <c r="HCZ177" s="204"/>
      <c r="HDA177" s="205"/>
      <c r="HDB177" s="206"/>
      <c r="HDC177" s="207"/>
      <c r="HDD177" s="207"/>
      <c r="HDE177" s="208"/>
      <c r="HDF177" s="209"/>
      <c r="HDG177" s="207"/>
      <c r="HDH177" s="210"/>
      <c r="HDI177" s="209"/>
      <c r="HDJ177" s="204"/>
      <c r="HDK177" s="204"/>
      <c r="HDL177" s="204"/>
      <c r="HDM177" s="199"/>
      <c r="HDN177" s="167"/>
      <c r="HDO177" s="199"/>
      <c r="HDP177" s="200"/>
      <c r="HDQ177" s="201"/>
      <c r="HDR177" s="202"/>
      <c r="HDS177" s="202"/>
      <c r="HDT177" s="202"/>
      <c r="HDU177" s="202"/>
      <c r="HDV177" s="203"/>
      <c r="HDW177" s="204"/>
      <c r="HDX177" s="204"/>
      <c r="HDY177" s="204"/>
      <c r="HDZ177" s="205"/>
      <c r="HEA177" s="206"/>
      <c r="HEB177" s="207"/>
      <c r="HEC177" s="207"/>
      <c r="HED177" s="208"/>
      <c r="HEE177" s="209"/>
      <c r="HEF177" s="207"/>
      <c r="HEG177" s="210"/>
      <c r="HEH177" s="209"/>
      <c r="HEI177" s="204"/>
      <c r="HEJ177" s="204"/>
      <c r="HEK177" s="204"/>
      <c r="HEL177" s="199"/>
      <c r="HEM177" s="167"/>
      <c r="HEN177" s="199"/>
      <c r="HEO177" s="200"/>
      <c r="HEP177" s="201"/>
      <c r="HEQ177" s="202"/>
      <c r="HER177" s="202"/>
      <c r="HES177" s="202"/>
      <c r="HET177" s="202"/>
      <c r="HEU177" s="203"/>
      <c r="HEV177" s="204"/>
      <c r="HEW177" s="204"/>
      <c r="HEX177" s="204"/>
      <c r="HEY177" s="205"/>
      <c r="HEZ177" s="206"/>
      <c r="HFA177" s="207"/>
      <c r="HFB177" s="207"/>
      <c r="HFC177" s="208"/>
      <c r="HFD177" s="209"/>
      <c r="HFE177" s="207"/>
      <c r="HFF177" s="210"/>
      <c r="HFG177" s="209"/>
      <c r="HFH177" s="204"/>
      <c r="HFI177" s="204"/>
      <c r="HFJ177" s="204"/>
      <c r="HFK177" s="199"/>
      <c r="HFL177" s="167"/>
      <c r="HFM177" s="199"/>
      <c r="HFN177" s="200"/>
      <c r="HFO177" s="201"/>
      <c r="HFP177" s="202"/>
      <c r="HFQ177" s="202"/>
      <c r="HFR177" s="202"/>
      <c r="HFS177" s="202"/>
      <c r="HFT177" s="203"/>
      <c r="HFU177" s="204"/>
      <c r="HFV177" s="204"/>
      <c r="HFW177" s="204"/>
      <c r="HFX177" s="205"/>
      <c r="HFY177" s="206"/>
      <c r="HFZ177" s="207"/>
      <c r="HGA177" s="207"/>
      <c r="HGB177" s="208"/>
      <c r="HGC177" s="209"/>
      <c r="HGD177" s="207"/>
      <c r="HGE177" s="210"/>
      <c r="HGF177" s="209"/>
      <c r="HGG177" s="204"/>
      <c r="HGH177" s="204"/>
      <c r="HGI177" s="204"/>
      <c r="HGJ177" s="199"/>
      <c r="HGK177" s="167"/>
      <c r="HGL177" s="199"/>
      <c r="HGM177" s="200"/>
      <c r="HGN177" s="201"/>
      <c r="HGO177" s="202"/>
      <c r="HGP177" s="202"/>
      <c r="HGQ177" s="202"/>
      <c r="HGR177" s="202"/>
      <c r="HGS177" s="203"/>
      <c r="HGT177" s="204"/>
      <c r="HGU177" s="204"/>
      <c r="HGV177" s="204"/>
      <c r="HGW177" s="205"/>
      <c r="HGX177" s="206"/>
      <c r="HGY177" s="207"/>
      <c r="HGZ177" s="207"/>
      <c r="HHA177" s="208"/>
      <c r="HHB177" s="209"/>
      <c r="HHC177" s="207"/>
      <c r="HHD177" s="210"/>
      <c r="HHE177" s="209"/>
      <c r="HHF177" s="204"/>
      <c r="HHG177" s="204"/>
      <c r="HHH177" s="204"/>
      <c r="HHI177" s="199"/>
      <c r="HHJ177" s="167"/>
      <c r="HHK177" s="199"/>
      <c r="HHL177" s="200"/>
      <c r="HHM177" s="201"/>
      <c r="HHN177" s="202"/>
      <c r="HHO177" s="202"/>
      <c r="HHP177" s="202"/>
      <c r="HHQ177" s="202"/>
      <c r="HHR177" s="203"/>
      <c r="HHS177" s="204"/>
      <c r="HHT177" s="204"/>
      <c r="HHU177" s="204"/>
      <c r="HHV177" s="205"/>
      <c r="HHW177" s="206"/>
      <c r="HHX177" s="207"/>
      <c r="HHY177" s="207"/>
      <c r="HHZ177" s="208"/>
      <c r="HIA177" s="209"/>
      <c r="HIB177" s="207"/>
      <c r="HIC177" s="210"/>
      <c r="HID177" s="209"/>
      <c r="HIE177" s="204"/>
      <c r="HIF177" s="204"/>
      <c r="HIG177" s="204"/>
      <c r="HIH177" s="199"/>
      <c r="HII177" s="167"/>
      <c r="HIJ177" s="199"/>
      <c r="HIK177" s="200"/>
      <c r="HIL177" s="201"/>
      <c r="HIM177" s="202"/>
      <c r="HIN177" s="202"/>
      <c r="HIO177" s="202"/>
      <c r="HIP177" s="202"/>
      <c r="HIQ177" s="203"/>
      <c r="HIR177" s="204"/>
      <c r="HIS177" s="204"/>
      <c r="HIT177" s="204"/>
      <c r="HIU177" s="205"/>
      <c r="HIV177" s="206"/>
      <c r="HIW177" s="207"/>
      <c r="HIX177" s="207"/>
      <c r="HIY177" s="208"/>
      <c r="HIZ177" s="209"/>
      <c r="HJA177" s="207"/>
      <c r="HJB177" s="210"/>
      <c r="HJC177" s="209"/>
      <c r="HJD177" s="204"/>
      <c r="HJE177" s="204"/>
      <c r="HJF177" s="204"/>
      <c r="HJG177" s="199"/>
      <c r="HJH177" s="167"/>
      <c r="HJI177" s="199"/>
      <c r="HJJ177" s="200"/>
      <c r="HJK177" s="201"/>
      <c r="HJL177" s="202"/>
      <c r="HJM177" s="202"/>
      <c r="HJN177" s="202"/>
      <c r="HJO177" s="202"/>
      <c r="HJP177" s="203"/>
      <c r="HJQ177" s="204"/>
      <c r="HJR177" s="204"/>
      <c r="HJS177" s="204"/>
      <c r="HJT177" s="205"/>
      <c r="HJU177" s="206"/>
      <c r="HJV177" s="207"/>
      <c r="HJW177" s="207"/>
      <c r="HJX177" s="208"/>
      <c r="HJY177" s="209"/>
      <c r="HJZ177" s="207"/>
      <c r="HKA177" s="210"/>
      <c r="HKB177" s="209"/>
      <c r="HKC177" s="204"/>
      <c r="HKD177" s="204"/>
      <c r="HKE177" s="204"/>
      <c r="HKF177" s="199"/>
      <c r="HKG177" s="167"/>
      <c r="HKH177" s="199"/>
      <c r="HKI177" s="200"/>
      <c r="HKJ177" s="201"/>
      <c r="HKK177" s="202"/>
      <c r="HKL177" s="202"/>
      <c r="HKM177" s="202"/>
      <c r="HKN177" s="202"/>
      <c r="HKO177" s="203"/>
      <c r="HKP177" s="204"/>
      <c r="HKQ177" s="204"/>
      <c r="HKR177" s="204"/>
      <c r="HKS177" s="205"/>
      <c r="HKT177" s="206"/>
      <c r="HKU177" s="207"/>
      <c r="HKV177" s="207"/>
      <c r="HKW177" s="208"/>
      <c r="HKX177" s="209"/>
      <c r="HKY177" s="207"/>
      <c r="HKZ177" s="210"/>
      <c r="HLA177" s="209"/>
      <c r="HLB177" s="204"/>
      <c r="HLC177" s="204"/>
      <c r="HLD177" s="204"/>
      <c r="HLE177" s="199"/>
      <c r="HLF177" s="167"/>
      <c r="HLG177" s="199"/>
      <c r="HLH177" s="200"/>
      <c r="HLI177" s="201"/>
      <c r="HLJ177" s="202"/>
      <c r="HLK177" s="202"/>
      <c r="HLL177" s="202"/>
      <c r="HLM177" s="202"/>
      <c r="HLN177" s="203"/>
      <c r="HLO177" s="204"/>
      <c r="HLP177" s="204"/>
      <c r="HLQ177" s="204"/>
      <c r="HLR177" s="205"/>
      <c r="HLS177" s="206"/>
      <c r="HLT177" s="207"/>
      <c r="HLU177" s="207"/>
      <c r="HLV177" s="208"/>
      <c r="HLW177" s="209"/>
      <c r="HLX177" s="207"/>
      <c r="HLY177" s="210"/>
      <c r="HLZ177" s="209"/>
      <c r="HMA177" s="204"/>
      <c r="HMB177" s="204"/>
      <c r="HMC177" s="204"/>
      <c r="HMD177" s="199"/>
      <c r="HME177" s="167"/>
      <c r="HMF177" s="199"/>
      <c r="HMG177" s="200"/>
      <c r="HMH177" s="201"/>
      <c r="HMI177" s="202"/>
      <c r="HMJ177" s="202"/>
      <c r="HMK177" s="202"/>
      <c r="HML177" s="202"/>
      <c r="HMM177" s="203"/>
      <c r="HMN177" s="204"/>
      <c r="HMO177" s="204"/>
      <c r="HMP177" s="204"/>
      <c r="HMQ177" s="205"/>
      <c r="HMR177" s="206"/>
      <c r="HMS177" s="207"/>
      <c r="HMT177" s="207"/>
      <c r="HMU177" s="208"/>
      <c r="HMV177" s="209"/>
      <c r="HMW177" s="207"/>
      <c r="HMX177" s="210"/>
      <c r="HMY177" s="209"/>
      <c r="HMZ177" s="204"/>
      <c r="HNA177" s="204"/>
      <c r="HNB177" s="204"/>
      <c r="HNC177" s="199"/>
      <c r="HND177" s="167"/>
      <c r="HNE177" s="199"/>
      <c r="HNF177" s="200"/>
      <c r="HNG177" s="201"/>
      <c r="HNH177" s="202"/>
      <c r="HNI177" s="202"/>
      <c r="HNJ177" s="202"/>
      <c r="HNK177" s="202"/>
      <c r="HNL177" s="203"/>
      <c r="HNM177" s="204"/>
      <c r="HNN177" s="204"/>
      <c r="HNO177" s="204"/>
      <c r="HNP177" s="205"/>
      <c r="HNQ177" s="206"/>
      <c r="HNR177" s="207"/>
      <c r="HNS177" s="207"/>
      <c r="HNT177" s="208"/>
      <c r="HNU177" s="209"/>
      <c r="HNV177" s="207"/>
      <c r="HNW177" s="210"/>
      <c r="HNX177" s="209"/>
      <c r="HNY177" s="204"/>
      <c r="HNZ177" s="204"/>
      <c r="HOA177" s="204"/>
      <c r="HOB177" s="199"/>
      <c r="HOC177" s="167"/>
      <c r="HOD177" s="199"/>
      <c r="HOE177" s="200"/>
      <c r="HOF177" s="201"/>
      <c r="HOG177" s="202"/>
      <c r="HOH177" s="202"/>
      <c r="HOI177" s="202"/>
      <c r="HOJ177" s="202"/>
      <c r="HOK177" s="203"/>
      <c r="HOL177" s="204"/>
      <c r="HOM177" s="204"/>
      <c r="HON177" s="204"/>
      <c r="HOO177" s="205"/>
      <c r="HOP177" s="206"/>
      <c r="HOQ177" s="207"/>
      <c r="HOR177" s="207"/>
      <c r="HOS177" s="208"/>
      <c r="HOT177" s="209"/>
      <c r="HOU177" s="207"/>
      <c r="HOV177" s="210"/>
      <c r="HOW177" s="209"/>
      <c r="HOX177" s="204"/>
      <c r="HOY177" s="204"/>
      <c r="HOZ177" s="204"/>
      <c r="HPA177" s="199"/>
      <c r="HPB177" s="167"/>
      <c r="HPC177" s="199"/>
      <c r="HPD177" s="200"/>
      <c r="HPE177" s="201"/>
      <c r="HPF177" s="202"/>
      <c r="HPG177" s="202"/>
      <c r="HPH177" s="202"/>
      <c r="HPI177" s="202"/>
      <c r="HPJ177" s="203"/>
      <c r="HPK177" s="204"/>
      <c r="HPL177" s="204"/>
      <c r="HPM177" s="204"/>
      <c r="HPN177" s="205"/>
      <c r="HPO177" s="206"/>
      <c r="HPP177" s="207"/>
      <c r="HPQ177" s="207"/>
      <c r="HPR177" s="208"/>
      <c r="HPS177" s="209"/>
      <c r="HPT177" s="207"/>
      <c r="HPU177" s="210"/>
      <c r="HPV177" s="209"/>
      <c r="HPW177" s="204"/>
      <c r="HPX177" s="204"/>
      <c r="HPY177" s="204"/>
      <c r="HPZ177" s="199"/>
      <c r="HQA177" s="167"/>
      <c r="HQB177" s="199"/>
      <c r="HQC177" s="200"/>
      <c r="HQD177" s="201"/>
      <c r="HQE177" s="202"/>
      <c r="HQF177" s="202"/>
      <c r="HQG177" s="202"/>
      <c r="HQH177" s="202"/>
      <c r="HQI177" s="203"/>
      <c r="HQJ177" s="204"/>
      <c r="HQK177" s="204"/>
      <c r="HQL177" s="204"/>
      <c r="HQM177" s="205"/>
      <c r="HQN177" s="206"/>
      <c r="HQO177" s="207"/>
      <c r="HQP177" s="207"/>
      <c r="HQQ177" s="208"/>
      <c r="HQR177" s="209"/>
      <c r="HQS177" s="207"/>
      <c r="HQT177" s="210"/>
      <c r="HQU177" s="209"/>
      <c r="HQV177" s="204"/>
      <c r="HQW177" s="204"/>
      <c r="HQX177" s="204"/>
      <c r="HQY177" s="199"/>
      <c r="HQZ177" s="167"/>
      <c r="HRA177" s="199"/>
      <c r="HRB177" s="200"/>
      <c r="HRC177" s="201"/>
      <c r="HRD177" s="202"/>
      <c r="HRE177" s="202"/>
      <c r="HRF177" s="202"/>
      <c r="HRG177" s="202"/>
      <c r="HRH177" s="203"/>
      <c r="HRI177" s="204"/>
      <c r="HRJ177" s="204"/>
      <c r="HRK177" s="204"/>
      <c r="HRL177" s="205"/>
      <c r="HRM177" s="206"/>
      <c r="HRN177" s="207"/>
      <c r="HRO177" s="207"/>
      <c r="HRP177" s="208"/>
      <c r="HRQ177" s="209"/>
      <c r="HRR177" s="207"/>
      <c r="HRS177" s="210"/>
      <c r="HRT177" s="209"/>
      <c r="HRU177" s="204"/>
      <c r="HRV177" s="204"/>
      <c r="HRW177" s="204"/>
      <c r="HRX177" s="199"/>
      <c r="HRY177" s="167"/>
      <c r="HRZ177" s="199"/>
      <c r="HSA177" s="200"/>
      <c r="HSB177" s="201"/>
      <c r="HSC177" s="202"/>
      <c r="HSD177" s="202"/>
      <c r="HSE177" s="202"/>
      <c r="HSF177" s="202"/>
      <c r="HSG177" s="203"/>
      <c r="HSH177" s="204"/>
      <c r="HSI177" s="204"/>
      <c r="HSJ177" s="204"/>
      <c r="HSK177" s="205"/>
      <c r="HSL177" s="206"/>
      <c r="HSM177" s="207"/>
      <c r="HSN177" s="207"/>
      <c r="HSO177" s="208"/>
      <c r="HSP177" s="209"/>
      <c r="HSQ177" s="207"/>
      <c r="HSR177" s="210"/>
      <c r="HSS177" s="209"/>
      <c r="HST177" s="204"/>
      <c r="HSU177" s="204"/>
      <c r="HSV177" s="204"/>
      <c r="HSW177" s="199"/>
      <c r="HSX177" s="167"/>
      <c r="HSY177" s="199"/>
      <c r="HSZ177" s="200"/>
      <c r="HTA177" s="201"/>
      <c r="HTB177" s="202"/>
      <c r="HTC177" s="202"/>
      <c r="HTD177" s="202"/>
      <c r="HTE177" s="202"/>
      <c r="HTF177" s="203"/>
      <c r="HTG177" s="204"/>
      <c r="HTH177" s="204"/>
      <c r="HTI177" s="204"/>
      <c r="HTJ177" s="205"/>
      <c r="HTK177" s="206"/>
      <c r="HTL177" s="207"/>
      <c r="HTM177" s="207"/>
      <c r="HTN177" s="208"/>
      <c r="HTO177" s="209"/>
      <c r="HTP177" s="207"/>
      <c r="HTQ177" s="210"/>
      <c r="HTR177" s="209"/>
      <c r="HTS177" s="204"/>
      <c r="HTT177" s="204"/>
      <c r="HTU177" s="204"/>
      <c r="HTV177" s="199"/>
      <c r="HTW177" s="167"/>
      <c r="HTX177" s="199"/>
      <c r="HTY177" s="200"/>
      <c r="HTZ177" s="201"/>
      <c r="HUA177" s="202"/>
      <c r="HUB177" s="202"/>
      <c r="HUC177" s="202"/>
      <c r="HUD177" s="202"/>
      <c r="HUE177" s="203"/>
      <c r="HUF177" s="204"/>
      <c r="HUG177" s="204"/>
      <c r="HUH177" s="204"/>
      <c r="HUI177" s="205"/>
      <c r="HUJ177" s="206"/>
      <c r="HUK177" s="207"/>
      <c r="HUL177" s="207"/>
      <c r="HUM177" s="208"/>
      <c r="HUN177" s="209"/>
      <c r="HUO177" s="207"/>
      <c r="HUP177" s="210"/>
      <c r="HUQ177" s="209"/>
      <c r="HUR177" s="204"/>
      <c r="HUS177" s="204"/>
      <c r="HUT177" s="204"/>
      <c r="HUU177" s="199"/>
      <c r="HUV177" s="167"/>
      <c r="HUW177" s="199"/>
      <c r="HUX177" s="200"/>
      <c r="HUY177" s="201"/>
      <c r="HUZ177" s="202"/>
      <c r="HVA177" s="202"/>
      <c r="HVB177" s="202"/>
      <c r="HVC177" s="202"/>
      <c r="HVD177" s="203"/>
      <c r="HVE177" s="204"/>
      <c r="HVF177" s="204"/>
      <c r="HVG177" s="204"/>
      <c r="HVH177" s="205"/>
      <c r="HVI177" s="206"/>
      <c r="HVJ177" s="207"/>
      <c r="HVK177" s="207"/>
      <c r="HVL177" s="208"/>
      <c r="HVM177" s="209"/>
      <c r="HVN177" s="207"/>
      <c r="HVO177" s="210"/>
      <c r="HVP177" s="209"/>
      <c r="HVQ177" s="204"/>
      <c r="HVR177" s="204"/>
      <c r="HVS177" s="204"/>
      <c r="HVT177" s="199"/>
      <c r="HVU177" s="167"/>
      <c r="HVV177" s="199"/>
      <c r="HVW177" s="200"/>
      <c r="HVX177" s="201"/>
      <c r="HVY177" s="202"/>
      <c r="HVZ177" s="202"/>
      <c r="HWA177" s="202"/>
      <c r="HWB177" s="202"/>
      <c r="HWC177" s="203"/>
      <c r="HWD177" s="204"/>
      <c r="HWE177" s="204"/>
      <c r="HWF177" s="204"/>
      <c r="HWG177" s="205"/>
      <c r="HWH177" s="206"/>
      <c r="HWI177" s="207"/>
      <c r="HWJ177" s="207"/>
      <c r="HWK177" s="208"/>
      <c r="HWL177" s="209"/>
      <c r="HWM177" s="207"/>
      <c r="HWN177" s="210"/>
      <c r="HWO177" s="209"/>
      <c r="HWP177" s="204"/>
      <c r="HWQ177" s="204"/>
      <c r="HWR177" s="204"/>
      <c r="HWS177" s="199"/>
      <c r="HWT177" s="167"/>
      <c r="HWU177" s="199"/>
      <c r="HWV177" s="200"/>
      <c r="HWW177" s="201"/>
      <c r="HWX177" s="202"/>
      <c r="HWY177" s="202"/>
      <c r="HWZ177" s="202"/>
      <c r="HXA177" s="202"/>
      <c r="HXB177" s="203"/>
      <c r="HXC177" s="204"/>
      <c r="HXD177" s="204"/>
      <c r="HXE177" s="204"/>
      <c r="HXF177" s="205"/>
      <c r="HXG177" s="206"/>
      <c r="HXH177" s="207"/>
      <c r="HXI177" s="207"/>
      <c r="HXJ177" s="208"/>
      <c r="HXK177" s="209"/>
      <c r="HXL177" s="207"/>
      <c r="HXM177" s="210"/>
      <c r="HXN177" s="209"/>
      <c r="HXO177" s="204"/>
      <c r="HXP177" s="204"/>
      <c r="HXQ177" s="204"/>
      <c r="HXR177" s="199"/>
      <c r="HXS177" s="167"/>
      <c r="HXT177" s="199"/>
      <c r="HXU177" s="200"/>
      <c r="HXV177" s="201"/>
      <c r="HXW177" s="202"/>
      <c r="HXX177" s="202"/>
      <c r="HXY177" s="202"/>
      <c r="HXZ177" s="202"/>
      <c r="HYA177" s="203"/>
      <c r="HYB177" s="204"/>
      <c r="HYC177" s="204"/>
      <c r="HYD177" s="204"/>
      <c r="HYE177" s="205"/>
      <c r="HYF177" s="206"/>
      <c r="HYG177" s="207"/>
      <c r="HYH177" s="207"/>
      <c r="HYI177" s="208"/>
      <c r="HYJ177" s="209"/>
      <c r="HYK177" s="207"/>
      <c r="HYL177" s="210"/>
      <c r="HYM177" s="209"/>
      <c r="HYN177" s="204"/>
      <c r="HYO177" s="204"/>
      <c r="HYP177" s="204"/>
      <c r="HYQ177" s="199"/>
      <c r="HYR177" s="167"/>
      <c r="HYS177" s="199"/>
      <c r="HYT177" s="200"/>
      <c r="HYU177" s="201"/>
      <c r="HYV177" s="202"/>
      <c r="HYW177" s="202"/>
      <c r="HYX177" s="202"/>
      <c r="HYY177" s="202"/>
      <c r="HYZ177" s="203"/>
      <c r="HZA177" s="204"/>
      <c r="HZB177" s="204"/>
      <c r="HZC177" s="204"/>
      <c r="HZD177" s="205"/>
      <c r="HZE177" s="206"/>
      <c r="HZF177" s="207"/>
      <c r="HZG177" s="207"/>
      <c r="HZH177" s="208"/>
      <c r="HZI177" s="209"/>
      <c r="HZJ177" s="207"/>
      <c r="HZK177" s="210"/>
      <c r="HZL177" s="209"/>
      <c r="HZM177" s="204"/>
      <c r="HZN177" s="204"/>
      <c r="HZO177" s="204"/>
      <c r="HZP177" s="199"/>
      <c r="HZQ177" s="167"/>
      <c r="HZR177" s="199"/>
      <c r="HZS177" s="200"/>
      <c r="HZT177" s="201"/>
      <c r="HZU177" s="202"/>
      <c r="HZV177" s="202"/>
      <c r="HZW177" s="202"/>
      <c r="HZX177" s="202"/>
      <c r="HZY177" s="203"/>
      <c r="HZZ177" s="204"/>
      <c r="IAA177" s="204"/>
      <c r="IAB177" s="204"/>
      <c r="IAC177" s="205"/>
      <c r="IAD177" s="206"/>
      <c r="IAE177" s="207"/>
      <c r="IAF177" s="207"/>
      <c r="IAG177" s="208"/>
      <c r="IAH177" s="209"/>
      <c r="IAI177" s="207"/>
      <c r="IAJ177" s="210"/>
      <c r="IAK177" s="209"/>
      <c r="IAL177" s="204"/>
      <c r="IAM177" s="204"/>
      <c r="IAN177" s="204"/>
      <c r="IAO177" s="199"/>
      <c r="IAP177" s="167"/>
      <c r="IAQ177" s="199"/>
      <c r="IAR177" s="200"/>
      <c r="IAS177" s="201"/>
      <c r="IAT177" s="202"/>
      <c r="IAU177" s="202"/>
      <c r="IAV177" s="202"/>
      <c r="IAW177" s="202"/>
      <c r="IAX177" s="203"/>
      <c r="IAY177" s="204"/>
      <c r="IAZ177" s="204"/>
      <c r="IBA177" s="204"/>
      <c r="IBB177" s="205"/>
      <c r="IBC177" s="206"/>
      <c r="IBD177" s="207"/>
      <c r="IBE177" s="207"/>
      <c r="IBF177" s="208"/>
      <c r="IBG177" s="209"/>
      <c r="IBH177" s="207"/>
      <c r="IBI177" s="210"/>
      <c r="IBJ177" s="209"/>
      <c r="IBK177" s="204"/>
      <c r="IBL177" s="204"/>
      <c r="IBM177" s="204"/>
      <c r="IBN177" s="199"/>
      <c r="IBO177" s="167"/>
      <c r="IBP177" s="199"/>
      <c r="IBQ177" s="200"/>
      <c r="IBR177" s="201"/>
      <c r="IBS177" s="202"/>
      <c r="IBT177" s="202"/>
      <c r="IBU177" s="202"/>
      <c r="IBV177" s="202"/>
      <c r="IBW177" s="203"/>
      <c r="IBX177" s="204"/>
      <c r="IBY177" s="204"/>
      <c r="IBZ177" s="204"/>
      <c r="ICA177" s="205"/>
      <c r="ICB177" s="206"/>
      <c r="ICC177" s="207"/>
      <c r="ICD177" s="207"/>
      <c r="ICE177" s="208"/>
      <c r="ICF177" s="209"/>
      <c r="ICG177" s="207"/>
      <c r="ICH177" s="210"/>
      <c r="ICI177" s="209"/>
      <c r="ICJ177" s="204"/>
      <c r="ICK177" s="204"/>
      <c r="ICL177" s="204"/>
      <c r="ICM177" s="199"/>
      <c r="ICN177" s="167"/>
      <c r="ICO177" s="199"/>
      <c r="ICP177" s="200"/>
      <c r="ICQ177" s="201"/>
      <c r="ICR177" s="202"/>
      <c r="ICS177" s="202"/>
      <c r="ICT177" s="202"/>
      <c r="ICU177" s="202"/>
      <c r="ICV177" s="203"/>
      <c r="ICW177" s="204"/>
      <c r="ICX177" s="204"/>
      <c r="ICY177" s="204"/>
      <c r="ICZ177" s="205"/>
      <c r="IDA177" s="206"/>
      <c r="IDB177" s="207"/>
      <c r="IDC177" s="207"/>
      <c r="IDD177" s="208"/>
      <c r="IDE177" s="209"/>
      <c r="IDF177" s="207"/>
      <c r="IDG177" s="210"/>
      <c r="IDH177" s="209"/>
      <c r="IDI177" s="204"/>
      <c r="IDJ177" s="204"/>
      <c r="IDK177" s="204"/>
      <c r="IDL177" s="199"/>
      <c r="IDM177" s="167"/>
      <c r="IDN177" s="199"/>
      <c r="IDO177" s="200"/>
      <c r="IDP177" s="201"/>
      <c r="IDQ177" s="202"/>
      <c r="IDR177" s="202"/>
      <c r="IDS177" s="202"/>
      <c r="IDT177" s="202"/>
      <c r="IDU177" s="203"/>
      <c r="IDV177" s="204"/>
      <c r="IDW177" s="204"/>
      <c r="IDX177" s="204"/>
      <c r="IDY177" s="205"/>
      <c r="IDZ177" s="206"/>
      <c r="IEA177" s="207"/>
      <c r="IEB177" s="207"/>
      <c r="IEC177" s="208"/>
      <c r="IED177" s="209"/>
      <c r="IEE177" s="207"/>
      <c r="IEF177" s="210"/>
      <c r="IEG177" s="209"/>
      <c r="IEH177" s="204"/>
      <c r="IEI177" s="204"/>
      <c r="IEJ177" s="204"/>
      <c r="IEK177" s="199"/>
      <c r="IEL177" s="167"/>
      <c r="IEM177" s="199"/>
      <c r="IEN177" s="200"/>
      <c r="IEO177" s="201"/>
      <c r="IEP177" s="202"/>
      <c r="IEQ177" s="202"/>
      <c r="IER177" s="202"/>
      <c r="IES177" s="202"/>
      <c r="IET177" s="203"/>
      <c r="IEU177" s="204"/>
      <c r="IEV177" s="204"/>
      <c r="IEW177" s="204"/>
      <c r="IEX177" s="205"/>
      <c r="IEY177" s="206"/>
      <c r="IEZ177" s="207"/>
      <c r="IFA177" s="207"/>
      <c r="IFB177" s="208"/>
      <c r="IFC177" s="209"/>
      <c r="IFD177" s="207"/>
      <c r="IFE177" s="210"/>
      <c r="IFF177" s="209"/>
      <c r="IFG177" s="204"/>
      <c r="IFH177" s="204"/>
      <c r="IFI177" s="204"/>
      <c r="IFJ177" s="199"/>
      <c r="IFK177" s="167"/>
      <c r="IFL177" s="199"/>
      <c r="IFM177" s="200"/>
      <c r="IFN177" s="201"/>
      <c r="IFO177" s="202"/>
      <c r="IFP177" s="202"/>
      <c r="IFQ177" s="202"/>
      <c r="IFR177" s="202"/>
      <c r="IFS177" s="203"/>
      <c r="IFT177" s="204"/>
      <c r="IFU177" s="204"/>
      <c r="IFV177" s="204"/>
      <c r="IFW177" s="205"/>
      <c r="IFX177" s="206"/>
      <c r="IFY177" s="207"/>
      <c r="IFZ177" s="207"/>
      <c r="IGA177" s="208"/>
      <c r="IGB177" s="209"/>
      <c r="IGC177" s="207"/>
      <c r="IGD177" s="210"/>
      <c r="IGE177" s="209"/>
      <c r="IGF177" s="204"/>
      <c r="IGG177" s="204"/>
      <c r="IGH177" s="204"/>
      <c r="IGI177" s="199"/>
      <c r="IGJ177" s="167"/>
      <c r="IGK177" s="199"/>
      <c r="IGL177" s="200"/>
      <c r="IGM177" s="201"/>
      <c r="IGN177" s="202"/>
      <c r="IGO177" s="202"/>
      <c r="IGP177" s="202"/>
      <c r="IGQ177" s="202"/>
      <c r="IGR177" s="203"/>
      <c r="IGS177" s="204"/>
      <c r="IGT177" s="204"/>
      <c r="IGU177" s="204"/>
      <c r="IGV177" s="205"/>
      <c r="IGW177" s="206"/>
      <c r="IGX177" s="207"/>
      <c r="IGY177" s="207"/>
      <c r="IGZ177" s="208"/>
      <c r="IHA177" s="209"/>
      <c r="IHB177" s="207"/>
      <c r="IHC177" s="210"/>
      <c r="IHD177" s="209"/>
      <c r="IHE177" s="204"/>
      <c r="IHF177" s="204"/>
      <c r="IHG177" s="204"/>
      <c r="IHH177" s="199"/>
      <c r="IHI177" s="167"/>
      <c r="IHJ177" s="199"/>
      <c r="IHK177" s="200"/>
      <c r="IHL177" s="201"/>
      <c r="IHM177" s="202"/>
      <c r="IHN177" s="202"/>
      <c r="IHO177" s="202"/>
      <c r="IHP177" s="202"/>
      <c r="IHQ177" s="203"/>
      <c r="IHR177" s="204"/>
      <c r="IHS177" s="204"/>
      <c r="IHT177" s="204"/>
      <c r="IHU177" s="205"/>
      <c r="IHV177" s="206"/>
      <c r="IHW177" s="207"/>
      <c r="IHX177" s="207"/>
      <c r="IHY177" s="208"/>
      <c r="IHZ177" s="209"/>
      <c r="IIA177" s="207"/>
      <c r="IIB177" s="210"/>
      <c r="IIC177" s="209"/>
      <c r="IID177" s="204"/>
      <c r="IIE177" s="204"/>
      <c r="IIF177" s="204"/>
      <c r="IIG177" s="199"/>
      <c r="IIH177" s="167"/>
      <c r="III177" s="199"/>
      <c r="IIJ177" s="200"/>
      <c r="IIK177" s="201"/>
      <c r="IIL177" s="202"/>
      <c r="IIM177" s="202"/>
      <c r="IIN177" s="202"/>
      <c r="IIO177" s="202"/>
      <c r="IIP177" s="203"/>
      <c r="IIQ177" s="204"/>
      <c r="IIR177" s="204"/>
      <c r="IIS177" s="204"/>
      <c r="IIT177" s="205"/>
      <c r="IIU177" s="206"/>
      <c r="IIV177" s="207"/>
      <c r="IIW177" s="207"/>
      <c r="IIX177" s="208"/>
      <c r="IIY177" s="209"/>
      <c r="IIZ177" s="207"/>
      <c r="IJA177" s="210"/>
      <c r="IJB177" s="209"/>
      <c r="IJC177" s="204"/>
      <c r="IJD177" s="204"/>
      <c r="IJE177" s="204"/>
      <c r="IJF177" s="199"/>
      <c r="IJG177" s="167"/>
      <c r="IJH177" s="199"/>
      <c r="IJI177" s="200"/>
      <c r="IJJ177" s="201"/>
      <c r="IJK177" s="202"/>
      <c r="IJL177" s="202"/>
      <c r="IJM177" s="202"/>
      <c r="IJN177" s="202"/>
      <c r="IJO177" s="203"/>
      <c r="IJP177" s="204"/>
      <c r="IJQ177" s="204"/>
      <c r="IJR177" s="204"/>
      <c r="IJS177" s="205"/>
      <c r="IJT177" s="206"/>
      <c r="IJU177" s="207"/>
      <c r="IJV177" s="207"/>
      <c r="IJW177" s="208"/>
      <c r="IJX177" s="209"/>
      <c r="IJY177" s="207"/>
      <c r="IJZ177" s="210"/>
      <c r="IKA177" s="209"/>
      <c r="IKB177" s="204"/>
      <c r="IKC177" s="204"/>
      <c r="IKD177" s="204"/>
      <c r="IKE177" s="199"/>
      <c r="IKF177" s="167"/>
      <c r="IKG177" s="199"/>
      <c r="IKH177" s="200"/>
      <c r="IKI177" s="201"/>
      <c r="IKJ177" s="202"/>
      <c r="IKK177" s="202"/>
      <c r="IKL177" s="202"/>
      <c r="IKM177" s="202"/>
      <c r="IKN177" s="203"/>
      <c r="IKO177" s="204"/>
      <c r="IKP177" s="204"/>
      <c r="IKQ177" s="204"/>
      <c r="IKR177" s="205"/>
      <c r="IKS177" s="206"/>
      <c r="IKT177" s="207"/>
      <c r="IKU177" s="207"/>
      <c r="IKV177" s="208"/>
      <c r="IKW177" s="209"/>
      <c r="IKX177" s="207"/>
      <c r="IKY177" s="210"/>
      <c r="IKZ177" s="209"/>
      <c r="ILA177" s="204"/>
      <c r="ILB177" s="204"/>
      <c r="ILC177" s="204"/>
      <c r="ILD177" s="199"/>
      <c r="ILE177" s="167"/>
      <c r="ILF177" s="199"/>
      <c r="ILG177" s="200"/>
      <c r="ILH177" s="201"/>
      <c r="ILI177" s="202"/>
      <c r="ILJ177" s="202"/>
      <c r="ILK177" s="202"/>
      <c r="ILL177" s="202"/>
      <c r="ILM177" s="203"/>
      <c r="ILN177" s="204"/>
      <c r="ILO177" s="204"/>
      <c r="ILP177" s="204"/>
      <c r="ILQ177" s="205"/>
      <c r="ILR177" s="206"/>
      <c r="ILS177" s="207"/>
      <c r="ILT177" s="207"/>
      <c r="ILU177" s="208"/>
      <c r="ILV177" s="209"/>
      <c r="ILW177" s="207"/>
      <c r="ILX177" s="210"/>
      <c r="ILY177" s="209"/>
      <c r="ILZ177" s="204"/>
      <c r="IMA177" s="204"/>
      <c r="IMB177" s="204"/>
      <c r="IMC177" s="199"/>
      <c r="IMD177" s="167"/>
      <c r="IME177" s="199"/>
      <c r="IMF177" s="200"/>
      <c r="IMG177" s="201"/>
      <c r="IMH177" s="202"/>
      <c r="IMI177" s="202"/>
      <c r="IMJ177" s="202"/>
      <c r="IMK177" s="202"/>
      <c r="IML177" s="203"/>
      <c r="IMM177" s="204"/>
      <c r="IMN177" s="204"/>
      <c r="IMO177" s="204"/>
      <c r="IMP177" s="205"/>
      <c r="IMQ177" s="206"/>
      <c r="IMR177" s="207"/>
      <c r="IMS177" s="207"/>
      <c r="IMT177" s="208"/>
      <c r="IMU177" s="209"/>
      <c r="IMV177" s="207"/>
      <c r="IMW177" s="210"/>
      <c r="IMX177" s="209"/>
      <c r="IMY177" s="204"/>
      <c r="IMZ177" s="204"/>
      <c r="INA177" s="204"/>
      <c r="INB177" s="199"/>
      <c r="INC177" s="167"/>
      <c r="IND177" s="199"/>
      <c r="INE177" s="200"/>
      <c r="INF177" s="201"/>
      <c r="ING177" s="202"/>
      <c r="INH177" s="202"/>
      <c r="INI177" s="202"/>
      <c r="INJ177" s="202"/>
      <c r="INK177" s="203"/>
      <c r="INL177" s="204"/>
      <c r="INM177" s="204"/>
      <c r="INN177" s="204"/>
      <c r="INO177" s="205"/>
      <c r="INP177" s="206"/>
      <c r="INQ177" s="207"/>
      <c r="INR177" s="207"/>
      <c r="INS177" s="208"/>
      <c r="INT177" s="209"/>
      <c r="INU177" s="207"/>
      <c r="INV177" s="210"/>
      <c r="INW177" s="209"/>
      <c r="INX177" s="204"/>
      <c r="INY177" s="204"/>
      <c r="INZ177" s="204"/>
      <c r="IOA177" s="199"/>
      <c r="IOB177" s="167"/>
      <c r="IOC177" s="199"/>
      <c r="IOD177" s="200"/>
      <c r="IOE177" s="201"/>
      <c r="IOF177" s="202"/>
      <c r="IOG177" s="202"/>
      <c r="IOH177" s="202"/>
      <c r="IOI177" s="202"/>
      <c r="IOJ177" s="203"/>
      <c r="IOK177" s="204"/>
      <c r="IOL177" s="204"/>
      <c r="IOM177" s="204"/>
      <c r="ION177" s="205"/>
      <c r="IOO177" s="206"/>
      <c r="IOP177" s="207"/>
      <c r="IOQ177" s="207"/>
      <c r="IOR177" s="208"/>
      <c r="IOS177" s="209"/>
      <c r="IOT177" s="207"/>
      <c r="IOU177" s="210"/>
      <c r="IOV177" s="209"/>
      <c r="IOW177" s="204"/>
      <c r="IOX177" s="204"/>
      <c r="IOY177" s="204"/>
      <c r="IOZ177" s="199"/>
      <c r="IPA177" s="167"/>
      <c r="IPB177" s="199"/>
      <c r="IPC177" s="200"/>
      <c r="IPD177" s="201"/>
      <c r="IPE177" s="202"/>
      <c r="IPF177" s="202"/>
      <c r="IPG177" s="202"/>
      <c r="IPH177" s="202"/>
      <c r="IPI177" s="203"/>
      <c r="IPJ177" s="204"/>
      <c r="IPK177" s="204"/>
      <c r="IPL177" s="204"/>
      <c r="IPM177" s="205"/>
      <c r="IPN177" s="206"/>
      <c r="IPO177" s="207"/>
      <c r="IPP177" s="207"/>
      <c r="IPQ177" s="208"/>
      <c r="IPR177" s="209"/>
      <c r="IPS177" s="207"/>
      <c r="IPT177" s="210"/>
      <c r="IPU177" s="209"/>
      <c r="IPV177" s="204"/>
      <c r="IPW177" s="204"/>
      <c r="IPX177" s="204"/>
      <c r="IPY177" s="199"/>
      <c r="IPZ177" s="167"/>
      <c r="IQA177" s="199"/>
      <c r="IQB177" s="200"/>
      <c r="IQC177" s="201"/>
      <c r="IQD177" s="202"/>
      <c r="IQE177" s="202"/>
      <c r="IQF177" s="202"/>
      <c r="IQG177" s="202"/>
      <c r="IQH177" s="203"/>
      <c r="IQI177" s="204"/>
      <c r="IQJ177" s="204"/>
      <c r="IQK177" s="204"/>
      <c r="IQL177" s="205"/>
      <c r="IQM177" s="206"/>
      <c r="IQN177" s="207"/>
      <c r="IQO177" s="207"/>
      <c r="IQP177" s="208"/>
      <c r="IQQ177" s="209"/>
      <c r="IQR177" s="207"/>
      <c r="IQS177" s="210"/>
      <c r="IQT177" s="209"/>
      <c r="IQU177" s="204"/>
      <c r="IQV177" s="204"/>
      <c r="IQW177" s="204"/>
      <c r="IQX177" s="199"/>
      <c r="IQY177" s="167"/>
      <c r="IQZ177" s="199"/>
      <c r="IRA177" s="200"/>
      <c r="IRB177" s="201"/>
      <c r="IRC177" s="202"/>
      <c r="IRD177" s="202"/>
      <c r="IRE177" s="202"/>
      <c r="IRF177" s="202"/>
      <c r="IRG177" s="203"/>
      <c r="IRH177" s="204"/>
      <c r="IRI177" s="204"/>
      <c r="IRJ177" s="204"/>
      <c r="IRK177" s="205"/>
      <c r="IRL177" s="206"/>
      <c r="IRM177" s="207"/>
      <c r="IRN177" s="207"/>
      <c r="IRO177" s="208"/>
      <c r="IRP177" s="209"/>
      <c r="IRQ177" s="207"/>
      <c r="IRR177" s="210"/>
      <c r="IRS177" s="209"/>
      <c r="IRT177" s="204"/>
      <c r="IRU177" s="204"/>
      <c r="IRV177" s="204"/>
      <c r="IRW177" s="199"/>
      <c r="IRX177" s="167"/>
      <c r="IRY177" s="199"/>
      <c r="IRZ177" s="200"/>
      <c r="ISA177" s="201"/>
      <c r="ISB177" s="202"/>
      <c r="ISC177" s="202"/>
      <c r="ISD177" s="202"/>
      <c r="ISE177" s="202"/>
      <c r="ISF177" s="203"/>
      <c r="ISG177" s="204"/>
      <c r="ISH177" s="204"/>
      <c r="ISI177" s="204"/>
      <c r="ISJ177" s="205"/>
      <c r="ISK177" s="206"/>
      <c r="ISL177" s="207"/>
      <c r="ISM177" s="207"/>
      <c r="ISN177" s="208"/>
      <c r="ISO177" s="209"/>
      <c r="ISP177" s="207"/>
      <c r="ISQ177" s="210"/>
      <c r="ISR177" s="209"/>
      <c r="ISS177" s="204"/>
      <c r="IST177" s="204"/>
      <c r="ISU177" s="204"/>
      <c r="ISV177" s="199"/>
      <c r="ISW177" s="167"/>
      <c r="ISX177" s="199"/>
      <c r="ISY177" s="200"/>
      <c r="ISZ177" s="201"/>
      <c r="ITA177" s="202"/>
      <c r="ITB177" s="202"/>
      <c r="ITC177" s="202"/>
      <c r="ITD177" s="202"/>
      <c r="ITE177" s="203"/>
      <c r="ITF177" s="204"/>
      <c r="ITG177" s="204"/>
      <c r="ITH177" s="204"/>
      <c r="ITI177" s="205"/>
      <c r="ITJ177" s="206"/>
      <c r="ITK177" s="207"/>
      <c r="ITL177" s="207"/>
      <c r="ITM177" s="208"/>
      <c r="ITN177" s="209"/>
      <c r="ITO177" s="207"/>
      <c r="ITP177" s="210"/>
      <c r="ITQ177" s="209"/>
      <c r="ITR177" s="204"/>
      <c r="ITS177" s="204"/>
      <c r="ITT177" s="204"/>
      <c r="ITU177" s="199"/>
      <c r="ITV177" s="167"/>
      <c r="ITW177" s="199"/>
      <c r="ITX177" s="200"/>
      <c r="ITY177" s="201"/>
      <c r="ITZ177" s="202"/>
      <c r="IUA177" s="202"/>
      <c r="IUB177" s="202"/>
      <c r="IUC177" s="202"/>
      <c r="IUD177" s="203"/>
      <c r="IUE177" s="204"/>
      <c r="IUF177" s="204"/>
      <c r="IUG177" s="204"/>
      <c r="IUH177" s="205"/>
      <c r="IUI177" s="206"/>
      <c r="IUJ177" s="207"/>
      <c r="IUK177" s="207"/>
      <c r="IUL177" s="208"/>
      <c r="IUM177" s="209"/>
      <c r="IUN177" s="207"/>
      <c r="IUO177" s="210"/>
      <c r="IUP177" s="209"/>
      <c r="IUQ177" s="204"/>
      <c r="IUR177" s="204"/>
      <c r="IUS177" s="204"/>
      <c r="IUT177" s="199"/>
      <c r="IUU177" s="167"/>
      <c r="IUV177" s="199"/>
      <c r="IUW177" s="200"/>
      <c r="IUX177" s="201"/>
      <c r="IUY177" s="202"/>
      <c r="IUZ177" s="202"/>
      <c r="IVA177" s="202"/>
      <c r="IVB177" s="202"/>
      <c r="IVC177" s="203"/>
      <c r="IVD177" s="204"/>
      <c r="IVE177" s="204"/>
      <c r="IVF177" s="204"/>
      <c r="IVG177" s="205"/>
      <c r="IVH177" s="206"/>
      <c r="IVI177" s="207"/>
      <c r="IVJ177" s="207"/>
      <c r="IVK177" s="208"/>
      <c r="IVL177" s="209"/>
      <c r="IVM177" s="207"/>
      <c r="IVN177" s="210"/>
      <c r="IVO177" s="209"/>
      <c r="IVP177" s="204"/>
      <c r="IVQ177" s="204"/>
      <c r="IVR177" s="204"/>
      <c r="IVS177" s="199"/>
      <c r="IVT177" s="167"/>
      <c r="IVU177" s="199"/>
      <c r="IVV177" s="200"/>
      <c r="IVW177" s="201"/>
      <c r="IVX177" s="202"/>
      <c r="IVY177" s="202"/>
      <c r="IVZ177" s="202"/>
      <c r="IWA177" s="202"/>
      <c r="IWB177" s="203"/>
      <c r="IWC177" s="204"/>
      <c r="IWD177" s="204"/>
      <c r="IWE177" s="204"/>
      <c r="IWF177" s="205"/>
      <c r="IWG177" s="206"/>
      <c r="IWH177" s="207"/>
      <c r="IWI177" s="207"/>
      <c r="IWJ177" s="208"/>
      <c r="IWK177" s="209"/>
      <c r="IWL177" s="207"/>
      <c r="IWM177" s="210"/>
      <c r="IWN177" s="209"/>
      <c r="IWO177" s="204"/>
      <c r="IWP177" s="204"/>
      <c r="IWQ177" s="204"/>
      <c r="IWR177" s="199"/>
      <c r="IWS177" s="167"/>
      <c r="IWT177" s="199"/>
      <c r="IWU177" s="200"/>
      <c r="IWV177" s="201"/>
      <c r="IWW177" s="202"/>
      <c r="IWX177" s="202"/>
      <c r="IWY177" s="202"/>
      <c r="IWZ177" s="202"/>
      <c r="IXA177" s="203"/>
      <c r="IXB177" s="204"/>
      <c r="IXC177" s="204"/>
      <c r="IXD177" s="204"/>
      <c r="IXE177" s="205"/>
      <c r="IXF177" s="206"/>
      <c r="IXG177" s="207"/>
      <c r="IXH177" s="207"/>
      <c r="IXI177" s="208"/>
      <c r="IXJ177" s="209"/>
      <c r="IXK177" s="207"/>
      <c r="IXL177" s="210"/>
      <c r="IXM177" s="209"/>
      <c r="IXN177" s="204"/>
      <c r="IXO177" s="204"/>
      <c r="IXP177" s="204"/>
      <c r="IXQ177" s="199"/>
      <c r="IXR177" s="167"/>
      <c r="IXS177" s="199"/>
      <c r="IXT177" s="200"/>
      <c r="IXU177" s="201"/>
      <c r="IXV177" s="202"/>
      <c r="IXW177" s="202"/>
      <c r="IXX177" s="202"/>
      <c r="IXY177" s="202"/>
      <c r="IXZ177" s="203"/>
      <c r="IYA177" s="204"/>
      <c r="IYB177" s="204"/>
      <c r="IYC177" s="204"/>
      <c r="IYD177" s="205"/>
      <c r="IYE177" s="206"/>
      <c r="IYF177" s="207"/>
      <c r="IYG177" s="207"/>
      <c r="IYH177" s="208"/>
      <c r="IYI177" s="209"/>
      <c r="IYJ177" s="207"/>
      <c r="IYK177" s="210"/>
      <c r="IYL177" s="209"/>
      <c r="IYM177" s="204"/>
      <c r="IYN177" s="204"/>
      <c r="IYO177" s="204"/>
      <c r="IYP177" s="199"/>
      <c r="IYQ177" s="167"/>
      <c r="IYR177" s="199"/>
      <c r="IYS177" s="200"/>
      <c r="IYT177" s="201"/>
      <c r="IYU177" s="202"/>
      <c r="IYV177" s="202"/>
      <c r="IYW177" s="202"/>
      <c r="IYX177" s="202"/>
      <c r="IYY177" s="203"/>
      <c r="IYZ177" s="204"/>
      <c r="IZA177" s="204"/>
      <c r="IZB177" s="204"/>
      <c r="IZC177" s="205"/>
      <c r="IZD177" s="206"/>
      <c r="IZE177" s="207"/>
      <c r="IZF177" s="207"/>
      <c r="IZG177" s="208"/>
      <c r="IZH177" s="209"/>
      <c r="IZI177" s="207"/>
      <c r="IZJ177" s="210"/>
      <c r="IZK177" s="209"/>
      <c r="IZL177" s="204"/>
      <c r="IZM177" s="204"/>
      <c r="IZN177" s="204"/>
      <c r="IZO177" s="199"/>
      <c r="IZP177" s="167"/>
      <c r="IZQ177" s="199"/>
      <c r="IZR177" s="200"/>
      <c r="IZS177" s="201"/>
      <c r="IZT177" s="202"/>
      <c r="IZU177" s="202"/>
      <c r="IZV177" s="202"/>
      <c r="IZW177" s="202"/>
      <c r="IZX177" s="203"/>
      <c r="IZY177" s="204"/>
      <c r="IZZ177" s="204"/>
      <c r="JAA177" s="204"/>
      <c r="JAB177" s="205"/>
      <c r="JAC177" s="206"/>
      <c r="JAD177" s="207"/>
      <c r="JAE177" s="207"/>
      <c r="JAF177" s="208"/>
      <c r="JAG177" s="209"/>
      <c r="JAH177" s="207"/>
      <c r="JAI177" s="210"/>
      <c r="JAJ177" s="209"/>
      <c r="JAK177" s="204"/>
      <c r="JAL177" s="204"/>
      <c r="JAM177" s="204"/>
      <c r="JAN177" s="199"/>
      <c r="JAO177" s="167"/>
      <c r="JAP177" s="199"/>
      <c r="JAQ177" s="200"/>
      <c r="JAR177" s="201"/>
      <c r="JAS177" s="202"/>
      <c r="JAT177" s="202"/>
      <c r="JAU177" s="202"/>
      <c r="JAV177" s="202"/>
      <c r="JAW177" s="203"/>
      <c r="JAX177" s="204"/>
      <c r="JAY177" s="204"/>
      <c r="JAZ177" s="204"/>
      <c r="JBA177" s="205"/>
      <c r="JBB177" s="206"/>
      <c r="JBC177" s="207"/>
      <c r="JBD177" s="207"/>
      <c r="JBE177" s="208"/>
      <c r="JBF177" s="209"/>
      <c r="JBG177" s="207"/>
      <c r="JBH177" s="210"/>
      <c r="JBI177" s="209"/>
      <c r="JBJ177" s="204"/>
      <c r="JBK177" s="204"/>
      <c r="JBL177" s="204"/>
      <c r="JBM177" s="199"/>
      <c r="JBN177" s="167"/>
      <c r="JBO177" s="199"/>
      <c r="JBP177" s="200"/>
      <c r="JBQ177" s="201"/>
      <c r="JBR177" s="202"/>
      <c r="JBS177" s="202"/>
      <c r="JBT177" s="202"/>
      <c r="JBU177" s="202"/>
      <c r="JBV177" s="203"/>
      <c r="JBW177" s="204"/>
      <c r="JBX177" s="204"/>
      <c r="JBY177" s="204"/>
      <c r="JBZ177" s="205"/>
      <c r="JCA177" s="206"/>
      <c r="JCB177" s="207"/>
      <c r="JCC177" s="207"/>
      <c r="JCD177" s="208"/>
      <c r="JCE177" s="209"/>
      <c r="JCF177" s="207"/>
      <c r="JCG177" s="210"/>
      <c r="JCH177" s="209"/>
      <c r="JCI177" s="204"/>
      <c r="JCJ177" s="204"/>
      <c r="JCK177" s="204"/>
      <c r="JCL177" s="199"/>
      <c r="JCM177" s="167"/>
      <c r="JCN177" s="199"/>
      <c r="JCO177" s="200"/>
      <c r="JCP177" s="201"/>
      <c r="JCQ177" s="202"/>
      <c r="JCR177" s="202"/>
      <c r="JCS177" s="202"/>
      <c r="JCT177" s="202"/>
      <c r="JCU177" s="203"/>
      <c r="JCV177" s="204"/>
      <c r="JCW177" s="204"/>
      <c r="JCX177" s="204"/>
      <c r="JCY177" s="205"/>
      <c r="JCZ177" s="206"/>
      <c r="JDA177" s="207"/>
      <c r="JDB177" s="207"/>
      <c r="JDC177" s="208"/>
      <c r="JDD177" s="209"/>
      <c r="JDE177" s="207"/>
      <c r="JDF177" s="210"/>
      <c r="JDG177" s="209"/>
      <c r="JDH177" s="204"/>
      <c r="JDI177" s="204"/>
      <c r="JDJ177" s="204"/>
      <c r="JDK177" s="199"/>
      <c r="JDL177" s="167"/>
      <c r="JDM177" s="199"/>
      <c r="JDN177" s="200"/>
      <c r="JDO177" s="201"/>
      <c r="JDP177" s="202"/>
      <c r="JDQ177" s="202"/>
      <c r="JDR177" s="202"/>
      <c r="JDS177" s="202"/>
      <c r="JDT177" s="203"/>
      <c r="JDU177" s="204"/>
      <c r="JDV177" s="204"/>
      <c r="JDW177" s="204"/>
      <c r="JDX177" s="205"/>
      <c r="JDY177" s="206"/>
      <c r="JDZ177" s="207"/>
      <c r="JEA177" s="207"/>
      <c r="JEB177" s="208"/>
      <c r="JEC177" s="209"/>
      <c r="JED177" s="207"/>
      <c r="JEE177" s="210"/>
      <c r="JEF177" s="209"/>
      <c r="JEG177" s="204"/>
      <c r="JEH177" s="204"/>
      <c r="JEI177" s="204"/>
      <c r="JEJ177" s="199"/>
      <c r="JEK177" s="167"/>
      <c r="JEL177" s="199"/>
      <c r="JEM177" s="200"/>
      <c r="JEN177" s="201"/>
      <c r="JEO177" s="202"/>
      <c r="JEP177" s="202"/>
      <c r="JEQ177" s="202"/>
      <c r="JER177" s="202"/>
      <c r="JES177" s="203"/>
      <c r="JET177" s="204"/>
      <c r="JEU177" s="204"/>
      <c r="JEV177" s="204"/>
      <c r="JEW177" s="205"/>
      <c r="JEX177" s="206"/>
      <c r="JEY177" s="207"/>
      <c r="JEZ177" s="207"/>
      <c r="JFA177" s="208"/>
      <c r="JFB177" s="209"/>
      <c r="JFC177" s="207"/>
      <c r="JFD177" s="210"/>
      <c r="JFE177" s="209"/>
      <c r="JFF177" s="204"/>
      <c r="JFG177" s="204"/>
      <c r="JFH177" s="204"/>
      <c r="JFI177" s="199"/>
      <c r="JFJ177" s="167"/>
      <c r="JFK177" s="199"/>
      <c r="JFL177" s="200"/>
      <c r="JFM177" s="201"/>
      <c r="JFN177" s="202"/>
      <c r="JFO177" s="202"/>
      <c r="JFP177" s="202"/>
      <c r="JFQ177" s="202"/>
      <c r="JFR177" s="203"/>
      <c r="JFS177" s="204"/>
      <c r="JFT177" s="204"/>
      <c r="JFU177" s="204"/>
      <c r="JFV177" s="205"/>
      <c r="JFW177" s="206"/>
      <c r="JFX177" s="207"/>
      <c r="JFY177" s="207"/>
      <c r="JFZ177" s="208"/>
      <c r="JGA177" s="209"/>
      <c r="JGB177" s="207"/>
      <c r="JGC177" s="210"/>
      <c r="JGD177" s="209"/>
      <c r="JGE177" s="204"/>
      <c r="JGF177" s="204"/>
      <c r="JGG177" s="204"/>
      <c r="JGH177" s="199"/>
      <c r="JGI177" s="167"/>
      <c r="JGJ177" s="199"/>
      <c r="JGK177" s="200"/>
      <c r="JGL177" s="201"/>
      <c r="JGM177" s="202"/>
      <c r="JGN177" s="202"/>
      <c r="JGO177" s="202"/>
      <c r="JGP177" s="202"/>
      <c r="JGQ177" s="203"/>
      <c r="JGR177" s="204"/>
      <c r="JGS177" s="204"/>
      <c r="JGT177" s="204"/>
      <c r="JGU177" s="205"/>
      <c r="JGV177" s="206"/>
      <c r="JGW177" s="207"/>
      <c r="JGX177" s="207"/>
      <c r="JGY177" s="208"/>
      <c r="JGZ177" s="209"/>
      <c r="JHA177" s="207"/>
      <c r="JHB177" s="210"/>
      <c r="JHC177" s="209"/>
      <c r="JHD177" s="204"/>
      <c r="JHE177" s="204"/>
      <c r="JHF177" s="204"/>
      <c r="JHG177" s="199"/>
      <c r="JHH177" s="167"/>
      <c r="JHI177" s="199"/>
      <c r="JHJ177" s="200"/>
      <c r="JHK177" s="201"/>
      <c r="JHL177" s="202"/>
      <c r="JHM177" s="202"/>
      <c r="JHN177" s="202"/>
      <c r="JHO177" s="202"/>
      <c r="JHP177" s="203"/>
      <c r="JHQ177" s="204"/>
      <c r="JHR177" s="204"/>
      <c r="JHS177" s="204"/>
      <c r="JHT177" s="205"/>
      <c r="JHU177" s="206"/>
      <c r="JHV177" s="207"/>
      <c r="JHW177" s="207"/>
      <c r="JHX177" s="208"/>
      <c r="JHY177" s="209"/>
      <c r="JHZ177" s="207"/>
      <c r="JIA177" s="210"/>
      <c r="JIB177" s="209"/>
      <c r="JIC177" s="204"/>
      <c r="JID177" s="204"/>
      <c r="JIE177" s="204"/>
      <c r="JIF177" s="199"/>
      <c r="JIG177" s="167"/>
      <c r="JIH177" s="199"/>
      <c r="JII177" s="200"/>
      <c r="JIJ177" s="201"/>
      <c r="JIK177" s="202"/>
      <c r="JIL177" s="202"/>
      <c r="JIM177" s="202"/>
      <c r="JIN177" s="202"/>
      <c r="JIO177" s="203"/>
      <c r="JIP177" s="204"/>
      <c r="JIQ177" s="204"/>
      <c r="JIR177" s="204"/>
      <c r="JIS177" s="205"/>
      <c r="JIT177" s="206"/>
      <c r="JIU177" s="207"/>
      <c r="JIV177" s="207"/>
      <c r="JIW177" s="208"/>
      <c r="JIX177" s="209"/>
      <c r="JIY177" s="207"/>
      <c r="JIZ177" s="210"/>
      <c r="JJA177" s="209"/>
      <c r="JJB177" s="204"/>
      <c r="JJC177" s="204"/>
      <c r="JJD177" s="204"/>
      <c r="JJE177" s="199"/>
      <c r="JJF177" s="167"/>
      <c r="JJG177" s="199"/>
      <c r="JJH177" s="200"/>
      <c r="JJI177" s="201"/>
      <c r="JJJ177" s="202"/>
      <c r="JJK177" s="202"/>
      <c r="JJL177" s="202"/>
      <c r="JJM177" s="202"/>
      <c r="JJN177" s="203"/>
      <c r="JJO177" s="204"/>
      <c r="JJP177" s="204"/>
      <c r="JJQ177" s="204"/>
      <c r="JJR177" s="205"/>
      <c r="JJS177" s="206"/>
      <c r="JJT177" s="207"/>
      <c r="JJU177" s="207"/>
      <c r="JJV177" s="208"/>
      <c r="JJW177" s="209"/>
      <c r="JJX177" s="207"/>
      <c r="JJY177" s="210"/>
      <c r="JJZ177" s="209"/>
      <c r="JKA177" s="204"/>
      <c r="JKB177" s="204"/>
      <c r="JKC177" s="204"/>
      <c r="JKD177" s="199"/>
      <c r="JKE177" s="167"/>
      <c r="JKF177" s="199"/>
      <c r="JKG177" s="200"/>
      <c r="JKH177" s="201"/>
      <c r="JKI177" s="202"/>
      <c r="JKJ177" s="202"/>
      <c r="JKK177" s="202"/>
      <c r="JKL177" s="202"/>
      <c r="JKM177" s="203"/>
      <c r="JKN177" s="204"/>
      <c r="JKO177" s="204"/>
      <c r="JKP177" s="204"/>
      <c r="JKQ177" s="205"/>
      <c r="JKR177" s="206"/>
      <c r="JKS177" s="207"/>
      <c r="JKT177" s="207"/>
      <c r="JKU177" s="208"/>
      <c r="JKV177" s="209"/>
      <c r="JKW177" s="207"/>
      <c r="JKX177" s="210"/>
      <c r="JKY177" s="209"/>
      <c r="JKZ177" s="204"/>
      <c r="JLA177" s="204"/>
      <c r="JLB177" s="204"/>
      <c r="JLC177" s="199"/>
      <c r="JLD177" s="167"/>
      <c r="JLE177" s="199"/>
      <c r="JLF177" s="200"/>
      <c r="JLG177" s="201"/>
      <c r="JLH177" s="202"/>
      <c r="JLI177" s="202"/>
      <c r="JLJ177" s="202"/>
      <c r="JLK177" s="202"/>
      <c r="JLL177" s="203"/>
      <c r="JLM177" s="204"/>
      <c r="JLN177" s="204"/>
      <c r="JLO177" s="204"/>
      <c r="JLP177" s="205"/>
      <c r="JLQ177" s="206"/>
      <c r="JLR177" s="207"/>
      <c r="JLS177" s="207"/>
      <c r="JLT177" s="208"/>
      <c r="JLU177" s="209"/>
      <c r="JLV177" s="207"/>
      <c r="JLW177" s="210"/>
      <c r="JLX177" s="209"/>
      <c r="JLY177" s="204"/>
      <c r="JLZ177" s="204"/>
      <c r="JMA177" s="204"/>
      <c r="JMB177" s="199"/>
      <c r="JMC177" s="167"/>
      <c r="JMD177" s="199"/>
      <c r="JME177" s="200"/>
      <c r="JMF177" s="201"/>
      <c r="JMG177" s="202"/>
      <c r="JMH177" s="202"/>
      <c r="JMI177" s="202"/>
      <c r="JMJ177" s="202"/>
      <c r="JMK177" s="203"/>
      <c r="JML177" s="204"/>
      <c r="JMM177" s="204"/>
      <c r="JMN177" s="204"/>
      <c r="JMO177" s="205"/>
      <c r="JMP177" s="206"/>
      <c r="JMQ177" s="207"/>
      <c r="JMR177" s="207"/>
      <c r="JMS177" s="208"/>
      <c r="JMT177" s="209"/>
      <c r="JMU177" s="207"/>
      <c r="JMV177" s="210"/>
      <c r="JMW177" s="209"/>
      <c r="JMX177" s="204"/>
      <c r="JMY177" s="204"/>
      <c r="JMZ177" s="204"/>
      <c r="JNA177" s="199"/>
      <c r="JNB177" s="167"/>
      <c r="JNC177" s="199"/>
      <c r="JND177" s="200"/>
      <c r="JNE177" s="201"/>
      <c r="JNF177" s="202"/>
      <c r="JNG177" s="202"/>
      <c r="JNH177" s="202"/>
      <c r="JNI177" s="202"/>
      <c r="JNJ177" s="203"/>
      <c r="JNK177" s="204"/>
      <c r="JNL177" s="204"/>
      <c r="JNM177" s="204"/>
      <c r="JNN177" s="205"/>
      <c r="JNO177" s="206"/>
      <c r="JNP177" s="207"/>
      <c r="JNQ177" s="207"/>
      <c r="JNR177" s="208"/>
      <c r="JNS177" s="209"/>
      <c r="JNT177" s="207"/>
      <c r="JNU177" s="210"/>
      <c r="JNV177" s="209"/>
      <c r="JNW177" s="204"/>
      <c r="JNX177" s="204"/>
      <c r="JNY177" s="204"/>
      <c r="JNZ177" s="199"/>
      <c r="JOA177" s="167"/>
      <c r="JOB177" s="199"/>
      <c r="JOC177" s="200"/>
      <c r="JOD177" s="201"/>
      <c r="JOE177" s="202"/>
      <c r="JOF177" s="202"/>
      <c r="JOG177" s="202"/>
      <c r="JOH177" s="202"/>
      <c r="JOI177" s="203"/>
      <c r="JOJ177" s="204"/>
      <c r="JOK177" s="204"/>
      <c r="JOL177" s="204"/>
      <c r="JOM177" s="205"/>
      <c r="JON177" s="206"/>
      <c r="JOO177" s="207"/>
      <c r="JOP177" s="207"/>
      <c r="JOQ177" s="208"/>
      <c r="JOR177" s="209"/>
      <c r="JOS177" s="207"/>
      <c r="JOT177" s="210"/>
      <c r="JOU177" s="209"/>
      <c r="JOV177" s="204"/>
      <c r="JOW177" s="204"/>
      <c r="JOX177" s="204"/>
      <c r="JOY177" s="199"/>
      <c r="JOZ177" s="167"/>
      <c r="JPA177" s="199"/>
      <c r="JPB177" s="200"/>
      <c r="JPC177" s="201"/>
      <c r="JPD177" s="202"/>
      <c r="JPE177" s="202"/>
      <c r="JPF177" s="202"/>
      <c r="JPG177" s="202"/>
      <c r="JPH177" s="203"/>
      <c r="JPI177" s="204"/>
      <c r="JPJ177" s="204"/>
      <c r="JPK177" s="204"/>
      <c r="JPL177" s="205"/>
      <c r="JPM177" s="206"/>
      <c r="JPN177" s="207"/>
      <c r="JPO177" s="207"/>
      <c r="JPP177" s="208"/>
      <c r="JPQ177" s="209"/>
      <c r="JPR177" s="207"/>
      <c r="JPS177" s="210"/>
      <c r="JPT177" s="209"/>
      <c r="JPU177" s="204"/>
      <c r="JPV177" s="204"/>
      <c r="JPW177" s="204"/>
      <c r="JPX177" s="199"/>
      <c r="JPY177" s="167"/>
      <c r="JPZ177" s="199"/>
      <c r="JQA177" s="200"/>
      <c r="JQB177" s="201"/>
      <c r="JQC177" s="202"/>
      <c r="JQD177" s="202"/>
      <c r="JQE177" s="202"/>
      <c r="JQF177" s="202"/>
      <c r="JQG177" s="203"/>
      <c r="JQH177" s="204"/>
      <c r="JQI177" s="204"/>
      <c r="JQJ177" s="204"/>
      <c r="JQK177" s="205"/>
      <c r="JQL177" s="206"/>
      <c r="JQM177" s="207"/>
      <c r="JQN177" s="207"/>
      <c r="JQO177" s="208"/>
      <c r="JQP177" s="209"/>
      <c r="JQQ177" s="207"/>
      <c r="JQR177" s="210"/>
      <c r="JQS177" s="209"/>
      <c r="JQT177" s="204"/>
      <c r="JQU177" s="204"/>
      <c r="JQV177" s="204"/>
      <c r="JQW177" s="199"/>
      <c r="JQX177" s="167"/>
      <c r="JQY177" s="199"/>
      <c r="JQZ177" s="200"/>
      <c r="JRA177" s="201"/>
      <c r="JRB177" s="202"/>
      <c r="JRC177" s="202"/>
      <c r="JRD177" s="202"/>
      <c r="JRE177" s="202"/>
      <c r="JRF177" s="203"/>
      <c r="JRG177" s="204"/>
      <c r="JRH177" s="204"/>
      <c r="JRI177" s="204"/>
      <c r="JRJ177" s="205"/>
      <c r="JRK177" s="206"/>
      <c r="JRL177" s="207"/>
      <c r="JRM177" s="207"/>
      <c r="JRN177" s="208"/>
      <c r="JRO177" s="209"/>
      <c r="JRP177" s="207"/>
      <c r="JRQ177" s="210"/>
      <c r="JRR177" s="209"/>
      <c r="JRS177" s="204"/>
      <c r="JRT177" s="204"/>
      <c r="JRU177" s="204"/>
      <c r="JRV177" s="199"/>
      <c r="JRW177" s="167"/>
      <c r="JRX177" s="199"/>
      <c r="JRY177" s="200"/>
      <c r="JRZ177" s="201"/>
      <c r="JSA177" s="202"/>
      <c r="JSB177" s="202"/>
      <c r="JSC177" s="202"/>
      <c r="JSD177" s="202"/>
      <c r="JSE177" s="203"/>
      <c r="JSF177" s="204"/>
      <c r="JSG177" s="204"/>
      <c r="JSH177" s="204"/>
      <c r="JSI177" s="205"/>
      <c r="JSJ177" s="206"/>
      <c r="JSK177" s="207"/>
      <c r="JSL177" s="207"/>
      <c r="JSM177" s="208"/>
      <c r="JSN177" s="209"/>
      <c r="JSO177" s="207"/>
      <c r="JSP177" s="210"/>
      <c r="JSQ177" s="209"/>
      <c r="JSR177" s="204"/>
      <c r="JSS177" s="204"/>
      <c r="JST177" s="204"/>
      <c r="JSU177" s="199"/>
      <c r="JSV177" s="167"/>
      <c r="JSW177" s="199"/>
      <c r="JSX177" s="200"/>
      <c r="JSY177" s="201"/>
      <c r="JSZ177" s="202"/>
      <c r="JTA177" s="202"/>
      <c r="JTB177" s="202"/>
      <c r="JTC177" s="202"/>
      <c r="JTD177" s="203"/>
      <c r="JTE177" s="204"/>
      <c r="JTF177" s="204"/>
      <c r="JTG177" s="204"/>
      <c r="JTH177" s="205"/>
      <c r="JTI177" s="206"/>
      <c r="JTJ177" s="207"/>
      <c r="JTK177" s="207"/>
      <c r="JTL177" s="208"/>
      <c r="JTM177" s="209"/>
      <c r="JTN177" s="207"/>
      <c r="JTO177" s="210"/>
      <c r="JTP177" s="209"/>
      <c r="JTQ177" s="204"/>
      <c r="JTR177" s="204"/>
      <c r="JTS177" s="204"/>
      <c r="JTT177" s="199"/>
      <c r="JTU177" s="167"/>
      <c r="JTV177" s="199"/>
      <c r="JTW177" s="200"/>
      <c r="JTX177" s="201"/>
      <c r="JTY177" s="202"/>
      <c r="JTZ177" s="202"/>
      <c r="JUA177" s="202"/>
      <c r="JUB177" s="202"/>
      <c r="JUC177" s="203"/>
      <c r="JUD177" s="204"/>
      <c r="JUE177" s="204"/>
      <c r="JUF177" s="204"/>
      <c r="JUG177" s="205"/>
      <c r="JUH177" s="206"/>
      <c r="JUI177" s="207"/>
      <c r="JUJ177" s="207"/>
      <c r="JUK177" s="208"/>
      <c r="JUL177" s="209"/>
      <c r="JUM177" s="207"/>
      <c r="JUN177" s="210"/>
      <c r="JUO177" s="209"/>
      <c r="JUP177" s="204"/>
      <c r="JUQ177" s="204"/>
      <c r="JUR177" s="204"/>
      <c r="JUS177" s="199"/>
      <c r="JUT177" s="167"/>
      <c r="JUU177" s="199"/>
      <c r="JUV177" s="200"/>
      <c r="JUW177" s="201"/>
      <c r="JUX177" s="202"/>
      <c r="JUY177" s="202"/>
      <c r="JUZ177" s="202"/>
      <c r="JVA177" s="202"/>
      <c r="JVB177" s="203"/>
      <c r="JVC177" s="204"/>
      <c r="JVD177" s="204"/>
      <c r="JVE177" s="204"/>
      <c r="JVF177" s="205"/>
      <c r="JVG177" s="206"/>
      <c r="JVH177" s="207"/>
      <c r="JVI177" s="207"/>
      <c r="JVJ177" s="208"/>
      <c r="JVK177" s="209"/>
      <c r="JVL177" s="207"/>
      <c r="JVM177" s="210"/>
      <c r="JVN177" s="209"/>
      <c r="JVO177" s="204"/>
      <c r="JVP177" s="204"/>
      <c r="JVQ177" s="204"/>
      <c r="JVR177" s="199"/>
      <c r="JVS177" s="167"/>
      <c r="JVT177" s="199"/>
      <c r="JVU177" s="200"/>
      <c r="JVV177" s="201"/>
      <c r="JVW177" s="202"/>
      <c r="JVX177" s="202"/>
      <c r="JVY177" s="202"/>
      <c r="JVZ177" s="202"/>
      <c r="JWA177" s="203"/>
      <c r="JWB177" s="204"/>
      <c r="JWC177" s="204"/>
      <c r="JWD177" s="204"/>
      <c r="JWE177" s="205"/>
      <c r="JWF177" s="206"/>
      <c r="JWG177" s="207"/>
      <c r="JWH177" s="207"/>
      <c r="JWI177" s="208"/>
      <c r="JWJ177" s="209"/>
      <c r="JWK177" s="207"/>
      <c r="JWL177" s="210"/>
      <c r="JWM177" s="209"/>
      <c r="JWN177" s="204"/>
      <c r="JWO177" s="204"/>
      <c r="JWP177" s="204"/>
      <c r="JWQ177" s="199"/>
      <c r="JWR177" s="167"/>
      <c r="JWS177" s="199"/>
      <c r="JWT177" s="200"/>
      <c r="JWU177" s="201"/>
      <c r="JWV177" s="202"/>
      <c r="JWW177" s="202"/>
      <c r="JWX177" s="202"/>
      <c r="JWY177" s="202"/>
      <c r="JWZ177" s="203"/>
      <c r="JXA177" s="204"/>
      <c r="JXB177" s="204"/>
      <c r="JXC177" s="204"/>
      <c r="JXD177" s="205"/>
      <c r="JXE177" s="206"/>
      <c r="JXF177" s="207"/>
      <c r="JXG177" s="207"/>
      <c r="JXH177" s="208"/>
      <c r="JXI177" s="209"/>
      <c r="JXJ177" s="207"/>
      <c r="JXK177" s="210"/>
      <c r="JXL177" s="209"/>
      <c r="JXM177" s="204"/>
      <c r="JXN177" s="204"/>
      <c r="JXO177" s="204"/>
      <c r="JXP177" s="199"/>
      <c r="JXQ177" s="167"/>
      <c r="JXR177" s="199"/>
      <c r="JXS177" s="200"/>
      <c r="JXT177" s="201"/>
      <c r="JXU177" s="202"/>
      <c r="JXV177" s="202"/>
      <c r="JXW177" s="202"/>
      <c r="JXX177" s="202"/>
      <c r="JXY177" s="203"/>
      <c r="JXZ177" s="204"/>
      <c r="JYA177" s="204"/>
      <c r="JYB177" s="204"/>
      <c r="JYC177" s="205"/>
      <c r="JYD177" s="206"/>
      <c r="JYE177" s="207"/>
      <c r="JYF177" s="207"/>
      <c r="JYG177" s="208"/>
      <c r="JYH177" s="209"/>
      <c r="JYI177" s="207"/>
      <c r="JYJ177" s="210"/>
      <c r="JYK177" s="209"/>
      <c r="JYL177" s="204"/>
      <c r="JYM177" s="204"/>
      <c r="JYN177" s="204"/>
      <c r="JYO177" s="199"/>
      <c r="JYP177" s="167"/>
      <c r="JYQ177" s="199"/>
      <c r="JYR177" s="200"/>
      <c r="JYS177" s="201"/>
      <c r="JYT177" s="202"/>
      <c r="JYU177" s="202"/>
      <c r="JYV177" s="202"/>
      <c r="JYW177" s="202"/>
      <c r="JYX177" s="203"/>
      <c r="JYY177" s="204"/>
      <c r="JYZ177" s="204"/>
      <c r="JZA177" s="204"/>
      <c r="JZB177" s="205"/>
      <c r="JZC177" s="206"/>
      <c r="JZD177" s="207"/>
      <c r="JZE177" s="207"/>
      <c r="JZF177" s="208"/>
      <c r="JZG177" s="209"/>
      <c r="JZH177" s="207"/>
      <c r="JZI177" s="210"/>
      <c r="JZJ177" s="209"/>
      <c r="JZK177" s="204"/>
      <c r="JZL177" s="204"/>
      <c r="JZM177" s="204"/>
      <c r="JZN177" s="199"/>
      <c r="JZO177" s="167"/>
      <c r="JZP177" s="199"/>
      <c r="JZQ177" s="200"/>
      <c r="JZR177" s="201"/>
      <c r="JZS177" s="202"/>
      <c r="JZT177" s="202"/>
      <c r="JZU177" s="202"/>
      <c r="JZV177" s="202"/>
      <c r="JZW177" s="203"/>
      <c r="JZX177" s="204"/>
      <c r="JZY177" s="204"/>
      <c r="JZZ177" s="204"/>
      <c r="KAA177" s="205"/>
      <c r="KAB177" s="206"/>
      <c r="KAC177" s="207"/>
      <c r="KAD177" s="207"/>
      <c r="KAE177" s="208"/>
      <c r="KAF177" s="209"/>
      <c r="KAG177" s="207"/>
      <c r="KAH177" s="210"/>
      <c r="KAI177" s="209"/>
      <c r="KAJ177" s="204"/>
      <c r="KAK177" s="204"/>
      <c r="KAL177" s="204"/>
      <c r="KAM177" s="199"/>
      <c r="KAN177" s="167"/>
      <c r="KAO177" s="199"/>
      <c r="KAP177" s="200"/>
      <c r="KAQ177" s="201"/>
      <c r="KAR177" s="202"/>
      <c r="KAS177" s="202"/>
      <c r="KAT177" s="202"/>
      <c r="KAU177" s="202"/>
      <c r="KAV177" s="203"/>
      <c r="KAW177" s="204"/>
      <c r="KAX177" s="204"/>
      <c r="KAY177" s="204"/>
      <c r="KAZ177" s="205"/>
      <c r="KBA177" s="206"/>
      <c r="KBB177" s="207"/>
      <c r="KBC177" s="207"/>
      <c r="KBD177" s="208"/>
      <c r="KBE177" s="209"/>
      <c r="KBF177" s="207"/>
      <c r="KBG177" s="210"/>
      <c r="KBH177" s="209"/>
      <c r="KBI177" s="204"/>
      <c r="KBJ177" s="204"/>
      <c r="KBK177" s="204"/>
      <c r="KBL177" s="199"/>
      <c r="KBM177" s="167"/>
      <c r="KBN177" s="199"/>
      <c r="KBO177" s="200"/>
      <c r="KBP177" s="201"/>
      <c r="KBQ177" s="202"/>
      <c r="KBR177" s="202"/>
      <c r="KBS177" s="202"/>
      <c r="KBT177" s="202"/>
      <c r="KBU177" s="203"/>
      <c r="KBV177" s="204"/>
      <c r="KBW177" s="204"/>
      <c r="KBX177" s="204"/>
      <c r="KBY177" s="205"/>
      <c r="KBZ177" s="206"/>
      <c r="KCA177" s="207"/>
      <c r="KCB177" s="207"/>
      <c r="KCC177" s="208"/>
      <c r="KCD177" s="209"/>
      <c r="KCE177" s="207"/>
      <c r="KCF177" s="210"/>
      <c r="KCG177" s="209"/>
      <c r="KCH177" s="204"/>
      <c r="KCI177" s="204"/>
      <c r="KCJ177" s="204"/>
      <c r="KCK177" s="199"/>
      <c r="KCL177" s="167"/>
      <c r="KCM177" s="199"/>
      <c r="KCN177" s="200"/>
      <c r="KCO177" s="201"/>
      <c r="KCP177" s="202"/>
      <c r="KCQ177" s="202"/>
      <c r="KCR177" s="202"/>
      <c r="KCS177" s="202"/>
      <c r="KCT177" s="203"/>
      <c r="KCU177" s="204"/>
      <c r="KCV177" s="204"/>
      <c r="KCW177" s="204"/>
      <c r="KCX177" s="205"/>
      <c r="KCY177" s="206"/>
      <c r="KCZ177" s="207"/>
      <c r="KDA177" s="207"/>
      <c r="KDB177" s="208"/>
      <c r="KDC177" s="209"/>
      <c r="KDD177" s="207"/>
      <c r="KDE177" s="210"/>
      <c r="KDF177" s="209"/>
      <c r="KDG177" s="204"/>
      <c r="KDH177" s="204"/>
      <c r="KDI177" s="204"/>
      <c r="KDJ177" s="199"/>
      <c r="KDK177" s="167"/>
      <c r="KDL177" s="199"/>
      <c r="KDM177" s="200"/>
      <c r="KDN177" s="201"/>
      <c r="KDO177" s="202"/>
      <c r="KDP177" s="202"/>
      <c r="KDQ177" s="202"/>
      <c r="KDR177" s="202"/>
      <c r="KDS177" s="203"/>
      <c r="KDT177" s="204"/>
      <c r="KDU177" s="204"/>
      <c r="KDV177" s="204"/>
      <c r="KDW177" s="205"/>
      <c r="KDX177" s="206"/>
      <c r="KDY177" s="207"/>
      <c r="KDZ177" s="207"/>
      <c r="KEA177" s="208"/>
      <c r="KEB177" s="209"/>
      <c r="KEC177" s="207"/>
      <c r="KED177" s="210"/>
      <c r="KEE177" s="209"/>
      <c r="KEF177" s="204"/>
      <c r="KEG177" s="204"/>
      <c r="KEH177" s="204"/>
      <c r="KEI177" s="199"/>
      <c r="KEJ177" s="167"/>
      <c r="KEK177" s="199"/>
      <c r="KEL177" s="200"/>
      <c r="KEM177" s="201"/>
      <c r="KEN177" s="202"/>
      <c r="KEO177" s="202"/>
      <c r="KEP177" s="202"/>
      <c r="KEQ177" s="202"/>
      <c r="KER177" s="203"/>
      <c r="KES177" s="204"/>
      <c r="KET177" s="204"/>
      <c r="KEU177" s="204"/>
      <c r="KEV177" s="205"/>
      <c r="KEW177" s="206"/>
      <c r="KEX177" s="207"/>
      <c r="KEY177" s="207"/>
      <c r="KEZ177" s="208"/>
      <c r="KFA177" s="209"/>
      <c r="KFB177" s="207"/>
      <c r="KFC177" s="210"/>
      <c r="KFD177" s="209"/>
      <c r="KFE177" s="204"/>
      <c r="KFF177" s="204"/>
      <c r="KFG177" s="204"/>
      <c r="KFH177" s="199"/>
      <c r="KFI177" s="167"/>
      <c r="KFJ177" s="199"/>
      <c r="KFK177" s="200"/>
      <c r="KFL177" s="201"/>
      <c r="KFM177" s="202"/>
      <c r="KFN177" s="202"/>
      <c r="KFO177" s="202"/>
      <c r="KFP177" s="202"/>
      <c r="KFQ177" s="203"/>
      <c r="KFR177" s="204"/>
      <c r="KFS177" s="204"/>
      <c r="KFT177" s="204"/>
      <c r="KFU177" s="205"/>
      <c r="KFV177" s="206"/>
      <c r="KFW177" s="207"/>
      <c r="KFX177" s="207"/>
      <c r="KFY177" s="208"/>
      <c r="KFZ177" s="209"/>
      <c r="KGA177" s="207"/>
      <c r="KGB177" s="210"/>
      <c r="KGC177" s="209"/>
      <c r="KGD177" s="204"/>
      <c r="KGE177" s="204"/>
      <c r="KGF177" s="204"/>
      <c r="KGG177" s="199"/>
      <c r="KGH177" s="167"/>
      <c r="KGI177" s="199"/>
      <c r="KGJ177" s="200"/>
      <c r="KGK177" s="201"/>
      <c r="KGL177" s="202"/>
      <c r="KGM177" s="202"/>
      <c r="KGN177" s="202"/>
      <c r="KGO177" s="202"/>
      <c r="KGP177" s="203"/>
      <c r="KGQ177" s="204"/>
      <c r="KGR177" s="204"/>
      <c r="KGS177" s="204"/>
      <c r="KGT177" s="205"/>
      <c r="KGU177" s="206"/>
      <c r="KGV177" s="207"/>
      <c r="KGW177" s="207"/>
      <c r="KGX177" s="208"/>
      <c r="KGY177" s="209"/>
      <c r="KGZ177" s="207"/>
      <c r="KHA177" s="210"/>
      <c r="KHB177" s="209"/>
      <c r="KHC177" s="204"/>
      <c r="KHD177" s="204"/>
      <c r="KHE177" s="204"/>
      <c r="KHF177" s="199"/>
      <c r="KHG177" s="167"/>
      <c r="KHH177" s="199"/>
      <c r="KHI177" s="200"/>
      <c r="KHJ177" s="201"/>
      <c r="KHK177" s="202"/>
      <c r="KHL177" s="202"/>
      <c r="KHM177" s="202"/>
      <c r="KHN177" s="202"/>
      <c r="KHO177" s="203"/>
      <c r="KHP177" s="204"/>
      <c r="KHQ177" s="204"/>
      <c r="KHR177" s="204"/>
      <c r="KHS177" s="205"/>
      <c r="KHT177" s="206"/>
      <c r="KHU177" s="207"/>
      <c r="KHV177" s="207"/>
      <c r="KHW177" s="208"/>
      <c r="KHX177" s="209"/>
      <c r="KHY177" s="207"/>
      <c r="KHZ177" s="210"/>
      <c r="KIA177" s="209"/>
      <c r="KIB177" s="204"/>
      <c r="KIC177" s="204"/>
      <c r="KID177" s="204"/>
      <c r="KIE177" s="199"/>
      <c r="KIF177" s="167"/>
      <c r="KIG177" s="199"/>
      <c r="KIH177" s="200"/>
      <c r="KII177" s="201"/>
      <c r="KIJ177" s="202"/>
      <c r="KIK177" s="202"/>
      <c r="KIL177" s="202"/>
      <c r="KIM177" s="202"/>
      <c r="KIN177" s="203"/>
      <c r="KIO177" s="204"/>
      <c r="KIP177" s="204"/>
      <c r="KIQ177" s="204"/>
      <c r="KIR177" s="205"/>
      <c r="KIS177" s="206"/>
      <c r="KIT177" s="207"/>
      <c r="KIU177" s="207"/>
      <c r="KIV177" s="208"/>
      <c r="KIW177" s="209"/>
      <c r="KIX177" s="207"/>
      <c r="KIY177" s="210"/>
      <c r="KIZ177" s="209"/>
      <c r="KJA177" s="204"/>
      <c r="KJB177" s="204"/>
      <c r="KJC177" s="204"/>
      <c r="KJD177" s="199"/>
      <c r="KJE177" s="167"/>
      <c r="KJF177" s="199"/>
      <c r="KJG177" s="200"/>
      <c r="KJH177" s="201"/>
      <c r="KJI177" s="202"/>
      <c r="KJJ177" s="202"/>
      <c r="KJK177" s="202"/>
      <c r="KJL177" s="202"/>
      <c r="KJM177" s="203"/>
      <c r="KJN177" s="204"/>
      <c r="KJO177" s="204"/>
      <c r="KJP177" s="204"/>
      <c r="KJQ177" s="205"/>
      <c r="KJR177" s="206"/>
      <c r="KJS177" s="207"/>
      <c r="KJT177" s="207"/>
      <c r="KJU177" s="208"/>
      <c r="KJV177" s="209"/>
      <c r="KJW177" s="207"/>
      <c r="KJX177" s="210"/>
      <c r="KJY177" s="209"/>
      <c r="KJZ177" s="204"/>
      <c r="KKA177" s="204"/>
      <c r="KKB177" s="204"/>
      <c r="KKC177" s="199"/>
      <c r="KKD177" s="167"/>
      <c r="KKE177" s="199"/>
      <c r="KKF177" s="200"/>
      <c r="KKG177" s="201"/>
      <c r="KKH177" s="202"/>
      <c r="KKI177" s="202"/>
      <c r="KKJ177" s="202"/>
      <c r="KKK177" s="202"/>
      <c r="KKL177" s="203"/>
      <c r="KKM177" s="204"/>
      <c r="KKN177" s="204"/>
      <c r="KKO177" s="204"/>
      <c r="KKP177" s="205"/>
      <c r="KKQ177" s="206"/>
      <c r="KKR177" s="207"/>
      <c r="KKS177" s="207"/>
      <c r="KKT177" s="208"/>
      <c r="KKU177" s="209"/>
      <c r="KKV177" s="207"/>
      <c r="KKW177" s="210"/>
      <c r="KKX177" s="209"/>
      <c r="KKY177" s="204"/>
      <c r="KKZ177" s="204"/>
      <c r="KLA177" s="204"/>
      <c r="KLB177" s="199"/>
      <c r="KLC177" s="167"/>
      <c r="KLD177" s="199"/>
      <c r="KLE177" s="200"/>
      <c r="KLF177" s="201"/>
      <c r="KLG177" s="202"/>
      <c r="KLH177" s="202"/>
      <c r="KLI177" s="202"/>
      <c r="KLJ177" s="202"/>
      <c r="KLK177" s="203"/>
      <c r="KLL177" s="204"/>
      <c r="KLM177" s="204"/>
      <c r="KLN177" s="204"/>
      <c r="KLO177" s="205"/>
      <c r="KLP177" s="206"/>
      <c r="KLQ177" s="207"/>
      <c r="KLR177" s="207"/>
      <c r="KLS177" s="208"/>
      <c r="KLT177" s="209"/>
      <c r="KLU177" s="207"/>
      <c r="KLV177" s="210"/>
      <c r="KLW177" s="209"/>
      <c r="KLX177" s="204"/>
      <c r="KLY177" s="204"/>
      <c r="KLZ177" s="204"/>
      <c r="KMA177" s="199"/>
      <c r="KMB177" s="167"/>
      <c r="KMC177" s="199"/>
      <c r="KMD177" s="200"/>
      <c r="KME177" s="201"/>
      <c r="KMF177" s="202"/>
      <c r="KMG177" s="202"/>
      <c r="KMH177" s="202"/>
      <c r="KMI177" s="202"/>
      <c r="KMJ177" s="203"/>
      <c r="KMK177" s="204"/>
      <c r="KML177" s="204"/>
      <c r="KMM177" s="204"/>
      <c r="KMN177" s="205"/>
      <c r="KMO177" s="206"/>
      <c r="KMP177" s="207"/>
      <c r="KMQ177" s="207"/>
      <c r="KMR177" s="208"/>
      <c r="KMS177" s="209"/>
      <c r="KMT177" s="207"/>
      <c r="KMU177" s="210"/>
      <c r="KMV177" s="209"/>
      <c r="KMW177" s="204"/>
      <c r="KMX177" s="204"/>
      <c r="KMY177" s="204"/>
      <c r="KMZ177" s="199"/>
      <c r="KNA177" s="167"/>
      <c r="KNB177" s="199"/>
      <c r="KNC177" s="200"/>
      <c r="KND177" s="201"/>
      <c r="KNE177" s="202"/>
      <c r="KNF177" s="202"/>
      <c r="KNG177" s="202"/>
      <c r="KNH177" s="202"/>
      <c r="KNI177" s="203"/>
      <c r="KNJ177" s="204"/>
      <c r="KNK177" s="204"/>
      <c r="KNL177" s="204"/>
      <c r="KNM177" s="205"/>
      <c r="KNN177" s="206"/>
      <c r="KNO177" s="207"/>
      <c r="KNP177" s="207"/>
      <c r="KNQ177" s="208"/>
      <c r="KNR177" s="209"/>
      <c r="KNS177" s="207"/>
      <c r="KNT177" s="210"/>
      <c r="KNU177" s="209"/>
      <c r="KNV177" s="204"/>
      <c r="KNW177" s="204"/>
      <c r="KNX177" s="204"/>
      <c r="KNY177" s="199"/>
      <c r="KNZ177" s="167"/>
      <c r="KOA177" s="199"/>
      <c r="KOB177" s="200"/>
      <c r="KOC177" s="201"/>
      <c r="KOD177" s="202"/>
      <c r="KOE177" s="202"/>
      <c r="KOF177" s="202"/>
      <c r="KOG177" s="202"/>
      <c r="KOH177" s="203"/>
      <c r="KOI177" s="204"/>
      <c r="KOJ177" s="204"/>
      <c r="KOK177" s="204"/>
      <c r="KOL177" s="205"/>
      <c r="KOM177" s="206"/>
      <c r="KON177" s="207"/>
      <c r="KOO177" s="207"/>
      <c r="KOP177" s="208"/>
      <c r="KOQ177" s="209"/>
      <c r="KOR177" s="207"/>
      <c r="KOS177" s="210"/>
      <c r="KOT177" s="209"/>
      <c r="KOU177" s="204"/>
      <c r="KOV177" s="204"/>
      <c r="KOW177" s="204"/>
      <c r="KOX177" s="199"/>
      <c r="KOY177" s="167"/>
      <c r="KOZ177" s="199"/>
      <c r="KPA177" s="200"/>
      <c r="KPB177" s="201"/>
      <c r="KPC177" s="202"/>
      <c r="KPD177" s="202"/>
      <c r="KPE177" s="202"/>
      <c r="KPF177" s="202"/>
      <c r="KPG177" s="203"/>
      <c r="KPH177" s="204"/>
      <c r="KPI177" s="204"/>
      <c r="KPJ177" s="204"/>
      <c r="KPK177" s="205"/>
      <c r="KPL177" s="206"/>
      <c r="KPM177" s="207"/>
      <c r="KPN177" s="207"/>
      <c r="KPO177" s="208"/>
      <c r="KPP177" s="209"/>
      <c r="KPQ177" s="207"/>
      <c r="KPR177" s="210"/>
      <c r="KPS177" s="209"/>
      <c r="KPT177" s="204"/>
      <c r="KPU177" s="204"/>
      <c r="KPV177" s="204"/>
      <c r="KPW177" s="199"/>
      <c r="KPX177" s="167"/>
      <c r="KPY177" s="199"/>
      <c r="KPZ177" s="200"/>
      <c r="KQA177" s="201"/>
      <c r="KQB177" s="202"/>
      <c r="KQC177" s="202"/>
      <c r="KQD177" s="202"/>
      <c r="KQE177" s="202"/>
      <c r="KQF177" s="203"/>
      <c r="KQG177" s="204"/>
      <c r="KQH177" s="204"/>
      <c r="KQI177" s="204"/>
      <c r="KQJ177" s="205"/>
      <c r="KQK177" s="206"/>
      <c r="KQL177" s="207"/>
      <c r="KQM177" s="207"/>
      <c r="KQN177" s="208"/>
      <c r="KQO177" s="209"/>
      <c r="KQP177" s="207"/>
      <c r="KQQ177" s="210"/>
      <c r="KQR177" s="209"/>
      <c r="KQS177" s="204"/>
      <c r="KQT177" s="204"/>
      <c r="KQU177" s="204"/>
      <c r="KQV177" s="199"/>
      <c r="KQW177" s="167"/>
      <c r="KQX177" s="199"/>
      <c r="KQY177" s="200"/>
      <c r="KQZ177" s="201"/>
      <c r="KRA177" s="202"/>
      <c r="KRB177" s="202"/>
      <c r="KRC177" s="202"/>
      <c r="KRD177" s="202"/>
      <c r="KRE177" s="203"/>
      <c r="KRF177" s="204"/>
      <c r="KRG177" s="204"/>
      <c r="KRH177" s="204"/>
      <c r="KRI177" s="205"/>
      <c r="KRJ177" s="206"/>
      <c r="KRK177" s="207"/>
      <c r="KRL177" s="207"/>
      <c r="KRM177" s="208"/>
      <c r="KRN177" s="209"/>
      <c r="KRO177" s="207"/>
      <c r="KRP177" s="210"/>
      <c r="KRQ177" s="209"/>
      <c r="KRR177" s="204"/>
      <c r="KRS177" s="204"/>
      <c r="KRT177" s="204"/>
      <c r="KRU177" s="199"/>
      <c r="KRV177" s="167"/>
      <c r="KRW177" s="199"/>
      <c r="KRX177" s="200"/>
      <c r="KRY177" s="201"/>
      <c r="KRZ177" s="202"/>
      <c r="KSA177" s="202"/>
      <c r="KSB177" s="202"/>
      <c r="KSC177" s="202"/>
      <c r="KSD177" s="203"/>
      <c r="KSE177" s="204"/>
      <c r="KSF177" s="204"/>
      <c r="KSG177" s="204"/>
      <c r="KSH177" s="205"/>
      <c r="KSI177" s="206"/>
      <c r="KSJ177" s="207"/>
      <c r="KSK177" s="207"/>
      <c r="KSL177" s="208"/>
      <c r="KSM177" s="209"/>
      <c r="KSN177" s="207"/>
      <c r="KSO177" s="210"/>
      <c r="KSP177" s="209"/>
      <c r="KSQ177" s="204"/>
      <c r="KSR177" s="204"/>
      <c r="KSS177" s="204"/>
      <c r="KST177" s="199"/>
      <c r="KSU177" s="167"/>
      <c r="KSV177" s="199"/>
      <c r="KSW177" s="200"/>
      <c r="KSX177" s="201"/>
      <c r="KSY177" s="202"/>
      <c r="KSZ177" s="202"/>
      <c r="KTA177" s="202"/>
      <c r="KTB177" s="202"/>
      <c r="KTC177" s="203"/>
      <c r="KTD177" s="204"/>
      <c r="KTE177" s="204"/>
      <c r="KTF177" s="204"/>
      <c r="KTG177" s="205"/>
      <c r="KTH177" s="206"/>
      <c r="KTI177" s="207"/>
      <c r="KTJ177" s="207"/>
      <c r="KTK177" s="208"/>
      <c r="KTL177" s="209"/>
      <c r="KTM177" s="207"/>
      <c r="KTN177" s="210"/>
      <c r="KTO177" s="209"/>
      <c r="KTP177" s="204"/>
      <c r="KTQ177" s="204"/>
      <c r="KTR177" s="204"/>
      <c r="KTS177" s="199"/>
      <c r="KTT177" s="167"/>
      <c r="KTU177" s="199"/>
      <c r="KTV177" s="200"/>
      <c r="KTW177" s="201"/>
      <c r="KTX177" s="202"/>
      <c r="KTY177" s="202"/>
      <c r="KTZ177" s="202"/>
      <c r="KUA177" s="202"/>
      <c r="KUB177" s="203"/>
      <c r="KUC177" s="204"/>
      <c r="KUD177" s="204"/>
      <c r="KUE177" s="204"/>
      <c r="KUF177" s="205"/>
      <c r="KUG177" s="206"/>
      <c r="KUH177" s="207"/>
      <c r="KUI177" s="207"/>
      <c r="KUJ177" s="208"/>
      <c r="KUK177" s="209"/>
      <c r="KUL177" s="207"/>
      <c r="KUM177" s="210"/>
      <c r="KUN177" s="209"/>
      <c r="KUO177" s="204"/>
      <c r="KUP177" s="204"/>
      <c r="KUQ177" s="204"/>
      <c r="KUR177" s="199"/>
      <c r="KUS177" s="167"/>
      <c r="KUT177" s="199"/>
      <c r="KUU177" s="200"/>
      <c r="KUV177" s="201"/>
      <c r="KUW177" s="202"/>
      <c r="KUX177" s="202"/>
      <c r="KUY177" s="202"/>
      <c r="KUZ177" s="202"/>
      <c r="KVA177" s="203"/>
      <c r="KVB177" s="204"/>
      <c r="KVC177" s="204"/>
      <c r="KVD177" s="204"/>
      <c r="KVE177" s="205"/>
      <c r="KVF177" s="206"/>
      <c r="KVG177" s="207"/>
      <c r="KVH177" s="207"/>
      <c r="KVI177" s="208"/>
      <c r="KVJ177" s="209"/>
      <c r="KVK177" s="207"/>
      <c r="KVL177" s="210"/>
      <c r="KVM177" s="209"/>
      <c r="KVN177" s="204"/>
      <c r="KVO177" s="204"/>
      <c r="KVP177" s="204"/>
      <c r="KVQ177" s="199"/>
      <c r="KVR177" s="167"/>
      <c r="KVS177" s="199"/>
      <c r="KVT177" s="200"/>
      <c r="KVU177" s="201"/>
      <c r="KVV177" s="202"/>
      <c r="KVW177" s="202"/>
      <c r="KVX177" s="202"/>
      <c r="KVY177" s="202"/>
      <c r="KVZ177" s="203"/>
      <c r="KWA177" s="204"/>
      <c r="KWB177" s="204"/>
      <c r="KWC177" s="204"/>
      <c r="KWD177" s="205"/>
      <c r="KWE177" s="206"/>
      <c r="KWF177" s="207"/>
      <c r="KWG177" s="207"/>
      <c r="KWH177" s="208"/>
      <c r="KWI177" s="209"/>
      <c r="KWJ177" s="207"/>
      <c r="KWK177" s="210"/>
      <c r="KWL177" s="209"/>
      <c r="KWM177" s="204"/>
      <c r="KWN177" s="204"/>
      <c r="KWO177" s="204"/>
      <c r="KWP177" s="199"/>
      <c r="KWQ177" s="167"/>
      <c r="KWR177" s="199"/>
      <c r="KWS177" s="200"/>
      <c r="KWT177" s="201"/>
      <c r="KWU177" s="202"/>
      <c r="KWV177" s="202"/>
      <c r="KWW177" s="202"/>
      <c r="KWX177" s="202"/>
      <c r="KWY177" s="203"/>
      <c r="KWZ177" s="204"/>
      <c r="KXA177" s="204"/>
      <c r="KXB177" s="204"/>
      <c r="KXC177" s="205"/>
      <c r="KXD177" s="206"/>
      <c r="KXE177" s="207"/>
      <c r="KXF177" s="207"/>
      <c r="KXG177" s="208"/>
      <c r="KXH177" s="209"/>
      <c r="KXI177" s="207"/>
      <c r="KXJ177" s="210"/>
      <c r="KXK177" s="209"/>
      <c r="KXL177" s="204"/>
      <c r="KXM177" s="204"/>
      <c r="KXN177" s="204"/>
      <c r="KXO177" s="199"/>
      <c r="KXP177" s="167"/>
      <c r="KXQ177" s="199"/>
      <c r="KXR177" s="200"/>
      <c r="KXS177" s="201"/>
      <c r="KXT177" s="202"/>
      <c r="KXU177" s="202"/>
      <c r="KXV177" s="202"/>
      <c r="KXW177" s="202"/>
      <c r="KXX177" s="203"/>
      <c r="KXY177" s="204"/>
      <c r="KXZ177" s="204"/>
      <c r="KYA177" s="204"/>
      <c r="KYB177" s="205"/>
      <c r="KYC177" s="206"/>
      <c r="KYD177" s="207"/>
      <c r="KYE177" s="207"/>
      <c r="KYF177" s="208"/>
      <c r="KYG177" s="209"/>
      <c r="KYH177" s="207"/>
      <c r="KYI177" s="210"/>
      <c r="KYJ177" s="209"/>
      <c r="KYK177" s="204"/>
      <c r="KYL177" s="204"/>
      <c r="KYM177" s="204"/>
      <c r="KYN177" s="199"/>
      <c r="KYO177" s="167"/>
      <c r="KYP177" s="199"/>
      <c r="KYQ177" s="200"/>
      <c r="KYR177" s="201"/>
      <c r="KYS177" s="202"/>
      <c r="KYT177" s="202"/>
      <c r="KYU177" s="202"/>
      <c r="KYV177" s="202"/>
      <c r="KYW177" s="203"/>
      <c r="KYX177" s="204"/>
      <c r="KYY177" s="204"/>
      <c r="KYZ177" s="204"/>
      <c r="KZA177" s="205"/>
      <c r="KZB177" s="206"/>
      <c r="KZC177" s="207"/>
      <c r="KZD177" s="207"/>
      <c r="KZE177" s="208"/>
      <c r="KZF177" s="209"/>
      <c r="KZG177" s="207"/>
      <c r="KZH177" s="210"/>
      <c r="KZI177" s="209"/>
      <c r="KZJ177" s="204"/>
      <c r="KZK177" s="204"/>
      <c r="KZL177" s="204"/>
      <c r="KZM177" s="199"/>
      <c r="KZN177" s="167"/>
      <c r="KZO177" s="199"/>
      <c r="KZP177" s="200"/>
      <c r="KZQ177" s="201"/>
      <c r="KZR177" s="202"/>
      <c r="KZS177" s="202"/>
      <c r="KZT177" s="202"/>
      <c r="KZU177" s="202"/>
      <c r="KZV177" s="203"/>
      <c r="KZW177" s="204"/>
      <c r="KZX177" s="204"/>
      <c r="KZY177" s="204"/>
      <c r="KZZ177" s="205"/>
      <c r="LAA177" s="206"/>
      <c r="LAB177" s="207"/>
      <c r="LAC177" s="207"/>
      <c r="LAD177" s="208"/>
      <c r="LAE177" s="209"/>
      <c r="LAF177" s="207"/>
      <c r="LAG177" s="210"/>
      <c r="LAH177" s="209"/>
      <c r="LAI177" s="204"/>
      <c r="LAJ177" s="204"/>
      <c r="LAK177" s="204"/>
      <c r="LAL177" s="199"/>
      <c r="LAM177" s="167"/>
      <c r="LAN177" s="199"/>
      <c r="LAO177" s="200"/>
      <c r="LAP177" s="201"/>
      <c r="LAQ177" s="202"/>
      <c r="LAR177" s="202"/>
      <c r="LAS177" s="202"/>
      <c r="LAT177" s="202"/>
      <c r="LAU177" s="203"/>
      <c r="LAV177" s="204"/>
      <c r="LAW177" s="204"/>
      <c r="LAX177" s="204"/>
      <c r="LAY177" s="205"/>
      <c r="LAZ177" s="206"/>
      <c r="LBA177" s="207"/>
      <c r="LBB177" s="207"/>
      <c r="LBC177" s="208"/>
      <c r="LBD177" s="209"/>
      <c r="LBE177" s="207"/>
      <c r="LBF177" s="210"/>
      <c r="LBG177" s="209"/>
      <c r="LBH177" s="204"/>
      <c r="LBI177" s="204"/>
      <c r="LBJ177" s="204"/>
      <c r="LBK177" s="199"/>
      <c r="LBL177" s="167"/>
      <c r="LBM177" s="199"/>
      <c r="LBN177" s="200"/>
      <c r="LBO177" s="201"/>
      <c r="LBP177" s="202"/>
      <c r="LBQ177" s="202"/>
      <c r="LBR177" s="202"/>
      <c r="LBS177" s="202"/>
      <c r="LBT177" s="203"/>
      <c r="LBU177" s="204"/>
      <c r="LBV177" s="204"/>
      <c r="LBW177" s="204"/>
      <c r="LBX177" s="205"/>
      <c r="LBY177" s="206"/>
      <c r="LBZ177" s="207"/>
      <c r="LCA177" s="207"/>
      <c r="LCB177" s="208"/>
      <c r="LCC177" s="209"/>
      <c r="LCD177" s="207"/>
      <c r="LCE177" s="210"/>
      <c r="LCF177" s="209"/>
      <c r="LCG177" s="204"/>
      <c r="LCH177" s="204"/>
      <c r="LCI177" s="204"/>
      <c r="LCJ177" s="199"/>
      <c r="LCK177" s="167"/>
      <c r="LCL177" s="199"/>
      <c r="LCM177" s="200"/>
      <c r="LCN177" s="201"/>
      <c r="LCO177" s="202"/>
      <c r="LCP177" s="202"/>
      <c r="LCQ177" s="202"/>
      <c r="LCR177" s="202"/>
      <c r="LCS177" s="203"/>
      <c r="LCT177" s="204"/>
      <c r="LCU177" s="204"/>
      <c r="LCV177" s="204"/>
      <c r="LCW177" s="205"/>
      <c r="LCX177" s="206"/>
      <c r="LCY177" s="207"/>
      <c r="LCZ177" s="207"/>
      <c r="LDA177" s="208"/>
      <c r="LDB177" s="209"/>
      <c r="LDC177" s="207"/>
      <c r="LDD177" s="210"/>
      <c r="LDE177" s="209"/>
      <c r="LDF177" s="204"/>
      <c r="LDG177" s="204"/>
      <c r="LDH177" s="204"/>
      <c r="LDI177" s="199"/>
      <c r="LDJ177" s="167"/>
      <c r="LDK177" s="199"/>
      <c r="LDL177" s="200"/>
      <c r="LDM177" s="201"/>
      <c r="LDN177" s="202"/>
      <c r="LDO177" s="202"/>
      <c r="LDP177" s="202"/>
      <c r="LDQ177" s="202"/>
      <c r="LDR177" s="203"/>
      <c r="LDS177" s="204"/>
      <c r="LDT177" s="204"/>
      <c r="LDU177" s="204"/>
      <c r="LDV177" s="205"/>
      <c r="LDW177" s="206"/>
      <c r="LDX177" s="207"/>
      <c r="LDY177" s="207"/>
      <c r="LDZ177" s="208"/>
      <c r="LEA177" s="209"/>
      <c r="LEB177" s="207"/>
      <c r="LEC177" s="210"/>
      <c r="LED177" s="209"/>
      <c r="LEE177" s="204"/>
      <c r="LEF177" s="204"/>
      <c r="LEG177" s="204"/>
      <c r="LEH177" s="199"/>
      <c r="LEI177" s="167"/>
      <c r="LEJ177" s="199"/>
      <c r="LEK177" s="200"/>
      <c r="LEL177" s="201"/>
      <c r="LEM177" s="202"/>
      <c r="LEN177" s="202"/>
      <c r="LEO177" s="202"/>
      <c r="LEP177" s="202"/>
      <c r="LEQ177" s="203"/>
      <c r="LER177" s="204"/>
      <c r="LES177" s="204"/>
      <c r="LET177" s="204"/>
      <c r="LEU177" s="205"/>
      <c r="LEV177" s="206"/>
      <c r="LEW177" s="207"/>
      <c r="LEX177" s="207"/>
      <c r="LEY177" s="208"/>
      <c r="LEZ177" s="209"/>
      <c r="LFA177" s="207"/>
      <c r="LFB177" s="210"/>
      <c r="LFC177" s="209"/>
      <c r="LFD177" s="204"/>
      <c r="LFE177" s="204"/>
      <c r="LFF177" s="204"/>
      <c r="LFG177" s="199"/>
      <c r="LFH177" s="167"/>
      <c r="LFI177" s="199"/>
      <c r="LFJ177" s="200"/>
      <c r="LFK177" s="201"/>
      <c r="LFL177" s="202"/>
      <c r="LFM177" s="202"/>
      <c r="LFN177" s="202"/>
      <c r="LFO177" s="202"/>
      <c r="LFP177" s="203"/>
      <c r="LFQ177" s="204"/>
      <c r="LFR177" s="204"/>
      <c r="LFS177" s="204"/>
      <c r="LFT177" s="205"/>
      <c r="LFU177" s="206"/>
      <c r="LFV177" s="207"/>
      <c r="LFW177" s="207"/>
      <c r="LFX177" s="208"/>
      <c r="LFY177" s="209"/>
      <c r="LFZ177" s="207"/>
      <c r="LGA177" s="210"/>
      <c r="LGB177" s="209"/>
      <c r="LGC177" s="204"/>
      <c r="LGD177" s="204"/>
      <c r="LGE177" s="204"/>
      <c r="LGF177" s="199"/>
      <c r="LGG177" s="167"/>
      <c r="LGH177" s="199"/>
      <c r="LGI177" s="200"/>
      <c r="LGJ177" s="201"/>
      <c r="LGK177" s="202"/>
      <c r="LGL177" s="202"/>
      <c r="LGM177" s="202"/>
      <c r="LGN177" s="202"/>
      <c r="LGO177" s="203"/>
      <c r="LGP177" s="204"/>
      <c r="LGQ177" s="204"/>
      <c r="LGR177" s="204"/>
      <c r="LGS177" s="205"/>
      <c r="LGT177" s="206"/>
      <c r="LGU177" s="207"/>
      <c r="LGV177" s="207"/>
      <c r="LGW177" s="208"/>
      <c r="LGX177" s="209"/>
      <c r="LGY177" s="207"/>
      <c r="LGZ177" s="210"/>
      <c r="LHA177" s="209"/>
      <c r="LHB177" s="204"/>
      <c r="LHC177" s="204"/>
      <c r="LHD177" s="204"/>
      <c r="LHE177" s="199"/>
      <c r="LHF177" s="167"/>
      <c r="LHG177" s="199"/>
      <c r="LHH177" s="200"/>
      <c r="LHI177" s="201"/>
      <c r="LHJ177" s="202"/>
      <c r="LHK177" s="202"/>
      <c r="LHL177" s="202"/>
      <c r="LHM177" s="202"/>
      <c r="LHN177" s="203"/>
      <c r="LHO177" s="204"/>
      <c r="LHP177" s="204"/>
      <c r="LHQ177" s="204"/>
      <c r="LHR177" s="205"/>
      <c r="LHS177" s="206"/>
      <c r="LHT177" s="207"/>
      <c r="LHU177" s="207"/>
      <c r="LHV177" s="208"/>
      <c r="LHW177" s="209"/>
      <c r="LHX177" s="207"/>
      <c r="LHY177" s="210"/>
      <c r="LHZ177" s="209"/>
      <c r="LIA177" s="204"/>
      <c r="LIB177" s="204"/>
      <c r="LIC177" s="204"/>
      <c r="LID177" s="199"/>
      <c r="LIE177" s="167"/>
      <c r="LIF177" s="199"/>
      <c r="LIG177" s="200"/>
      <c r="LIH177" s="201"/>
      <c r="LII177" s="202"/>
      <c r="LIJ177" s="202"/>
      <c r="LIK177" s="202"/>
      <c r="LIL177" s="202"/>
      <c r="LIM177" s="203"/>
      <c r="LIN177" s="204"/>
      <c r="LIO177" s="204"/>
      <c r="LIP177" s="204"/>
      <c r="LIQ177" s="205"/>
      <c r="LIR177" s="206"/>
      <c r="LIS177" s="207"/>
      <c r="LIT177" s="207"/>
      <c r="LIU177" s="208"/>
      <c r="LIV177" s="209"/>
      <c r="LIW177" s="207"/>
      <c r="LIX177" s="210"/>
      <c r="LIY177" s="209"/>
      <c r="LIZ177" s="204"/>
      <c r="LJA177" s="204"/>
      <c r="LJB177" s="204"/>
      <c r="LJC177" s="199"/>
      <c r="LJD177" s="167"/>
      <c r="LJE177" s="199"/>
      <c r="LJF177" s="200"/>
      <c r="LJG177" s="201"/>
      <c r="LJH177" s="202"/>
      <c r="LJI177" s="202"/>
      <c r="LJJ177" s="202"/>
      <c r="LJK177" s="202"/>
      <c r="LJL177" s="203"/>
      <c r="LJM177" s="204"/>
      <c r="LJN177" s="204"/>
      <c r="LJO177" s="204"/>
      <c r="LJP177" s="205"/>
      <c r="LJQ177" s="206"/>
      <c r="LJR177" s="207"/>
      <c r="LJS177" s="207"/>
      <c r="LJT177" s="208"/>
      <c r="LJU177" s="209"/>
      <c r="LJV177" s="207"/>
      <c r="LJW177" s="210"/>
      <c r="LJX177" s="209"/>
      <c r="LJY177" s="204"/>
      <c r="LJZ177" s="204"/>
      <c r="LKA177" s="204"/>
      <c r="LKB177" s="199"/>
      <c r="LKC177" s="167"/>
      <c r="LKD177" s="199"/>
      <c r="LKE177" s="200"/>
      <c r="LKF177" s="201"/>
      <c r="LKG177" s="202"/>
      <c r="LKH177" s="202"/>
      <c r="LKI177" s="202"/>
      <c r="LKJ177" s="202"/>
      <c r="LKK177" s="203"/>
      <c r="LKL177" s="204"/>
      <c r="LKM177" s="204"/>
      <c r="LKN177" s="204"/>
      <c r="LKO177" s="205"/>
      <c r="LKP177" s="206"/>
      <c r="LKQ177" s="207"/>
      <c r="LKR177" s="207"/>
      <c r="LKS177" s="208"/>
      <c r="LKT177" s="209"/>
      <c r="LKU177" s="207"/>
      <c r="LKV177" s="210"/>
      <c r="LKW177" s="209"/>
      <c r="LKX177" s="204"/>
      <c r="LKY177" s="204"/>
      <c r="LKZ177" s="204"/>
      <c r="LLA177" s="199"/>
      <c r="LLB177" s="167"/>
      <c r="LLC177" s="199"/>
      <c r="LLD177" s="200"/>
      <c r="LLE177" s="201"/>
      <c r="LLF177" s="202"/>
      <c r="LLG177" s="202"/>
      <c r="LLH177" s="202"/>
      <c r="LLI177" s="202"/>
      <c r="LLJ177" s="203"/>
      <c r="LLK177" s="204"/>
      <c r="LLL177" s="204"/>
      <c r="LLM177" s="204"/>
      <c r="LLN177" s="205"/>
      <c r="LLO177" s="206"/>
      <c r="LLP177" s="207"/>
      <c r="LLQ177" s="207"/>
      <c r="LLR177" s="208"/>
      <c r="LLS177" s="209"/>
      <c r="LLT177" s="207"/>
      <c r="LLU177" s="210"/>
      <c r="LLV177" s="209"/>
      <c r="LLW177" s="204"/>
      <c r="LLX177" s="204"/>
      <c r="LLY177" s="204"/>
      <c r="LLZ177" s="199"/>
      <c r="LMA177" s="167"/>
      <c r="LMB177" s="199"/>
      <c r="LMC177" s="200"/>
      <c r="LMD177" s="201"/>
      <c r="LME177" s="202"/>
      <c r="LMF177" s="202"/>
      <c r="LMG177" s="202"/>
      <c r="LMH177" s="202"/>
      <c r="LMI177" s="203"/>
      <c r="LMJ177" s="204"/>
      <c r="LMK177" s="204"/>
      <c r="LML177" s="204"/>
      <c r="LMM177" s="205"/>
      <c r="LMN177" s="206"/>
      <c r="LMO177" s="207"/>
      <c r="LMP177" s="207"/>
      <c r="LMQ177" s="208"/>
      <c r="LMR177" s="209"/>
      <c r="LMS177" s="207"/>
      <c r="LMT177" s="210"/>
      <c r="LMU177" s="209"/>
      <c r="LMV177" s="204"/>
      <c r="LMW177" s="204"/>
      <c r="LMX177" s="204"/>
      <c r="LMY177" s="199"/>
      <c r="LMZ177" s="167"/>
      <c r="LNA177" s="199"/>
      <c r="LNB177" s="200"/>
      <c r="LNC177" s="201"/>
      <c r="LND177" s="202"/>
      <c r="LNE177" s="202"/>
      <c r="LNF177" s="202"/>
      <c r="LNG177" s="202"/>
      <c r="LNH177" s="203"/>
      <c r="LNI177" s="204"/>
      <c r="LNJ177" s="204"/>
      <c r="LNK177" s="204"/>
      <c r="LNL177" s="205"/>
      <c r="LNM177" s="206"/>
      <c r="LNN177" s="207"/>
      <c r="LNO177" s="207"/>
      <c r="LNP177" s="208"/>
      <c r="LNQ177" s="209"/>
      <c r="LNR177" s="207"/>
      <c r="LNS177" s="210"/>
      <c r="LNT177" s="209"/>
      <c r="LNU177" s="204"/>
      <c r="LNV177" s="204"/>
      <c r="LNW177" s="204"/>
      <c r="LNX177" s="199"/>
      <c r="LNY177" s="167"/>
      <c r="LNZ177" s="199"/>
      <c r="LOA177" s="200"/>
      <c r="LOB177" s="201"/>
      <c r="LOC177" s="202"/>
      <c r="LOD177" s="202"/>
      <c r="LOE177" s="202"/>
      <c r="LOF177" s="202"/>
      <c r="LOG177" s="203"/>
      <c r="LOH177" s="204"/>
      <c r="LOI177" s="204"/>
      <c r="LOJ177" s="204"/>
      <c r="LOK177" s="205"/>
      <c r="LOL177" s="206"/>
      <c r="LOM177" s="207"/>
      <c r="LON177" s="207"/>
      <c r="LOO177" s="208"/>
      <c r="LOP177" s="209"/>
      <c r="LOQ177" s="207"/>
      <c r="LOR177" s="210"/>
      <c r="LOS177" s="209"/>
      <c r="LOT177" s="204"/>
      <c r="LOU177" s="204"/>
      <c r="LOV177" s="204"/>
      <c r="LOW177" s="199"/>
      <c r="LOX177" s="167"/>
      <c r="LOY177" s="199"/>
      <c r="LOZ177" s="200"/>
      <c r="LPA177" s="201"/>
      <c r="LPB177" s="202"/>
      <c r="LPC177" s="202"/>
      <c r="LPD177" s="202"/>
      <c r="LPE177" s="202"/>
      <c r="LPF177" s="203"/>
      <c r="LPG177" s="204"/>
      <c r="LPH177" s="204"/>
      <c r="LPI177" s="204"/>
      <c r="LPJ177" s="205"/>
      <c r="LPK177" s="206"/>
      <c r="LPL177" s="207"/>
      <c r="LPM177" s="207"/>
      <c r="LPN177" s="208"/>
      <c r="LPO177" s="209"/>
      <c r="LPP177" s="207"/>
      <c r="LPQ177" s="210"/>
      <c r="LPR177" s="209"/>
      <c r="LPS177" s="204"/>
      <c r="LPT177" s="204"/>
      <c r="LPU177" s="204"/>
      <c r="LPV177" s="199"/>
      <c r="LPW177" s="167"/>
      <c r="LPX177" s="199"/>
      <c r="LPY177" s="200"/>
      <c r="LPZ177" s="201"/>
      <c r="LQA177" s="202"/>
      <c r="LQB177" s="202"/>
      <c r="LQC177" s="202"/>
      <c r="LQD177" s="202"/>
      <c r="LQE177" s="203"/>
      <c r="LQF177" s="204"/>
      <c r="LQG177" s="204"/>
      <c r="LQH177" s="204"/>
      <c r="LQI177" s="205"/>
      <c r="LQJ177" s="206"/>
      <c r="LQK177" s="207"/>
      <c r="LQL177" s="207"/>
      <c r="LQM177" s="208"/>
      <c r="LQN177" s="209"/>
      <c r="LQO177" s="207"/>
      <c r="LQP177" s="210"/>
      <c r="LQQ177" s="209"/>
      <c r="LQR177" s="204"/>
      <c r="LQS177" s="204"/>
      <c r="LQT177" s="204"/>
      <c r="LQU177" s="199"/>
      <c r="LQV177" s="167"/>
      <c r="LQW177" s="199"/>
      <c r="LQX177" s="200"/>
      <c r="LQY177" s="201"/>
      <c r="LQZ177" s="202"/>
      <c r="LRA177" s="202"/>
      <c r="LRB177" s="202"/>
      <c r="LRC177" s="202"/>
      <c r="LRD177" s="203"/>
      <c r="LRE177" s="204"/>
      <c r="LRF177" s="204"/>
      <c r="LRG177" s="204"/>
      <c r="LRH177" s="205"/>
      <c r="LRI177" s="206"/>
      <c r="LRJ177" s="207"/>
      <c r="LRK177" s="207"/>
      <c r="LRL177" s="208"/>
      <c r="LRM177" s="209"/>
      <c r="LRN177" s="207"/>
      <c r="LRO177" s="210"/>
      <c r="LRP177" s="209"/>
      <c r="LRQ177" s="204"/>
      <c r="LRR177" s="204"/>
      <c r="LRS177" s="204"/>
      <c r="LRT177" s="199"/>
      <c r="LRU177" s="167"/>
      <c r="LRV177" s="199"/>
      <c r="LRW177" s="200"/>
      <c r="LRX177" s="201"/>
      <c r="LRY177" s="202"/>
      <c r="LRZ177" s="202"/>
      <c r="LSA177" s="202"/>
      <c r="LSB177" s="202"/>
      <c r="LSC177" s="203"/>
      <c r="LSD177" s="204"/>
      <c r="LSE177" s="204"/>
      <c r="LSF177" s="204"/>
      <c r="LSG177" s="205"/>
      <c r="LSH177" s="206"/>
      <c r="LSI177" s="207"/>
      <c r="LSJ177" s="207"/>
      <c r="LSK177" s="208"/>
      <c r="LSL177" s="209"/>
      <c r="LSM177" s="207"/>
      <c r="LSN177" s="210"/>
      <c r="LSO177" s="209"/>
      <c r="LSP177" s="204"/>
      <c r="LSQ177" s="204"/>
      <c r="LSR177" s="204"/>
      <c r="LSS177" s="199"/>
      <c r="LST177" s="167"/>
      <c r="LSU177" s="199"/>
      <c r="LSV177" s="200"/>
      <c r="LSW177" s="201"/>
      <c r="LSX177" s="202"/>
      <c r="LSY177" s="202"/>
      <c r="LSZ177" s="202"/>
      <c r="LTA177" s="202"/>
      <c r="LTB177" s="203"/>
      <c r="LTC177" s="204"/>
      <c r="LTD177" s="204"/>
      <c r="LTE177" s="204"/>
      <c r="LTF177" s="205"/>
      <c r="LTG177" s="206"/>
      <c r="LTH177" s="207"/>
      <c r="LTI177" s="207"/>
      <c r="LTJ177" s="208"/>
      <c r="LTK177" s="209"/>
      <c r="LTL177" s="207"/>
      <c r="LTM177" s="210"/>
      <c r="LTN177" s="209"/>
      <c r="LTO177" s="204"/>
      <c r="LTP177" s="204"/>
      <c r="LTQ177" s="204"/>
      <c r="LTR177" s="199"/>
      <c r="LTS177" s="167"/>
      <c r="LTT177" s="199"/>
      <c r="LTU177" s="200"/>
      <c r="LTV177" s="201"/>
      <c r="LTW177" s="202"/>
      <c r="LTX177" s="202"/>
      <c r="LTY177" s="202"/>
      <c r="LTZ177" s="202"/>
      <c r="LUA177" s="203"/>
      <c r="LUB177" s="204"/>
      <c r="LUC177" s="204"/>
      <c r="LUD177" s="204"/>
      <c r="LUE177" s="205"/>
      <c r="LUF177" s="206"/>
      <c r="LUG177" s="207"/>
      <c r="LUH177" s="207"/>
      <c r="LUI177" s="208"/>
      <c r="LUJ177" s="209"/>
      <c r="LUK177" s="207"/>
      <c r="LUL177" s="210"/>
      <c r="LUM177" s="209"/>
      <c r="LUN177" s="204"/>
      <c r="LUO177" s="204"/>
      <c r="LUP177" s="204"/>
      <c r="LUQ177" s="199"/>
      <c r="LUR177" s="167"/>
      <c r="LUS177" s="199"/>
      <c r="LUT177" s="200"/>
      <c r="LUU177" s="201"/>
      <c r="LUV177" s="202"/>
      <c r="LUW177" s="202"/>
      <c r="LUX177" s="202"/>
      <c r="LUY177" s="202"/>
      <c r="LUZ177" s="203"/>
      <c r="LVA177" s="204"/>
      <c r="LVB177" s="204"/>
      <c r="LVC177" s="204"/>
      <c r="LVD177" s="205"/>
      <c r="LVE177" s="206"/>
      <c r="LVF177" s="207"/>
      <c r="LVG177" s="207"/>
      <c r="LVH177" s="208"/>
      <c r="LVI177" s="209"/>
      <c r="LVJ177" s="207"/>
      <c r="LVK177" s="210"/>
      <c r="LVL177" s="209"/>
      <c r="LVM177" s="204"/>
      <c r="LVN177" s="204"/>
      <c r="LVO177" s="204"/>
      <c r="LVP177" s="199"/>
      <c r="LVQ177" s="167"/>
      <c r="LVR177" s="199"/>
      <c r="LVS177" s="200"/>
      <c r="LVT177" s="201"/>
      <c r="LVU177" s="202"/>
      <c r="LVV177" s="202"/>
      <c r="LVW177" s="202"/>
      <c r="LVX177" s="202"/>
      <c r="LVY177" s="203"/>
      <c r="LVZ177" s="204"/>
      <c r="LWA177" s="204"/>
      <c r="LWB177" s="204"/>
      <c r="LWC177" s="205"/>
      <c r="LWD177" s="206"/>
      <c r="LWE177" s="207"/>
      <c r="LWF177" s="207"/>
      <c r="LWG177" s="208"/>
      <c r="LWH177" s="209"/>
      <c r="LWI177" s="207"/>
      <c r="LWJ177" s="210"/>
      <c r="LWK177" s="209"/>
      <c r="LWL177" s="204"/>
      <c r="LWM177" s="204"/>
      <c r="LWN177" s="204"/>
      <c r="LWO177" s="199"/>
      <c r="LWP177" s="167"/>
      <c r="LWQ177" s="199"/>
      <c r="LWR177" s="200"/>
      <c r="LWS177" s="201"/>
      <c r="LWT177" s="202"/>
      <c r="LWU177" s="202"/>
      <c r="LWV177" s="202"/>
      <c r="LWW177" s="202"/>
      <c r="LWX177" s="203"/>
      <c r="LWY177" s="204"/>
      <c r="LWZ177" s="204"/>
      <c r="LXA177" s="204"/>
      <c r="LXB177" s="205"/>
      <c r="LXC177" s="206"/>
      <c r="LXD177" s="207"/>
      <c r="LXE177" s="207"/>
      <c r="LXF177" s="208"/>
      <c r="LXG177" s="209"/>
      <c r="LXH177" s="207"/>
      <c r="LXI177" s="210"/>
      <c r="LXJ177" s="209"/>
      <c r="LXK177" s="204"/>
      <c r="LXL177" s="204"/>
      <c r="LXM177" s="204"/>
      <c r="LXN177" s="199"/>
      <c r="LXO177" s="167"/>
      <c r="LXP177" s="199"/>
      <c r="LXQ177" s="200"/>
      <c r="LXR177" s="201"/>
      <c r="LXS177" s="202"/>
      <c r="LXT177" s="202"/>
      <c r="LXU177" s="202"/>
      <c r="LXV177" s="202"/>
      <c r="LXW177" s="203"/>
      <c r="LXX177" s="204"/>
      <c r="LXY177" s="204"/>
      <c r="LXZ177" s="204"/>
      <c r="LYA177" s="205"/>
      <c r="LYB177" s="206"/>
      <c r="LYC177" s="207"/>
      <c r="LYD177" s="207"/>
      <c r="LYE177" s="208"/>
      <c r="LYF177" s="209"/>
      <c r="LYG177" s="207"/>
      <c r="LYH177" s="210"/>
      <c r="LYI177" s="209"/>
      <c r="LYJ177" s="204"/>
      <c r="LYK177" s="204"/>
      <c r="LYL177" s="204"/>
      <c r="LYM177" s="199"/>
      <c r="LYN177" s="167"/>
      <c r="LYO177" s="199"/>
      <c r="LYP177" s="200"/>
      <c r="LYQ177" s="201"/>
      <c r="LYR177" s="202"/>
      <c r="LYS177" s="202"/>
      <c r="LYT177" s="202"/>
      <c r="LYU177" s="202"/>
      <c r="LYV177" s="203"/>
      <c r="LYW177" s="204"/>
      <c r="LYX177" s="204"/>
      <c r="LYY177" s="204"/>
      <c r="LYZ177" s="205"/>
      <c r="LZA177" s="206"/>
      <c r="LZB177" s="207"/>
      <c r="LZC177" s="207"/>
      <c r="LZD177" s="208"/>
      <c r="LZE177" s="209"/>
      <c r="LZF177" s="207"/>
      <c r="LZG177" s="210"/>
      <c r="LZH177" s="209"/>
      <c r="LZI177" s="204"/>
      <c r="LZJ177" s="204"/>
      <c r="LZK177" s="204"/>
      <c r="LZL177" s="199"/>
      <c r="LZM177" s="167"/>
      <c r="LZN177" s="199"/>
      <c r="LZO177" s="200"/>
      <c r="LZP177" s="201"/>
      <c r="LZQ177" s="202"/>
      <c r="LZR177" s="202"/>
      <c r="LZS177" s="202"/>
      <c r="LZT177" s="202"/>
      <c r="LZU177" s="203"/>
      <c r="LZV177" s="204"/>
      <c r="LZW177" s="204"/>
      <c r="LZX177" s="204"/>
      <c r="LZY177" s="205"/>
      <c r="LZZ177" s="206"/>
      <c r="MAA177" s="207"/>
      <c r="MAB177" s="207"/>
      <c r="MAC177" s="208"/>
      <c r="MAD177" s="209"/>
      <c r="MAE177" s="207"/>
      <c r="MAF177" s="210"/>
      <c r="MAG177" s="209"/>
      <c r="MAH177" s="204"/>
      <c r="MAI177" s="204"/>
      <c r="MAJ177" s="204"/>
      <c r="MAK177" s="199"/>
      <c r="MAL177" s="167"/>
      <c r="MAM177" s="199"/>
      <c r="MAN177" s="200"/>
      <c r="MAO177" s="201"/>
      <c r="MAP177" s="202"/>
      <c r="MAQ177" s="202"/>
      <c r="MAR177" s="202"/>
      <c r="MAS177" s="202"/>
      <c r="MAT177" s="203"/>
      <c r="MAU177" s="204"/>
      <c r="MAV177" s="204"/>
      <c r="MAW177" s="204"/>
      <c r="MAX177" s="205"/>
      <c r="MAY177" s="206"/>
      <c r="MAZ177" s="207"/>
      <c r="MBA177" s="207"/>
      <c r="MBB177" s="208"/>
      <c r="MBC177" s="209"/>
      <c r="MBD177" s="207"/>
      <c r="MBE177" s="210"/>
      <c r="MBF177" s="209"/>
      <c r="MBG177" s="204"/>
      <c r="MBH177" s="204"/>
      <c r="MBI177" s="204"/>
      <c r="MBJ177" s="199"/>
      <c r="MBK177" s="167"/>
      <c r="MBL177" s="199"/>
      <c r="MBM177" s="200"/>
      <c r="MBN177" s="201"/>
      <c r="MBO177" s="202"/>
      <c r="MBP177" s="202"/>
      <c r="MBQ177" s="202"/>
      <c r="MBR177" s="202"/>
      <c r="MBS177" s="203"/>
      <c r="MBT177" s="204"/>
      <c r="MBU177" s="204"/>
      <c r="MBV177" s="204"/>
      <c r="MBW177" s="205"/>
      <c r="MBX177" s="206"/>
      <c r="MBY177" s="207"/>
      <c r="MBZ177" s="207"/>
      <c r="MCA177" s="208"/>
      <c r="MCB177" s="209"/>
      <c r="MCC177" s="207"/>
      <c r="MCD177" s="210"/>
      <c r="MCE177" s="209"/>
      <c r="MCF177" s="204"/>
      <c r="MCG177" s="204"/>
      <c r="MCH177" s="204"/>
      <c r="MCI177" s="199"/>
      <c r="MCJ177" s="167"/>
      <c r="MCK177" s="199"/>
      <c r="MCL177" s="200"/>
      <c r="MCM177" s="201"/>
      <c r="MCN177" s="202"/>
      <c r="MCO177" s="202"/>
      <c r="MCP177" s="202"/>
      <c r="MCQ177" s="202"/>
      <c r="MCR177" s="203"/>
      <c r="MCS177" s="204"/>
      <c r="MCT177" s="204"/>
      <c r="MCU177" s="204"/>
      <c r="MCV177" s="205"/>
      <c r="MCW177" s="206"/>
      <c r="MCX177" s="207"/>
      <c r="MCY177" s="207"/>
      <c r="MCZ177" s="208"/>
      <c r="MDA177" s="209"/>
      <c r="MDB177" s="207"/>
      <c r="MDC177" s="210"/>
      <c r="MDD177" s="209"/>
      <c r="MDE177" s="204"/>
      <c r="MDF177" s="204"/>
      <c r="MDG177" s="204"/>
      <c r="MDH177" s="199"/>
      <c r="MDI177" s="167"/>
      <c r="MDJ177" s="199"/>
      <c r="MDK177" s="200"/>
      <c r="MDL177" s="201"/>
      <c r="MDM177" s="202"/>
      <c r="MDN177" s="202"/>
      <c r="MDO177" s="202"/>
      <c r="MDP177" s="202"/>
      <c r="MDQ177" s="203"/>
      <c r="MDR177" s="204"/>
      <c r="MDS177" s="204"/>
      <c r="MDT177" s="204"/>
      <c r="MDU177" s="205"/>
      <c r="MDV177" s="206"/>
      <c r="MDW177" s="207"/>
      <c r="MDX177" s="207"/>
      <c r="MDY177" s="208"/>
      <c r="MDZ177" s="209"/>
      <c r="MEA177" s="207"/>
      <c r="MEB177" s="210"/>
      <c r="MEC177" s="209"/>
      <c r="MED177" s="204"/>
      <c r="MEE177" s="204"/>
      <c r="MEF177" s="204"/>
      <c r="MEG177" s="199"/>
      <c r="MEH177" s="167"/>
      <c r="MEI177" s="199"/>
      <c r="MEJ177" s="200"/>
      <c r="MEK177" s="201"/>
      <c r="MEL177" s="202"/>
      <c r="MEM177" s="202"/>
      <c r="MEN177" s="202"/>
      <c r="MEO177" s="202"/>
      <c r="MEP177" s="203"/>
      <c r="MEQ177" s="204"/>
      <c r="MER177" s="204"/>
      <c r="MES177" s="204"/>
      <c r="MET177" s="205"/>
      <c r="MEU177" s="206"/>
      <c r="MEV177" s="207"/>
      <c r="MEW177" s="207"/>
      <c r="MEX177" s="208"/>
      <c r="MEY177" s="209"/>
      <c r="MEZ177" s="207"/>
      <c r="MFA177" s="210"/>
      <c r="MFB177" s="209"/>
      <c r="MFC177" s="204"/>
      <c r="MFD177" s="204"/>
      <c r="MFE177" s="204"/>
      <c r="MFF177" s="199"/>
      <c r="MFG177" s="167"/>
      <c r="MFH177" s="199"/>
      <c r="MFI177" s="200"/>
      <c r="MFJ177" s="201"/>
      <c r="MFK177" s="202"/>
      <c r="MFL177" s="202"/>
      <c r="MFM177" s="202"/>
      <c r="MFN177" s="202"/>
      <c r="MFO177" s="203"/>
      <c r="MFP177" s="204"/>
      <c r="MFQ177" s="204"/>
      <c r="MFR177" s="204"/>
      <c r="MFS177" s="205"/>
      <c r="MFT177" s="206"/>
      <c r="MFU177" s="207"/>
      <c r="MFV177" s="207"/>
      <c r="MFW177" s="208"/>
      <c r="MFX177" s="209"/>
      <c r="MFY177" s="207"/>
      <c r="MFZ177" s="210"/>
      <c r="MGA177" s="209"/>
      <c r="MGB177" s="204"/>
      <c r="MGC177" s="204"/>
      <c r="MGD177" s="204"/>
      <c r="MGE177" s="199"/>
      <c r="MGF177" s="167"/>
      <c r="MGG177" s="199"/>
      <c r="MGH177" s="200"/>
      <c r="MGI177" s="201"/>
      <c r="MGJ177" s="202"/>
      <c r="MGK177" s="202"/>
      <c r="MGL177" s="202"/>
      <c r="MGM177" s="202"/>
      <c r="MGN177" s="203"/>
      <c r="MGO177" s="204"/>
      <c r="MGP177" s="204"/>
      <c r="MGQ177" s="204"/>
      <c r="MGR177" s="205"/>
      <c r="MGS177" s="206"/>
      <c r="MGT177" s="207"/>
      <c r="MGU177" s="207"/>
      <c r="MGV177" s="208"/>
      <c r="MGW177" s="209"/>
      <c r="MGX177" s="207"/>
      <c r="MGY177" s="210"/>
      <c r="MGZ177" s="209"/>
      <c r="MHA177" s="204"/>
      <c r="MHB177" s="204"/>
      <c r="MHC177" s="204"/>
      <c r="MHD177" s="199"/>
      <c r="MHE177" s="167"/>
      <c r="MHF177" s="199"/>
      <c r="MHG177" s="200"/>
      <c r="MHH177" s="201"/>
      <c r="MHI177" s="202"/>
      <c r="MHJ177" s="202"/>
      <c r="MHK177" s="202"/>
      <c r="MHL177" s="202"/>
      <c r="MHM177" s="203"/>
      <c r="MHN177" s="204"/>
      <c r="MHO177" s="204"/>
      <c r="MHP177" s="204"/>
      <c r="MHQ177" s="205"/>
      <c r="MHR177" s="206"/>
      <c r="MHS177" s="207"/>
      <c r="MHT177" s="207"/>
      <c r="MHU177" s="208"/>
      <c r="MHV177" s="209"/>
      <c r="MHW177" s="207"/>
      <c r="MHX177" s="210"/>
      <c r="MHY177" s="209"/>
      <c r="MHZ177" s="204"/>
      <c r="MIA177" s="204"/>
      <c r="MIB177" s="204"/>
      <c r="MIC177" s="199"/>
      <c r="MID177" s="167"/>
      <c r="MIE177" s="199"/>
      <c r="MIF177" s="200"/>
      <c r="MIG177" s="201"/>
      <c r="MIH177" s="202"/>
      <c r="MII177" s="202"/>
      <c r="MIJ177" s="202"/>
      <c r="MIK177" s="202"/>
      <c r="MIL177" s="203"/>
      <c r="MIM177" s="204"/>
      <c r="MIN177" s="204"/>
      <c r="MIO177" s="204"/>
      <c r="MIP177" s="205"/>
      <c r="MIQ177" s="206"/>
      <c r="MIR177" s="207"/>
      <c r="MIS177" s="207"/>
      <c r="MIT177" s="208"/>
      <c r="MIU177" s="209"/>
      <c r="MIV177" s="207"/>
      <c r="MIW177" s="210"/>
      <c r="MIX177" s="209"/>
      <c r="MIY177" s="204"/>
      <c r="MIZ177" s="204"/>
      <c r="MJA177" s="204"/>
      <c r="MJB177" s="199"/>
      <c r="MJC177" s="167"/>
      <c r="MJD177" s="199"/>
      <c r="MJE177" s="200"/>
      <c r="MJF177" s="201"/>
      <c r="MJG177" s="202"/>
      <c r="MJH177" s="202"/>
      <c r="MJI177" s="202"/>
      <c r="MJJ177" s="202"/>
      <c r="MJK177" s="203"/>
      <c r="MJL177" s="204"/>
      <c r="MJM177" s="204"/>
      <c r="MJN177" s="204"/>
      <c r="MJO177" s="205"/>
      <c r="MJP177" s="206"/>
      <c r="MJQ177" s="207"/>
      <c r="MJR177" s="207"/>
      <c r="MJS177" s="208"/>
      <c r="MJT177" s="209"/>
      <c r="MJU177" s="207"/>
      <c r="MJV177" s="210"/>
      <c r="MJW177" s="209"/>
      <c r="MJX177" s="204"/>
      <c r="MJY177" s="204"/>
      <c r="MJZ177" s="204"/>
      <c r="MKA177" s="199"/>
      <c r="MKB177" s="167"/>
      <c r="MKC177" s="199"/>
      <c r="MKD177" s="200"/>
      <c r="MKE177" s="201"/>
      <c r="MKF177" s="202"/>
      <c r="MKG177" s="202"/>
      <c r="MKH177" s="202"/>
      <c r="MKI177" s="202"/>
      <c r="MKJ177" s="203"/>
      <c r="MKK177" s="204"/>
      <c r="MKL177" s="204"/>
      <c r="MKM177" s="204"/>
      <c r="MKN177" s="205"/>
      <c r="MKO177" s="206"/>
      <c r="MKP177" s="207"/>
      <c r="MKQ177" s="207"/>
      <c r="MKR177" s="208"/>
      <c r="MKS177" s="209"/>
      <c r="MKT177" s="207"/>
      <c r="MKU177" s="210"/>
      <c r="MKV177" s="209"/>
      <c r="MKW177" s="204"/>
      <c r="MKX177" s="204"/>
      <c r="MKY177" s="204"/>
      <c r="MKZ177" s="199"/>
      <c r="MLA177" s="167"/>
      <c r="MLB177" s="199"/>
      <c r="MLC177" s="200"/>
      <c r="MLD177" s="201"/>
      <c r="MLE177" s="202"/>
      <c r="MLF177" s="202"/>
      <c r="MLG177" s="202"/>
      <c r="MLH177" s="202"/>
      <c r="MLI177" s="203"/>
      <c r="MLJ177" s="204"/>
      <c r="MLK177" s="204"/>
      <c r="MLL177" s="204"/>
      <c r="MLM177" s="205"/>
      <c r="MLN177" s="206"/>
      <c r="MLO177" s="207"/>
      <c r="MLP177" s="207"/>
      <c r="MLQ177" s="208"/>
      <c r="MLR177" s="209"/>
      <c r="MLS177" s="207"/>
      <c r="MLT177" s="210"/>
      <c r="MLU177" s="209"/>
      <c r="MLV177" s="204"/>
      <c r="MLW177" s="204"/>
      <c r="MLX177" s="204"/>
      <c r="MLY177" s="199"/>
      <c r="MLZ177" s="167"/>
      <c r="MMA177" s="199"/>
      <c r="MMB177" s="200"/>
      <c r="MMC177" s="201"/>
      <c r="MMD177" s="202"/>
      <c r="MME177" s="202"/>
      <c r="MMF177" s="202"/>
      <c r="MMG177" s="202"/>
      <c r="MMH177" s="203"/>
      <c r="MMI177" s="204"/>
      <c r="MMJ177" s="204"/>
      <c r="MMK177" s="204"/>
      <c r="MML177" s="205"/>
      <c r="MMM177" s="206"/>
      <c r="MMN177" s="207"/>
      <c r="MMO177" s="207"/>
      <c r="MMP177" s="208"/>
      <c r="MMQ177" s="209"/>
      <c r="MMR177" s="207"/>
      <c r="MMS177" s="210"/>
      <c r="MMT177" s="209"/>
      <c r="MMU177" s="204"/>
      <c r="MMV177" s="204"/>
      <c r="MMW177" s="204"/>
      <c r="MMX177" s="199"/>
      <c r="MMY177" s="167"/>
      <c r="MMZ177" s="199"/>
      <c r="MNA177" s="200"/>
      <c r="MNB177" s="201"/>
      <c r="MNC177" s="202"/>
      <c r="MND177" s="202"/>
      <c r="MNE177" s="202"/>
      <c r="MNF177" s="202"/>
      <c r="MNG177" s="203"/>
      <c r="MNH177" s="204"/>
      <c r="MNI177" s="204"/>
      <c r="MNJ177" s="204"/>
      <c r="MNK177" s="205"/>
      <c r="MNL177" s="206"/>
      <c r="MNM177" s="207"/>
      <c r="MNN177" s="207"/>
      <c r="MNO177" s="208"/>
      <c r="MNP177" s="209"/>
      <c r="MNQ177" s="207"/>
      <c r="MNR177" s="210"/>
      <c r="MNS177" s="209"/>
      <c r="MNT177" s="204"/>
      <c r="MNU177" s="204"/>
      <c r="MNV177" s="204"/>
      <c r="MNW177" s="199"/>
      <c r="MNX177" s="167"/>
      <c r="MNY177" s="199"/>
      <c r="MNZ177" s="200"/>
      <c r="MOA177" s="201"/>
      <c r="MOB177" s="202"/>
      <c r="MOC177" s="202"/>
      <c r="MOD177" s="202"/>
      <c r="MOE177" s="202"/>
      <c r="MOF177" s="203"/>
      <c r="MOG177" s="204"/>
      <c r="MOH177" s="204"/>
      <c r="MOI177" s="204"/>
      <c r="MOJ177" s="205"/>
      <c r="MOK177" s="206"/>
      <c r="MOL177" s="207"/>
      <c r="MOM177" s="207"/>
      <c r="MON177" s="208"/>
      <c r="MOO177" s="209"/>
      <c r="MOP177" s="207"/>
      <c r="MOQ177" s="210"/>
      <c r="MOR177" s="209"/>
      <c r="MOS177" s="204"/>
      <c r="MOT177" s="204"/>
      <c r="MOU177" s="204"/>
      <c r="MOV177" s="199"/>
      <c r="MOW177" s="167"/>
      <c r="MOX177" s="199"/>
      <c r="MOY177" s="200"/>
      <c r="MOZ177" s="201"/>
      <c r="MPA177" s="202"/>
      <c r="MPB177" s="202"/>
      <c r="MPC177" s="202"/>
      <c r="MPD177" s="202"/>
      <c r="MPE177" s="203"/>
      <c r="MPF177" s="204"/>
      <c r="MPG177" s="204"/>
      <c r="MPH177" s="204"/>
      <c r="MPI177" s="205"/>
      <c r="MPJ177" s="206"/>
      <c r="MPK177" s="207"/>
      <c r="MPL177" s="207"/>
      <c r="MPM177" s="208"/>
      <c r="MPN177" s="209"/>
      <c r="MPO177" s="207"/>
      <c r="MPP177" s="210"/>
      <c r="MPQ177" s="209"/>
      <c r="MPR177" s="204"/>
      <c r="MPS177" s="204"/>
      <c r="MPT177" s="204"/>
      <c r="MPU177" s="199"/>
      <c r="MPV177" s="167"/>
      <c r="MPW177" s="199"/>
      <c r="MPX177" s="200"/>
      <c r="MPY177" s="201"/>
      <c r="MPZ177" s="202"/>
      <c r="MQA177" s="202"/>
      <c r="MQB177" s="202"/>
      <c r="MQC177" s="202"/>
      <c r="MQD177" s="203"/>
      <c r="MQE177" s="204"/>
      <c r="MQF177" s="204"/>
      <c r="MQG177" s="204"/>
      <c r="MQH177" s="205"/>
      <c r="MQI177" s="206"/>
      <c r="MQJ177" s="207"/>
      <c r="MQK177" s="207"/>
      <c r="MQL177" s="208"/>
      <c r="MQM177" s="209"/>
      <c r="MQN177" s="207"/>
      <c r="MQO177" s="210"/>
      <c r="MQP177" s="209"/>
      <c r="MQQ177" s="204"/>
      <c r="MQR177" s="204"/>
      <c r="MQS177" s="204"/>
      <c r="MQT177" s="199"/>
      <c r="MQU177" s="167"/>
      <c r="MQV177" s="199"/>
      <c r="MQW177" s="200"/>
      <c r="MQX177" s="201"/>
      <c r="MQY177" s="202"/>
      <c r="MQZ177" s="202"/>
      <c r="MRA177" s="202"/>
      <c r="MRB177" s="202"/>
      <c r="MRC177" s="203"/>
      <c r="MRD177" s="204"/>
      <c r="MRE177" s="204"/>
      <c r="MRF177" s="204"/>
      <c r="MRG177" s="205"/>
      <c r="MRH177" s="206"/>
      <c r="MRI177" s="207"/>
      <c r="MRJ177" s="207"/>
      <c r="MRK177" s="208"/>
      <c r="MRL177" s="209"/>
      <c r="MRM177" s="207"/>
      <c r="MRN177" s="210"/>
      <c r="MRO177" s="209"/>
      <c r="MRP177" s="204"/>
      <c r="MRQ177" s="204"/>
      <c r="MRR177" s="204"/>
      <c r="MRS177" s="199"/>
      <c r="MRT177" s="167"/>
      <c r="MRU177" s="199"/>
      <c r="MRV177" s="200"/>
      <c r="MRW177" s="201"/>
      <c r="MRX177" s="202"/>
      <c r="MRY177" s="202"/>
      <c r="MRZ177" s="202"/>
      <c r="MSA177" s="202"/>
      <c r="MSB177" s="203"/>
      <c r="MSC177" s="204"/>
      <c r="MSD177" s="204"/>
      <c r="MSE177" s="204"/>
      <c r="MSF177" s="205"/>
      <c r="MSG177" s="206"/>
      <c r="MSH177" s="207"/>
      <c r="MSI177" s="207"/>
      <c r="MSJ177" s="208"/>
      <c r="MSK177" s="209"/>
      <c r="MSL177" s="207"/>
      <c r="MSM177" s="210"/>
      <c r="MSN177" s="209"/>
      <c r="MSO177" s="204"/>
      <c r="MSP177" s="204"/>
      <c r="MSQ177" s="204"/>
      <c r="MSR177" s="199"/>
      <c r="MSS177" s="167"/>
      <c r="MST177" s="199"/>
      <c r="MSU177" s="200"/>
      <c r="MSV177" s="201"/>
      <c r="MSW177" s="202"/>
      <c r="MSX177" s="202"/>
      <c r="MSY177" s="202"/>
      <c r="MSZ177" s="202"/>
      <c r="MTA177" s="203"/>
      <c r="MTB177" s="204"/>
      <c r="MTC177" s="204"/>
      <c r="MTD177" s="204"/>
      <c r="MTE177" s="205"/>
      <c r="MTF177" s="206"/>
      <c r="MTG177" s="207"/>
      <c r="MTH177" s="207"/>
      <c r="MTI177" s="208"/>
      <c r="MTJ177" s="209"/>
      <c r="MTK177" s="207"/>
      <c r="MTL177" s="210"/>
      <c r="MTM177" s="209"/>
      <c r="MTN177" s="204"/>
      <c r="MTO177" s="204"/>
      <c r="MTP177" s="204"/>
      <c r="MTQ177" s="199"/>
      <c r="MTR177" s="167"/>
      <c r="MTS177" s="199"/>
      <c r="MTT177" s="200"/>
      <c r="MTU177" s="201"/>
      <c r="MTV177" s="202"/>
      <c r="MTW177" s="202"/>
      <c r="MTX177" s="202"/>
      <c r="MTY177" s="202"/>
      <c r="MTZ177" s="203"/>
      <c r="MUA177" s="204"/>
      <c r="MUB177" s="204"/>
      <c r="MUC177" s="204"/>
      <c r="MUD177" s="205"/>
      <c r="MUE177" s="206"/>
      <c r="MUF177" s="207"/>
      <c r="MUG177" s="207"/>
      <c r="MUH177" s="208"/>
      <c r="MUI177" s="209"/>
      <c r="MUJ177" s="207"/>
      <c r="MUK177" s="210"/>
      <c r="MUL177" s="209"/>
      <c r="MUM177" s="204"/>
      <c r="MUN177" s="204"/>
      <c r="MUO177" s="204"/>
      <c r="MUP177" s="199"/>
      <c r="MUQ177" s="167"/>
      <c r="MUR177" s="199"/>
      <c r="MUS177" s="200"/>
      <c r="MUT177" s="201"/>
      <c r="MUU177" s="202"/>
      <c r="MUV177" s="202"/>
      <c r="MUW177" s="202"/>
      <c r="MUX177" s="202"/>
      <c r="MUY177" s="203"/>
      <c r="MUZ177" s="204"/>
      <c r="MVA177" s="204"/>
      <c r="MVB177" s="204"/>
      <c r="MVC177" s="205"/>
      <c r="MVD177" s="206"/>
      <c r="MVE177" s="207"/>
      <c r="MVF177" s="207"/>
      <c r="MVG177" s="208"/>
      <c r="MVH177" s="209"/>
      <c r="MVI177" s="207"/>
      <c r="MVJ177" s="210"/>
      <c r="MVK177" s="209"/>
      <c r="MVL177" s="204"/>
      <c r="MVM177" s="204"/>
      <c r="MVN177" s="204"/>
      <c r="MVO177" s="199"/>
      <c r="MVP177" s="167"/>
      <c r="MVQ177" s="199"/>
      <c r="MVR177" s="200"/>
      <c r="MVS177" s="201"/>
      <c r="MVT177" s="202"/>
      <c r="MVU177" s="202"/>
      <c r="MVV177" s="202"/>
      <c r="MVW177" s="202"/>
      <c r="MVX177" s="203"/>
      <c r="MVY177" s="204"/>
      <c r="MVZ177" s="204"/>
      <c r="MWA177" s="204"/>
      <c r="MWB177" s="205"/>
      <c r="MWC177" s="206"/>
      <c r="MWD177" s="207"/>
      <c r="MWE177" s="207"/>
      <c r="MWF177" s="208"/>
      <c r="MWG177" s="209"/>
      <c r="MWH177" s="207"/>
      <c r="MWI177" s="210"/>
      <c r="MWJ177" s="209"/>
      <c r="MWK177" s="204"/>
      <c r="MWL177" s="204"/>
      <c r="MWM177" s="204"/>
      <c r="MWN177" s="199"/>
      <c r="MWO177" s="167"/>
      <c r="MWP177" s="199"/>
      <c r="MWQ177" s="200"/>
      <c r="MWR177" s="201"/>
      <c r="MWS177" s="202"/>
      <c r="MWT177" s="202"/>
      <c r="MWU177" s="202"/>
      <c r="MWV177" s="202"/>
      <c r="MWW177" s="203"/>
      <c r="MWX177" s="204"/>
      <c r="MWY177" s="204"/>
      <c r="MWZ177" s="204"/>
      <c r="MXA177" s="205"/>
      <c r="MXB177" s="206"/>
      <c r="MXC177" s="207"/>
      <c r="MXD177" s="207"/>
      <c r="MXE177" s="208"/>
      <c r="MXF177" s="209"/>
      <c r="MXG177" s="207"/>
      <c r="MXH177" s="210"/>
      <c r="MXI177" s="209"/>
      <c r="MXJ177" s="204"/>
      <c r="MXK177" s="204"/>
      <c r="MXL177" s="204"/>
      <c r="MXM177" s="199"/>
      <c r="MXN177" s="167"/>
      <c r="MXO177" s="199"/>
      <c r="MXP177" s="200"/>
      <c r="MXQ177" s="201"/>
      <c r="MXR177" s="202"/>
      <c r="MXS177" s="202"/>
      <c r="MXT177" s="202"/>
      <c r="MXU177" s="202"/>
      <c r="MXV177" s="203"/>
      <c r="MXW177" s="204"/>
      <c r="MXX177" s="204"/>
      <c r="MXY177" s="204"/>
      <c r="MXZ177" s="205"/>
      <c r="MYA177" s="206"/>
      <c r="MYB177" s="207"/>
      <c r="MYC177" s="207"/>
      <c r="MYD177" s="208"/>
      <c r="MYE177" s="209"/>
      <c r="MYF177" s="207"/>
      <c r="MYG177" s="210"/>
      <c r="MYH177" s="209"/>
      <c r="MYI177" s="204"/>
      <c r="MYJ177" s="204"/>
      <c r="MYK177" s="204"/>
      <c r="MYL177" s="199"/>
      <c r="MYM177" s="167"/>
      <c r="MYN177" s="199"/>
      <c r="MYO177" s="200"/>
      <c r="MYP177" s="201"/>
      <c r="MYQ177" s="202"/>
      <c r="MYR177" s="202"/>
      <c r="MYS177" s="202"/>
      <c r="MYT177" s="202"/>
      <c r="MYU177" s="203"/>
      <c r="MYV177" s="204"/>
      <c r="MYW177" s="204"/>
      <c r="MYX177" s="204"/>
      <c r="MYY177" s="205"/>
      <c r="MYZ177" s="206"/>
      <c r="MZA177" s="207"/>
      <c r="MZB177" s="207"/>
      <c r="MZC177" s="208"/>
      <c r="MZD177" s="209"/>
      <c r="MZE177" s="207"/>
      <c r="MZF177" s="210"/>
      <c r="MZG177" s="209"/>
      <c r="MZH177" s="204"/>
      <c r="MZI177" s="204"/>
      <c r="MZJ177" s="204"/>
      <c r="MZK177" s="199"/>
      <c r="MZL177" s="167"/>
      <c r="MZM177" s="199"/>
      <c r="MZN177" s="200"/>
      <c r="MZO177" s="201"/>
      <c r="MZP177" s="202"/>
      <c r="MZQ177" s="202"/>
      <c r="MZR177" s="202"/>
      <c r="MZS177" s="202"/>
      <c r="MZT177" s="203"/>
      <c r="MZU177" s="204"/>
      <c r="MZV177" s="204"/>
      <c r="MZW177" s="204"/>
      <c r="MZX177" s="205"/>
      <c r="MZY177" s="206"/>
      <c r="MZZ177" s="207"/>
      <c r="NAA177" s="207"/>
      <c r="NAB177" s="208"/>
      <c r="NAC177" s="209"/>
      <c r="NAD177" s="207"/>
      <c r="NAE177" s="210"/>
      <c r="NAF177" s="209"/>
      <c r="NAG177" s="204"/>
      <c r="NAH177" s="204"/>
      <c r="NAI177" s="204"/>
      <c r="NAJ177" s="199"/>
      <c r="NAK177" s="167"/>
      <c r="NAL177" s="199"/>
      <c r="NAM177" s="200"/>
      <c r="NAN177" s="201"/>
      <c r="NAO177" s="202"/>
      <c r="NAP177" s="202"/>
      <c r="NAQ177" s="202"/>
      <c r="NAR177" s="202"/>
      <c r="NAS177" s="203"/>
      <c r="NAT177" s="204"/>
      <c r="NAU177" s="204"/>
      <c r="NAV177" s="204"/>
      <c r="NAW177" s="205"/>
      <c r="NAX177" s="206"/>
      <c r="NAY177" s="207"/>
      <c r="NAZ177" s="207"/>
      <c r="NBA177" s="208"/>
      <c r="NBB177" s="209"/>
      <c r="NBC177" s="207"/>
      <c r="NBD177" s="210"/>
      <c r="NBE177" s="209"/>
      <c r="NBF177" s="204"/>
      <c r="NBG177" s="204"/>
      <c r="NBH177" s="204"/>
      <c r="NBI177" s="199"/>
      <c r="NBJ177" s="167"/>
      <c r="NBK177" s="199"/>
      <c r="NBL177" s="200"/>
      <c r="NBM177" s="201"/>
      <c r="NBN177" s="202"/>
      <c r="NBO177" s="202"/>
      <c r="NBP177" s="202"/>
      <c r="NBQ177" s="202"/>
      <c r="NBR177" s="203"/>
      <c r="NBS177" s="204"/>
      <c r="NBT177" s="204"/>
      <c r="NBU177" s="204"/>
      <c r="NBV177" s="205"/>
      <c r="NBW177" s="206"/>
      <c r="NBX177" s="207"/>
      <c r="NBY177" s="207"/>
      <c r="NBZ177" s="208"/>
      <c r="NCA177" s="209"/>
      <c r="NCB177" s="207"/>
      <c r="NCC177" s="210"/>
      <c r="NCD177" s="209"/>
      <c r="NCE177" s="204"/>
      <c r="NCF177" s="204"/>
      <c r="NCG177" s="204"/>
      <c r="NCH177" s="199"/>
      <c r="NCI177" s="167"/>
      <c r="NCJ177" s="199"/>
      <c r="NCK177" s="200"/>
      <c r="NCL177" s="201"/>
      <c r="NCM177" s="202"/>
      <c r="NCN177" s="202"/>
      <c r="NCO177" s="202"/>
      <c r="NCP177" s="202"/>
      <c r="NCQ177" s="203"/>
      <c r="NCR177" s="204"/>
      <c r="NCS177" s="204"/>
      <c r="NCT177" s="204"/>
      <c r="NCU177" s="205"/>
      <c r="NCV177" s="206"/>
      <c r="NCW177" s="207"/>
      <c r="NCX177" s="207"/>
      <c r="NCY177" s="208"/>
      <c r="NCZ177" s="209"/>
      <c r="NDA177" s="207"/>
      <c r="NDB177" s="210"/>
      <c r="NDC177" s="209"/>
      <c r="NDD177" s="204"/>
      <c r="NDE177" s="204"/>
      <c r="NDF177" s="204"/>
      <c r="NDG177" s="199"/>
      <c r="NDH177" s="167"/>
      <c r="NDI177" s="199"/>
      <c r="NDJ177" s="200"/>
      <c r="NDK177" s="201"/>
      <c r="NDL177" s="202"/>
      <c r="NDM177" s="202"/>
      <c r="NDN177" s="202"/>
      <c r="NDO177" s="202"/>
      <c r="NDP177" s="203"/>
      <c r="NDQ177" s="204"/>
      <c r="NDR177" s="204"/>
      <c r="NDS177" s="204"/>
      <c r="NDT177" s="205"/>
      <c r="NDU177" s="206"/>
      <c r="NDV177" s="207"/>
      <c r="NDW177" s="207"/>
      <c r="NDX177" s="208"/>
      <c r="NDY177" s="209"/>
      <c r="NDZ177" s="207"/>
      <c r="NEA177" s="210"/>
      <c r="NEB177" s="209"/>
      <c r="NEC177" s="204"/>
      <c r="NED177" s="204"/>
      <c r="NEE177" s="204"/>
      <c r="NEF177" s="199"/>
      <c r="NEG177" s="167"/>
      <c r="NEH177" s="199"/>
      <c r="NEI177" s="200"/>
      <c r="NEJ177" s="201"/>
      <c r="NEK177" s="202"/>
      <c r="NEL177" s="202"/>
      <c r="NEM177" s="202"/>
      <c r="NEN177" s="202"/>
      <c r="NEO177" s="203"/>
      <c r="NEP177" s="204"/>
      <c r="NEQ177" s="204"/>
      <c r="NER177" s="204"/>
      <c r="NES177" s="205"/>
      <c r="NET177" s="206"/>
      <c r="NEU177" s="207"/>
      <c r="NEV177" s="207"/>
      <c r="NEW177" s="208"/>
      <c r="NEX177" s="209"/>
      <c r="NEY177" s="207"/>
      <c r="NEZ177" s="210"/>
      <c r="NFA177" s="209"/>
      <c r="NFB177" s="204"/>
      <c r="NFC177" s="204"/>
      <c r="NFD177" s="204"/>
      <c r="NFE177" s="199"/>
      <c r="NFF177" s="167"/>
      <c r="NFG177" s="199"/>
      <c r="NFH177" s="200"/>
      <c r="NFI177" s="201"/>
      <c r="NFJ177" s="202"/>
      <c r="NFK177" s="202"/>
      <c r="NFL177" s="202"/>
      <c r="NFM177" s="202"/>
      <c r="NFN177" s="203"/>
      <c r="NFO177" s="204"/>
      <c r="NFP177" s="204"/>
      <c r="NFQ177" s="204"/>
      <c r="NFR177" s="205"/>
      <c r="NFS177" s="206"/>
      <c r="NFT177" s="207"/>
      <c r="NFU177" s="207"/>
      <c r="NFV177" s="208"/>
      <c r="NFW177" s="209"/>
      <c r="NFX177" s="207"/>
      <c r="NFY177" s="210"/>
      <c r="NFZ177" s="209"/>
      <c r="NGA177" s="204"/>
      <c r="NGB177" s="204"/>
      <c r="NGC177" s="204"/>
      <c r="NGD177" s="199"/>
      <c r="NGE177" s="167"/>
      <c r="NGF177" s="199"/>
      <c r="NGG177" s="200"/>
      <c r="NGH177" s="201"/>
      <c r="NGI177" s="202"/>
      <c r="NGJ177" s="202"/>
      <c r="NGK177" s="202"/>
      <c r="NGL177" s="202"/>
      <c r="NGM177" s="203"/>
      <c r="NGN177" s="204"/>
      <c r="NGO177" s="204"/>
      <c r="NGP177" s="204"/>
      <c r="NGQ177" s="205"/>
      <c r="NGR177" s="206"/>
      <c r="NGS177" s="207"/>
      <c r="NGT177" s="207"/>
      <c r="NGU177" s="208"/>
      <c r="NGV177" s="209"/>
      <c r="NGW177" s="207"/>
      <c r="NGX177" s="210"/>
      <c r="NGY177" s="209"/>
      <c r="NGZ177" s="204"/>
      <c r="NHA177" s="204"/>
      <c r="NHB177" s="204"/>
      <c r="NHC177" s="199"/>
      <c r="NHD177" s="167"/>
      <c r="NHE177" s="199"/>
      <c r="NHF177" s="200"/>
      <c r="NHG177" s="201"/>
      <c r="NHH177" s="202"/>
      <c r="NHI177" s="202"/>
      <c r="NHJ177" s="202"/>
      <c r="NHK177" s="202"/>
      <c r="NHL177" s="203"/>
      <c r="NHM177" s="204"/>
      <c r="NHN177" s="204"/>
      <c r="NHO177" s="204"/>
      <c r="NHP177" s="205"/>
      <c r="NHQ177" s="206"/>
      <c r="NHR177" s="207"/>
      <c r="NHS177" s="207"/>
      <c r="NHT177" s="208"/>
      <c r="NHU177" s="209"/>
      <c r="NHV177" s="207"/>
      <c r="NHW177" s="210"/>
      <c r="NHX177" s="209"/>
      <c r="NHY177" s="204"/>
      <c r="NHZ177" s="204"/>
      <c r="NIA177" s="204"/>
      <c r="NIB177" s="199"/>
      <c r="NIC177" s="167"/>
      <c r="NID177" s="199"/>
      <c r="NIE177" s="200"/>
      <c r="NIF177" s="201"/>
      <c r="NIG177" s="202"/>
      <c r="NIH177" s="202"/>
      <c r="NII177" s="202"/>
      <c r="NIJ177" s="202"/>
      <c r="NIK177" s="203"/>
      <c r="NIL177" s="204"/>
      <c r="NIM177" s="204"/>
      <c r="NIN177" s="204"/>
      <c r="NIO177" s="205"/>
      <c r="NIP177" s="206"/>
      <c r="NIQ177" s="207"/>
      <c r="NIR177" s="207"/>
      <c r="NIS177" s="208"/>
      <c r="NIT177" s="209"/>
      <c r="NIU177" s="207"/>
      <c r="NIV177" s="210"/>
      <c r="NIW177" s="209"/>
      <c r="NIX177" s="204"/>
      <c r="NIY177" s="204"/>
      <c r="NIZ177" s="204"/>
      <c r="NJA177" s="199"/>
      <c r="NJB177" s="167"/>
      <c r="NJC177" s="199"/>
      <c r="NJD177" s="200"/>
      <c r="NJE177" s="201"/>
      <c r="NJF177" s="202"/>
      <c r="NJG177" s="202"/>
      <c r="NJH177" s="202"/>
      <c r="NJI177" s="202"/>
      <c r="NJJ177" s="203"/>
      <c r="NJK177" s="204"/>
      <c r="NJL177" s="204"/>
      <c r="NJM177" s="204"/>
      <c r="NJN177" s="205"/>
      <c r="NJO177" s="206"/>
      <c r="NJP177" s="207"/>
      <c r="NJQ177" s="207"/>
      <c r="NJR177" s="208"/>
      <c r="NJS177" s="209"/>
      <c r="NJT177" s="207"/>
      <c r="NJU177" s="210"/>
      <c r="NJV177" s="209"/>
      <c r="NJW177" s="204"/>
      <c r="NJX177" s="204"/>
      <c r="NJY177" s="204"/>
      <c r="NJZ177" s="199"/>
      <c r="NKA177" s="167"/>
      <c r="NKB177" s="199"/>
      <c r="NKC177" s="200"/>
      <c r="NKD177" s="201"/>
      <c r="NKE177" s="202"/>
      <c r="NKF177" s="202"/>
      <c r="NKG177" s="202"/>
      <c r="NKH177" s="202"/>
      <c r="NKI177" s="203"/>
      <c r="NKJ177" s="204"/>
      <c r="NKK177" s="204"/>
      <c r="NKL177" s="204"/>
      <c r="NKM177" s="205"/>
      <c r="NKN177" s="206"/>
      <c r="NKO177" s="207"/>
      <c r="NKP177" s="207"/>
      <c r="NKQ177" s="208"/>
      <c r="NKR177" s="209"/>
      <c r="NKS177" s="207"/>
      <c r="NKT177" s="210"/>
      <c r="NKU177" s="209"/>
      <c r="NKV177" s="204"/>
      <c r="NKW177" s="204"/>
      <c r="NKX177" s="204"/>
      <c r="NKY177" s="199"/>
      <c r="NKZ177" s="167"/>
      <c r="NLA177" s="199"/>
      <c r="NLB177" s="200"/>
      <c r="NLC177" s="201"/>
      <c r="NLD177" s="202"/>
      <c r="NLE177" s="202"/>
      <c r="NLF177" s="202"/>
      <c r="NLG177" s="202"/>
      <c r="NLH177" s="203"/>
      <c r="NLI177" s="204"/>
      <c r="NLJ177" s="204"/>
      <c r="NLK177" s="204"/>
      <c r="NLL177" s="205"/>
      <c r="NLM177" s="206"/>
      <c r="NLN177" s="207"/>
      <c r="NLO177" s="207"/>
      <c r="NLP177" s="208"/>
      <c r="NLQ177" s="209"/>
      <c r="NLR177" s="207"/>
      <c r="NLS177" s="210"/>
      <c r="NLT177" s="209"/>
      <c r="NLU177" s="204"/>
      <c r="NLV177" s="204"/>
      <c r="NLW177" s="204"/>
      <c r="NLX177" s="199"/>
      <c r="NLY177" s="167"/>
      <c r="NLZ177" s="199"/>
      <c r="NMA177" s="200"/>
      <c r="NMB177" s="201"/>
      <c r="NMC177" s="202"/>
      <c r="NMD177" s="202"/>
      <c r="NME177" s="202"/>
      <c r="NMF177" s="202"/>
      <c r="NMG177" s="203"/>
      <c r="NMH177" s="204"/>
      <c r="NMI177" s="204"/>
      <c r="NMJ177" s="204"/>
      <c r="NMK177" s="205"/>
      <c r="NML177" s="206"/>
      <c r="NMM177" s="207"/>
      <c r="NMN177" s="207"/>
      <c r="NMO177" s="208"/>
      <c r="NMP177" s="209"/>
      <c r="NMQ177" s="207"/>
      <c r="NMR177" s="210"/>
      <c r="NMS177" s="209"/>
      <c r="NMT177" s="204"/>
      <c r="NMU177" s="204"/>
      <c r="NMV177" s="204"/>
      <c r="NMW177" s="199"/>
      <c r="NMX177" s="167"/>
      <c r="NMY177" s="199"/>
      <c r="NMZ177" s="200"/>
      <c r="NNA177" s="201"/>
      <c r="NNB177" s="202"/>
      <c r="NNC177" s="202"/>
      <c r="NND177" s="202"/>
      <c r="NNE177" s="202"/>
      <c r="NNF177" s="203"/>
      <c r="NNG177" s="204"/>
      <c r="NNH177" s="204"/>
      <c r="NNI177" s="204"/>
      <c r="NNJ177" s="205"/>
      <c r="NNK177" s="206"/>
      <c r="NNL177" s="207"/>
      <c r="NNM177" s="207"/>
      <c r="NNN177" s="208"/>
      <c r="NNO177" s="209"/>
      <c r="NNP177" s="207"/>
      <c r="NNQ177" s="210"/>
      <c r="NNR177" s="209"/>
      <c r="NNS177" s="204"/>
      <c r="NNT177" s="204"/>
      <c r="NNU177" s="204"/>
      <c r="NNV177" s="199"/>
      <c r="NNW177" s="167"/>
      <c r="NNX177" s="199"/>
      <c r="NNY177" s="200"/>
      <c r="NNZ177" s="201"/>
      <c r="NOA177" s="202"/>
      <c r="NOB177" s="202"/>
      <c r="NOC177" s="202"/>
      <c r="NOD177" s="202"/>
      <c r="NOE177" s="203"/>
      <c r="NOF177" s="204"/>
      <c r="NOG177" s="204"/>
      <c r="NOH177" s="204"/>
      <c r="NOI177" s="205"/>
      <c r="NOJ177" s="206"/>
      <c r="NOK177" s="207"/>
      <c r="NOL177" s="207"/>
      <c r="NOM177" s="208"/>
      <c r="NON177" s="209"/>
      <c r="NOO177" s="207"/>
      <c r="NOP177" s="210"/>
      <c r="NOQ177" s="209"/>
      <c r="NOR177" s="204"/>
      <c r="NOS177" s="204"/>
      <c r="NOT177" s="204"/>
      <c r="NOU177" s="199"/>
      <c r="NOV177" s="167"/>
      <c r="NOW177" s="199"/>
      <c r="NOX177" s="200"/>
      <c r="NOY177" s="201"/>
      <c r="NOZ177" s="202"/>
      <c r="NPA177" s="202"/>
      <c r="NPB177" s="202"/>
      <c r="NPC177" s="202"/>
      <c r="NPD177" s="203"/>
      <c r="NPE177" s="204"/>
      <c r="NPF177" s="204"/>
      <c r="NPG177" s="204"/>
      <c r="NPH177" s="205"/>
      <c r="NPI177" s="206"/>
      <c r="NPJ177" s="207"/>
      <c r="NPK177" s="207"/>
      <c r="NPL177" s="208"/>
      <c r="NPM177" s="209"/>
      <c r="NPN177" s="207"/>
      <c r="NPO177" s="210"/>
      <c r="NPP177" s="209"/>
      <c r="NPQ177" s="204"/>
      <c r="NPR177" s="204"/>
      <c r="NPS177" s="204"/>
      <c r="NPT177" s="199"/>
      <c r="NPU177" s="167"/>
      <c r="NPV177" s="199"/>
      <c r="NPW177" s="200"/>
      <c r="NPX177" s="201"/>
      <c r="NPY177" s="202"/>
      <c r="NPZ177" s="202"/>
      <c r="NQA177" s="202"/>
      <c r="NQB177" s="202"/>
      <c r="NQC177" s="203"/>
      <c r="NQD177" s="204"/>
      <c r="NQE177" s="204"/>
      <c r="NQF177" s="204"/>
      <c r="NQG177" s="205"/>
      <c r="NQH177" s="206"/>
      <c r="NQI177" s="207"/>
      <c r="NQJ177" s="207"/>
      <c r="NQK177" s="208"/>
      <c r="NQL177" s="209"/>
      <c r="NQM177" s="207"/>
      <c r="NQN177" s="210"/>
      <c r="NQO177" s="209"/>
      <c r="NQP177" s="204"/>
      <c r="NQQ177" s="204"/>
      <c r="NQR177" s="204"/>
      <c r="NQS177" s="199"/>
      <c r="NQT177" s="167"/>
      <c r="NQU177" s="199"/>
      <c r="NQV177" s="200"/>
      <c r="NQW177" s="201"/>
      <c r="NQX177" s="202"/>
      <c r="NQY177" s="202"/>
      <c r="NQZ177" s="202"/>
      <c r="NRA177" s="202"/>
      <c r="NRB177" s="203"/>
      <c r="NRC177" s="204"/>
      <c r="NRD177" s="204"/>
      <c r="NRE177" s="204"/>
      <c r="NRF177" s="205"/>
      <c r="NRG177" s="206"/>
      <c r="NRH177" s="207"/>
      <c r="NRI177" s="207"/>
      <c r="NRJ177" s="208"/>
      <c r="NRK177" s="209"/>
      <c r="NRL177" s="207"/>
      <c r="NRM177" s="210"/>
      <c r="NRN177" s="209"/>
      <c r="NRO177" s="204"/>
      <c r="NRP177" s="204"/>
      <c r="NRQ177" s="204"/>
      <c r="NRR177" s="199"/>
      <c r="NRS177" s="167"/>
      <c r="NRT177" s="199"/>
      <c r="NRU177" s="200"/>
      <c r="NRV177" s="201"/>
      <c r="NRW177" s="202"/>
      <c r="NRX177" s="202"/>
      <c r="NRY177" s="202"/>
      <c r="NRZ177" s="202"/>
      <c r="NSA177" s="203"/>
      <c r="NSB177" s="204"/>
      <c r="NSC177" s="204"/>
      <c r="NSD177" s="204"/>
      <c r="NSE177" s="205"/>
      <c r="NSF177" s="206"/>
      <c r="NSG177" s="207"/>
      <c r="NSH177" s="207"/>
      <c r="NSI177" s="208"/>
      <c r="NSJ177" s="209"/>
      <c r="NSK177" s="207"/>
      <c r="NSL177" s="210"/>
      <c r="NSM177" s="209"/>
      <c r="NSN177" s="204"/>
      <c r="NSO177" s="204"/>
      <c r="NSP177" s="204"/>
      <c r="NSQ177" s="199"/>
      <c r="NSR177" s="167"/>
      <c r="NSS177" s="199"/>
      <c r="NST177" s="200"/>
      <c r="NSU177" s="201"/>
      <c r="NSV177" s="202"/>
      <c r="NSW177" s="202"/>
      <c r="NSX177" s="202"/>
      <c r="NSY177" s="202"/>
      <c r="NSZ177" s="203"/>
      <c r="NTA177" s="204"/>
      <c r="NTB177" s="204"/>
      <c r="NTC177" s="204"/>
      <c r="NTD177" s="205"/>
      <c r="NTE177" s="206"/>
      <c r="NTF177" s="207"/>
      <c r="NTG177" s="207"/>
      <c r="NTH177" s="208"/>
      <c r="NTI177" s="209"/>
      <c r="NTJ177" s="207"/>
      <c r="NTK177" s="210"/>
      <c r="NTL177" s="209"/>
      <c r="NTM177" s="204"/>
      <c r="NTN177" s="204"/>
      <c r="NTO177" s="204"/>
      <c r="NTP177" s="199"/>
      <c r="NTQ177" s="167"/>
      <c r="NTR177" s="199"/>
      <c r="NTS177" s="200"/>
      <c r="NTT177" s="201"/>
      <c r="NTU177" s="202"/>
      <c r="NTV177" s="202"/>
      <c r="NTW177" s="202"/>
      <c r="NTX177" s="202"/>
      <c r="NTY177" s="203"/>
      <c r="NTZ177" s="204"/>
      <c r="NUA177" s="204"/>
      <c r="NUB177" s="204"/>
      <c r="NUC177" s="205"/>
      <c r="NUD177" s="206"/>
      <c r="NUE177" s="207"/>
      <c r="NUF177" s="207"/>
      <c r="NUG177" s="208"/>
      <c r="NUH177" s="209"/>
      <c r="NUI177" s="207"/>
      <c r="NUJ177" s="210"/>
      <c r="NUK177" s="209"/>
      <c r="NUL177" s="204"/>
      <c r="NUM177" s="204"/>
      <c r="NUN177" s="204"/>
      <c r="NUO177" s="199"/>
      <c r="NUP177" s="167"/>
      <c r="NUQ177" s="199"/>
      <c r="NUR177" s="200"/>
      <c r="NUS177" s="201"/>
      <c r="NUT177" s="202"/>
      <c r="NUU177" s="202"/>
      <c r="NUV177" s="202"/>
      <c r="NUW177" s="202"/>
      <c r="NUX177" s="203"/>
      <c r="NUY177" s="204"/>
      <c r="NUZ177" s="204"/>
      <c r="NVA177" s="204"/>
      <c r="NVB177" s="205"/>
      <c r="NVC177" s="206"/>
      <c r="NVD177" s="207"/>
      <c r="NVE177" s="207"/>
      <c r="NVF177" s="208"/>
      <c r="NVG177" s="209"/>
      <c r="NVH177" s="207"/>
      <c r="NVI177" s="210"/>
      <c r="NVJ177" s="209"/>
      <c r="NVK177" s="204"/>
      <c r="NVL177" s="204"/>
      <c r="NVM177" s="204"/>
      <c r="NVN177" s="199"/>
      <c r="NVO177" s="167"/>
      <c r="NVP177" s="199"/>
      <c r="NVQ177" s="200"/>
      <c r="NVR177" s="201"/>
      <c r="NVS177" s="202"/>
      <c r="NVT177" s="202"/>
      <c r="NVU177" s="202"/>
      <c r="NVV177" s="202"/>
      <c r="NVW177" s="203"/>
      <c r="NVX177" s="204"/>
      <c r="NVY177" s="204"/>
      <c r="NVZ177" s="204"/>
      <c r="NWA177" s="205"/>
      <c r="NWB177" s="206"/>
      <c r="NWC177" s="207"/>
      <c r="NWD177" s="207"/>
      <c r="NWE177" s="208"/>
      <c r="NWF177" s="209"/>
      <c r="NWG177" s="207"/>
      <c r="NWH177" s="210"/>
      <c r="NWI177" s="209"/>
      <c r="NWJ177" s="204"/>
      <c r="NWK177" s="204"/>
      <c r="NWL177" s="204"/>
      <c r="NWM177" s="199"/>
      <c r="NWN177" s="167"/>
      <c r="NWO177" s="199"/>
      <c r="NWP177" s="200"/>
      <c r="NWQ177" s="201"/>
      <c r="NWR177" s="202"/>
      <c r="NWS177" s="202"/>
      <c r="NWT177" s="202"/>
      <c r="NWU177" s="202"/>
      <c r="NWV177" s="203"/>
      <c r="NWW177" s="204"/>
      <c r="NWX177" s="204"/>
      <c r="NWY177" s="204"/>
      <c r="NWZ177" s="205"/>
      <c r="NXA177" s="206"/>
      <c r="NXB177" s="207"/>
      <c r="NXC177" s="207"/>
      <c r="NXD177" s="208"/>
      <c r="NXE177" s="209"/>
      <c r="NXF177" s="207"/>
      <c r="NXG177" s="210"/>
      <c r="NXH177" s="209"/>
      <c r="NXI177" s="204"/>
      <c r="NXJ177" s="204"/>
      <c r="NXK177" s="204"/>
      <c r="NXL177" s="199"/>
      <c r="NXM177" s="167"/>
      <c r="NXN177" s="199"/>
      <c r="NXO177" s="200"/>
      <c r="NXP177" s="201"/>
      <c r="NXQ177" s="202"/>
      <c r="NXR177" s="202"/>
      <c r="NXS177" s="202"/>
      <c r="NXT177" s="202"/>
      <c r="NXU177" s="203"/>
      <c r="NXV177" s="204"/>
      <c r="NXW177" s="204"/>
      <c r="NXX177" s="204"/>
      <c r="NXY177" s="205"/>
      <c r="NXZ177" s="206"/>
      <c r="NYA177" s="207"/>
      <c r="NYB177" s="207"/>
      <c r="NYC177" s="208"/>
      <c r="NYD177" s="209"/>
      <c r="NYE177" s="207"/>
      <c r="NYF177" s="210"/>
      <c r="NYG177" s="209"/>
      <c r="NYH177" s="204"/>
      <c r="NYI177" s="204"/>
      <c r="NYJ177" s="204"/>
      <c r="NYK177" s="199"/>
      <c r="NYL177" s="167"/>
      <c r="NYM177" s="199"/>
      <c r="NYN177" s="200"/>
      <c r="NYO177" s="201"/>
      <c r="NYP177" s="202"/>
      <c r="NYQ177" s="202"/>
      <c r="NYR177" s="202"/>
      <c r="NYS177" s="202"/>
      <c r="NYT177" s="203"/>
      <c r="NYU177" s="204"/>
      <c r="NYV177" s="204"/>
      <c r="NYW177" s="204"/>
      <c r="NYX177" s="205"/>
      <c r="NYY177" s="206"/>
      <c r="NYZ177" s="207"/>
      <c r="NZA177" s="207"/>
      <c r="NZB177" s="208"/>
      <c r="NZC177" s="209"/>
      <c r="NZD177" s="207"/>
      <c r="NZE177" s="210"/>
      <c r="NZF177" s="209"/>
      <c r="NZG177" s="204"/>
      <c r="NZH177" s="204"/>
      <c r="NZI177" s="204"/>
      <c r="NZJ177" s="199"/>
      <c r="NZK177" s="167"/>
      <c r="NZL177" s="199"/>
      <c r="NZM177" s="200"/>
      <c r="NZN177" s="201"/>
      <c r="NZO177" s="202"/>
      <c r="NZP177" s="202"/>
      <c r="NZQ177" s="202"/>
      <c r="NZR177" s="202"/>
      <c r="NZS177" s="203"/>
      <c r="NZT177" s="204"/>
      <c r="NZU177" s="204"/>
      <c r="NZV177" s="204"/>
      <c r="NZW177" s="205"/>
      <c r="NZX177" s="206"/>
      <c r="NZY177" s="207"/>
      <c r="NZZ177" s="207"/>
      <c r="OAA177" s="208"/>
      <c r="OAB177" s="209"/>
      <c r="OAC177" s="207"/>
      <c r="OAD177" s="210"/>
      <c r="OAE177" s="209"/>
      <c r="OAF177" s="204"/>
      <c r="OAG177" s="204"/>
      <c r="OAH177" s="204"/>
      <c r="OAI177" s="199"/>
      <c r="OAJ177" s="167"/>
      <c r="OAK177" s="199"/>
      <c r="OAL177" s="200"/>
      <c r="OAM177" s="201"/>
      <c r="OAN177" s="202"/>
      <c r="OAO177" s="202"/>
      <c r="OAP177" s="202"/>
      <c r="OAQ177" s="202"/>
      <c r="OAR177" s="203"/>
      <c r="OAS177" s="204"/>
      <c r="OAT177" s="204"/>
      <c r="OAU177" s="204"/>
      <c r="OAV177" s="205"/>
      <c r="OAW177" s="206"/>
      <c r="OAX177" s="207"/>
      <c r="OAY177" s="207"/>
      <c r="OAZ177" s="208"/>
      <c r="OBA177" s="209"/>
      <c r="OBB177" s="207"/>
      <c r="OBC177" s="210"/>
      <c r="OBD177" s="209"/>
      <c r="OBE177" s="204"/>
      <c r="OBF177" s="204"/>
      <c r="OBG177" s="204"/>
      <c r="OBH177" s="199"/>
      <c r="OBI177" s="167"/>
      <c r="OBJ177" s="199"/>
      <c r="OBK177" s="200"/>
      <c r="OBL177" s="201"/>
      <c r="OBM177" s="202"/>
      <c r="OBN177" s="202"/>
      <c r="OBO177" s="202"/>
      <c r="OBP177" s="202"/>
      <c r="OBQ177" s="203"/>
      <c r="OBR177" s="204"/>
      <c r="OBS177" s="204"/>
      <c r="OBT177" s="204"/>
      <c r="OBU177" s="205"/>
      <c r="OBV177" s="206"/>
      <c r="OBW177" s="207"/>
      <c r="OBX177" s="207"/>
      <c r="OBY177" s="208"/>
      <c r="OBZ177" s="209"/>
      <c r="OCA177" s="207"/>
      <c r="OCB177" s="210"/>
      <c r="OCC177" s="209"/>
      <c r="OCD177" s="204"/>
      <c r="OCE177" s="204"/>
      <c r="OCF177" s="204"/>
      <c r="OCG177" s="199"/>
      <c r="OCH177" s="167"/>
      <c r="OCI177" s="199"/>
      <c r="OCJ177" s="200"/>
      <c r="OCK177" s="201"/>
      <c r="OCL177" s="202"/>
      <c r="OCM177" s="202"/>
      <c r="OCN177" s="202"/>
      <c r="OCO177" s="202"/>
      <c r="OCP177" s="203"/>
      <c r="OCQ177" s="204"/>
      <c r="OCR177" s="204"/>
      <c r="OCS177" s="204"/>
      <c r="OCT177" s="205"/>
      <c r="OCU177" s="206"/>
      <c r="OCV177" s="207"/>
      <c r="OCW177" s="207"/>
      <c r="OCX177" s="208"/>
      <c r="OCY177" s="209"/>
      <c r="OCZ177" s="207"/>
      <c r="ODA177" s="210"/>
      <c r="ODB177" s="209"/>
      <c r="ODC177" s="204"/>
      <c r="ODD177" s="204"/>
      <c r="ODE177" s="204"/>
      <c r="ODF177" s="199"/>
      <c r="ODG177" s="167"/>
      <c r="ODH177" s="199"/>
      <c r="ODI177" s="200"/>
      <c r="ODJ177" s="201"/>
      <c r="ODK177" s="202"/>
      <c r="ODL177" s="202"/>
      <c r="ODM177" s="202"/>
      <c r="ODN177" s="202"/>
      <c r="ODO177" s="203"/>
      <c r="ODP177" s="204"/>
      <c r="ODQ177" s="204"/>
      <c r="ODR177" s="204"/>
      <c r="ODS177" s="205"/>
      <c r="ODT177" s="206"/>
      <c r="ODU177" s="207"/>
      <c r="ODV177" s="207"/>
      <c r="ODW177" s="208"/>
      <c r="ODX177" s="209"/>
      <c r="ODY177" s="207"/>
      <c r="ODZ177" s="210"/>
      <c r="OEA177" s="209"/>
      <c r="OEB177" s="204"/>
      <c r="OEC177" s="204"/>
      <c r="OED177" s="204"/>
      <c r="OEE177" s="199"/>
      <c r="OEF177" s="167"/>
      <c r="OEG177" s="199"/>
      <c r="OEH177" s="200"/>
      <c r="OEI177" s="201"/>
      <c r="OEJ177" s="202"/>
      <c r="OEK177" s="202"/>
      <c r="OEL177" s="202"/>
      <c r="OEM177" s="202"/>
      <c r="OEN177" s="203"/>
      <c r="OEO177" s="204"/>
      <c r="OEP177" s="204"/>
      <c r="OEQ177" s="204"/>
      <c r="OER177" s="205"/>
      <c r="OES177" s="206"/>
      <c r="OET177" s="207"/>
      <c r="OEU177" s="207"/>
      <c r="OEV177" s="208"/>
      <c r="OEW177" s="209"/>
      <c r="OEX177" s="207"/>
      <c r="OEY177" s="210"/>
      <c r="OEZ177" s="209"/>
      <c r="OFA177" s="204"/>
      <c r="OFB177" s="204"/>
      <c r="OFC177" s="204"/>
      <c r="OFD177" s="199"/>
      <c r="OFE177" s="167"/>
      <c r="OFF177" s="199"/>
      <c r="OFG177" s="200"/>
      <c r="OFH177" s="201"/>
      <c r="OFI177" s="202"/>
      <c r="OFJ177" s="202"/>
      <c r="OFK177" s="202"/>
      <c r="OFL177" s="202"/>
      <c r="OFM177" s="203"/>
      <c r="OFN177" s="204"/>
      <c r="OFO177" s="204"/>
      <c r="OFP177" s="204"/>
      <c r="OFQ177" s="205"/>
      <c r="OFR177" s="206"/>
      <c r="OFS177" s="207"/>
      <c r="OFT177" s="207"/>
      <c r="OFU177" s="208"/>
      <c r="OFV177" s="209"/>
      <c r="OFW177" s="207"/>
      <c r="OFX177" s="210"/>
      <c r="OFY177" s="209"/>
      <c r="OFZ177" s="204"/>
      <c r="OGA177" s="204"/>
      <c r="OGB177" s="204"/>
      <c r="OGC177" s="199"/>
      <c r="OGD177" s="167"/>
      <c r="OGE177" s="199"/>
      <c r="OGF177" s="200"/>
      <c r="OGG177" s="201"/>
      <c r="OGH177" s="202"/>
      <c r="OGI177" s="202"/>
      <c r="OGJ177" s="202"/>
      <c r="OGK177" s="202"/>
      <c r="OGL177" s="203"/>
      <c r="OGM177" s="204"/>
      <c r="OGN177" s="204"/>
      <c r="OGO177" s="204"/>
      <c r="OGP177" s="205"/>
      <c r="OGQ177" s="206"/>
      <c r="OGR177" s="207"/>
      <c r="OGS177" s="207"/>
      <c r="OGT177" s="208"/>
      <c r="OGU177" s="209"/>
      <c r="OGV177" s="207"/>
      <c r="OGW177" s="210"/>
      <c r="OGX177" s="209"/>
      <c r="OGY177" s="204"/>
      <c r="OGZ177" s="204"/>
      <c r="OHA177" s="204"/>
      <c r="OHB177" s="199"/>
      <c r="OHC177" s="167"/>
      <c r="OHD177" s="199"/>
      <c r="OHE177" s="200"/>
      <c r="OHF177" s="201"/>
      <c r="OHG177" s="202"/>
      <c r="OHH177" s="202"/>
      <c r="OHI177" s="202"/>
      <c r="OHJ177" s="202"/>
      <c r="OHK177" s="203"/>
      <c r="OHL177" s="204"/>
      <c r="OHM177" s="204"/>
      <c r="OHN177" s="204"/>
      <c r="OHO177" s="205"/>
      <c r="OHP177" s="206"/>
      <c r="OHQ177" s="207"/>
      <c r="OHR177" s="207"/>
      <c r="OHS177" s="208"/>
      <c r="OHT177" s="209"/>
      <c r="OHU177" s="207"/>
      <c r="OHV177" s="210"/>
      <c r="OHW177" s="209"/>
      <c r="OHX177" s="204"/>
      <c r="OHY177" s="204"/>
      <c r="OHZ177" s="204"/>
      <c r="OIA177" s="199"/>
      <c r="OIB177" s="167"/>
      <c r="OIC177" s="199"/>
      <c r="OID177" s="200"/>
      <c r="OIE177" s="201"/>
      <c r="OIF177" s="202"/>
      <c r="OIG177" s="202"/>
      <c r="OIH177" s="202"/>
      <c r="OII177" s="202"/>
      <c r="OIJ177" s="203"/>
      <c r="OIK177" s="204"/>
      <c r="OIL177" s="204"/>
      <c r="OIM177" s="204"/>
      <c r="OIN177" s="205"/>
      <c r="OIO177" s="206"/>
      <c r="OIP177" s="207"/>
      <c r="OIQ177" s="207"/>
      <c r="OIR177" s="208"/>
      <c r="OIS177" s="209"/>
      <c r="OIT177" s="207"/>
      <c r="OIU177" s="210"/>
      <c r="OIV177" s="209"/>
      <c r="OIW177" s="204"/>
      <c r="OIX177" s="204"/>
      <c r="OIY177" s="204"/>
      <c r="OIZ177" s="199"/>
      <c r="OJA177" s="167"/>
      <c r="OJB177" s="199"/>
      <c r="OJC177" s="200"/>
      <c r="OJD177" s="201"/>
      <c r="OJE177" s="202"/>
      <c r="OJF177" s="202"/>
      <c r="OJG177" s="202"/>
      <c r="OJH177" s="202"/>
      <c r="OJI177" s="203"/>
      <c r="OJJ177" s="204"/>
      <c r="OJK177" s="204"/>
      <c r="OJL177" s="204"/>
      <c r="OJM177" s="205"/>
      <c r="OJN177" s="206"/>
      <c r="OJO177" s="207"/>
      <c r="OJP177" s="207"/>
      <c r="OJQ177" s="208"/>
      <c r="OJR177" s="209"/>
      <c r="OJS177" s="207"/>
      <c r="OJT177" s="210"/>
      <c r="OJU177" s="209"/>
      <c r="OJV177" s="204"/>
      <c r="OJW177" s="204"/>
      <c r="OJX177" s="204"/>
      <c r="OJY177" s="199"/>
      <c r="OJZ177" s="167"/>
      <c r="OKA177" s="199"/>
      <c r="OKB177" s="200"/>
      <c r="OKC177" s="201"/>
      <c r="OKD177" s="202"/>
      <c r="OKE177" s="202"/>
      <c r="OKF177" s="202"/>
      <c r="OKG177" s="202"/>
      <c r="OKH177" s="203"/>
      <c r="OKI177" s="204"/>
      <c r="OKJ177" s="204"/>
      <c r="OKK177" s="204"/>
      <c r="OKL177" s="205"/>
      <c r="OKM177" s="206"/>
      <c r="OKN177" s="207"/>
      <c r="OKO177" s="207"/>
      <c r="OKP177" s="208"/>
      <c r="OKQ177" s="209"/>
      <c r="OKR177" s="207"/>
      <c r="OKS177" s="210"/>
      <c r="OKT177" s="209"/>
      <c r="OKU177" s="204"/>
      <c r="OKV177" s="204"/>
      <c r="OKW177" s="204"/>
      <c r="OKX177" s="199"/>
      <c r="OKY177" s="167"/>
      <c r="OKZ177" s="199"/>
      <c r="OLA177" s="200"/>
      <c r="OLB177" s="201"/>
      <c r="OLC177" s="202"/>
      <c r="OLD177" s="202"/>
      <c r="OLE177" s="202"/>
      <c r="OLF177" s="202"/>
      <c r="OLG177" s="203"/>
      <c r="OLH177" s="204"/>
      <c r="OLI177" s="204"/>
      <c r="OLJ177" s="204"/>
      <c r="OLK177" s="205"/>
      <c r="OLL177" s="206"/>
      <c r="OLM177" s="207"/>
      <c r="OLN177" s="207"/>
      <c r="OLO177" s="208"/>
      <c r="OLP177" s="209"/>
      <c r="OLQ177" s="207"/>
      <c r="OLR177" s="210"/>
      <c r="OLS177" s="209"/>
      <c r="OLT177" s="204"/>
      <c r="OLU177" s="204"/>
      <c r="OLV177" s="204"/>
      <c r="OLW177" s="199"/>
      <c r="OLX177" s="167"/>
      <c r="OLY177" s="199"/>
      <c r="OLZ177" s="200"/>
      <c r="OMA177" s="201"/>
      <c r="OMB177" s="202"/>
      <c r="OMC177" s="202"/>
      <c r="OMD177" s="202"/>
      <c r="OME177" s="202"/>
      <c r="OMF177" s="203"/>
      <c r="OMG177" s="204"/>
      <c r="OMH177" s="204"/>
      <c r="OMI177" s="204"/>
      <c r="OMJ177" s="205"/>
      <c r="OMK177" s="206"/>
      <c r="OML177" s="207"/>
      <c r="OMM177" s="207"/>
      <c r="OMN177" s="208"/>
      <c r="OMO177" s="209"/>
      <c r="OMP177" s="207"/>
      <c r="OMQ177" s="210"/>
      <c r="OMR177" s="209"/>
      <c r="OMS177" s="204"/>
      <c r="OMT177" s="204"/>
      <c r="OMU177" s="204"/>
      <c r="OMV177" s="199"/>
      <c r="OMW177" s="167"/>
      <c r="OMX177" s="199"/>
      <c r="OMY177" s="200"/>
      <c r="OMZ177" s="201"/>
      <c r="ONA177" s="202"/>
      <c r="ONB177" s="202"/>
      <c r="ONC177" s="202"/>
      <c r="OND177" s="202"/>
      <c r="ONE177" s="203"/>
      <c r="ONF177" s="204"/>
      <c r="ONG177" s="204"/>
      <c r="ONH177" s="204"/>
      <c r="ONI177" s="205"/>
      <c r="ONJ177" s="206"/>
      <c r="ONK177" s="207"/>
      <c r="ONL177" s="207"/>
      <c r="ONM177" s="208"/>
      <c r="ONN177" s="209"/>
      <c r="ONO177" s="207"/>
      <c r="ONP177" s="210"/>
      <c r="ONQ177" s="209"/>
      <c r="ONR177" s="204"/>
      <c r="ONS177" s="204"/>
      <c r="ONT177" s="204"/>
      <c r="ONU177" s="199"/>
      <c r="ONV177" s="167"/>
      <c r="ONW177" s="199"/>
      <c r="ONX177" s="200"/>
      <c r="ONY177" s="201"/>
      <c r="ONZ177" s="202"/>
      <c r="OOA177" s="202"/>
      <c r="OOB177" s="202"/>
      <c r="OOC177" s="202"/>
      <c r="OOD177" s="203"/>
      <c r="OOE177" s="204"/>
      <c r="OOF177" s="204"/>
      <c r="OOG177" s="204"/>
      <c r="OOH177" s="205"/>
      <c r="OOI177" s="206"/>
      <c r="OOJ177" s="207"/>
      <c r="OOK177" s="207"/>
      <c r="OOL177" s="208"/>
      <c r="OOM177" s="209"/>
      <c r="OON177" s="207"/>
      <c r="OOO177" s="210"/>
      <c r="OOP177" s="209"/>
      <c r="OOQ177" s="204"/>
      <c r="OOR177" s="204"/>
      <c r="OOS177" s="204"/>
      <c r="OOT177" s="199"/>
      <c r="OOU177" s="167"/>
      <c r="OOV177" s="199"/>
      <c r="OOW177" s="200"/>
      <c r="OOX177" s="201"/>
      <c r="OOY177" s="202"/>
      <c r="OOZ177" s="202"/>
      <c r="OPA177" s="202"/>
      <c r="OPB177" s="202"/>
      <c r="OPC177" s="203"/>
      <c r="OPD177" s="204"/>
      <c r="OPE177" s="204"/>
      <c r="OPF177" s="204"/>
      <c r="OPG177" s="205"/>
      <c r="OPH177" s="206"/>
      <c r="OPI177" s="207"/>
      <c r="OPJ177" s="207"/>
      <c r="OPK177" s="208"/>
      <c r="OPL177" s="209"/>
      <c r="OPM177" s="207"/>
      <c r="OPN177" s="210"/>
      <c r="OPO177" s="209"/>
      <c r="OPP177" s="204"/>
      <c r="OPQ177" s="204"/>
      <c r="OPR177" s="204"/>
      <c r="OPS177" s="199"/>
      <c r="OPT177" s="167"/>
      <c r="OPU177" s="199"/>
      <c r="OPV177" s="200"/>
      <c r="OPW177" s="201"/>
      <c r="OPX177" s="202"/>
      <c r="OPY177" s="202"/>
      <c r="OPZ177" s="202"/>
      <c r="OQA177" s="202"/>
      <c r="OQB177" s="203"/>
      <c r="OQC177" s="204"/>
      <c r="OQD177" s="204"/>
      <c r="OQE177" s="204"/>
      <c r="OQF177" s="205"/>
      <c r="OQG177" s="206"/>
      <c r="OQH177" s="207"/>
      <c r="OQI177" s="207"/>
      <c r="OQJ177" s="208"/>
      <c r="OQK177" s="209"/>
      <c r="OQL177" s="207"/>
      <c r="OQM177" s="210"/>
      <c r="OQN177" s="209"/>
      <c r="OQO177" s="204"/>
      <c r="OQP177" s="204"/>
      <c r="OQQ177" s="204"/>
      <c r="OQR177" s="199"/>
      <c r="OQS177" s="167"/>
      <c r="OQT177" s="199"/>
      <c r="OQU177" s="200"/>
      <c r="OQV177" s="201"/>
      <c r="OQW177" s="202"/>
      <c r="OQX177" s="202"/>
      <c r="OQY177" s="202"/>
      <c r="OQZ177" s="202"/>
      <c r="ORA177" s="203"/>
      <c r="ORB177" s="204"/>
      <c r="ORC177" s="204"/>
      <c r="ORD177" s="204"/>
      <c r="ORE177" s="205"/>
      <c r="ORF177" s="206"/>
      <c r="ORG177" s="207"/>
      <c r="ORH177" s="207"/>
      <c r="ORI177" s="208"/>
      <c r="ORJ177" s="209"/>
      <c r="ORK177" s="207"/>
      <c r="ORL177" s="210"/>
      <c r="ORM177" s="209"/>
      <c r="ORN177" s="204"/>
      <c r="ORO177" s="204"/>
      <c r="ORP177" s="204"/>
      <c r="ORQ177" s="199"/>
      <c r="ORR177" s="167"/>
      <c r="ORS177" s="199"/>
      <c r="ORT177" s="200"/>
      <c r="ORU177" s="201"/>
      <c r="ORV177" s="202"/>
      <c r="ORW177" s="202"/>
      <c r="ORX177" s="202"/>
      <c r="ORY177" s="202"/>
      <c r="ORZ177" s="203"/>
      <c r="OSA177" s="204"/>
      <c r="OSB177" s="204"/>
      <c r="OSC177" s="204"/>
      <c r="OSD177" s="205"/>
      <c r="OSE177" s="206"/>
      <c r="OSF177" s="207"/>
      <c r="OSG177" s="207"/>
      <c r="OSH177" s="208"/>
      <c r="OSI177" s="209"/>
      <c r="OSJ177" s="207"/>
      <c r="OSK177" s="210"/>
      <c r="OSL177" s="209"/>
      <c r="OSM177" s="204"/>
      <c r="OSN177" s="204"/>
      <c r="OSO177" s="204"/>
      <c r="OSP177" s="199"/>
      <c r="OSQ177" s="167"/>
      <c r="OSR177" s="199"/>
      <c r="OSS177" s="200"/>
      <c r="OST177" s="201"/>
      <c r="OSU177" s="202"/>
      <c r="OSV177" s="202"/>
      <c r="OSW177" s="202"/>
      <c r="OSX177" s="202"/>
      <c r="OSY177" s="203"/>
      <c r="OSZ177" s="204"/>
      <c r="OTA177" s="204"/>
      <c r="OTB177" s="204"/>
      <c r="OTC177" s="205"/>
      <c r="OTD177" s="206"/>
      <c r="OTE177" s="207"/>
      <c r="OTF177" s="207"/>
      <c r="OTG177" s="208"/>
      <c r="OTH177" s="209"/>
      <c r="OTI177" s="207"/>
      <c r="OTJ177" s="210"/>
      <c r="OTK177" s="209"/>
      <c r="OTL177" s="204"/>
      <c r="OTM177" s="204"/>
      <c r="OTN177" s="204"/>
      <c r="OTO177" s="199"/>
      <c r="OTP177" s="167"/>
      <c r="OTQ177" s="199"/>
      <c r="OTR177" s="200"/>
      <c r="OTS177" s="201"/>
      <c r="OTT177" s="202"/>
      <c r="OTU177" s="202"/>
      <c r="OTV177" s="202"/>
      <c r="OTW177" s="202"/>
      <c r="OTX177" s="203"/>
      <c r="OTY177" s="204"/>
      <c r="OTZ177" s="204"/>
      <c r="OUA177" s="204"/>
      <c r="OUB177" s="205"/>
      <c r="OUC177" s="206"/>
      <c r="OUD177" s="207"/>
      <c r="OUE177" s="207"/>
      <c r="OUF177" s="208"/>
      <c r="OUG177" s="209"/>
      <c r="OUH177" s="207"/>
      <c r="OUI177" s="210"/>
      <c r="OUJ177" s="209"/>
      <c r="OUK177" s="204"/>
      <c r="OUL177" s="204"/>
      <c r="OUM177" s="204"/>
      <c r="OUN177" s="199"/>
      <c r="OUO177" s="167"/>
      <c r="OUP177" s="199"/>
      <c r="OUQ177" s="200"/>
      <c r="OUR177" s="201"/>
      <c r="OUS177" s="202"/>
      <c r="OUT177" s="202"/>
      <c r="OUU177" s="202"/>
      <c r="OUV177" s="202"/>
      <c r="OUW177" s="203"/>
      <c r="OUX177" s="204"/>
      <c r="OUY177" s="204"/>
      <c r="OUZ177" s="204"/>
      <c r="OVA177" s="205"/>
      <c r="OVB177" s="206"/>
      <c r="OVC177" s="207"/>
      <c r="OVD177" s="207"/>
      <c r="OVE177" s="208"/>
      <c r="OVF177" s="209"/>
      <c r="OVG177" s="207"/>
      <c r="OVH177" s="210"/>
      <c r="OVI177" s="209"/>
      <c r="OVJ177" s="204"/>
      <c r="OVK177" s="204"/>
      <c r="OVL177" s="204"/>
      <c r="OVM177" s="199"/>
      <c r="OVN177" s="167"/>
      <c r="OVO177" s="199"/>
      <c r="OVP177" s="200"/>
      <c r="OVQ177" s="201"/>
      <c r="OVR177" s="202"/>
      <c r="OVS177" s="202"/>
      <c r="OVT177" s="202"/>
      <c r="OVU177" s="202"/>
      <c r="OVV177" s="203"/>
      <c r="OVW177" s="204"/>
      <c r="OVX177" s="204"/>
      <c r="OVY177" s="204"/>
      <c r="OVZ177" s="205"/>
      <c r="OWA177" s="206"/>
      <c r="OWB177" s="207"/>
      <c r="OWC177" s="207"/>
      <c r="OWD177" s="208"/>
      <c r="OWE177" s="209"/>
      <c r="OWF177" s="207"/>
      <c r="OWG177" s="210"/>
      <c r="OWH177" s="209"/>
      <c r="OWI177" s="204"/>
      <c r="OWJ177" s="204"/>
      <c r="OWK177" s="204"/>
      <c r="OWL177" s="199"/>
      <c r="OWM177" s="167"/>
      <c r="OWN177" s="199"/>
      <c r="OWO177" s="200"/>
      <c r="OWP177" s="201"/>
      <c r="OWQ177" s="202"/>
      <c r="OWR177" s="202"/>
      <c r="OWS177" s="202"/>
      <c r="OWT177" s="202"/>
      <c r="OWU177" s="203"/>
      <c r="OWV177" s="204"/>
      <c r="OWW177" s="204"/>
      <c r="OWX177" s="204"/>
      <c r="OWY177" s="205"/>
      <c r="OWZ177" s="206"/>
      <c r="OXA177" s="207"/>
      <c r="OXB177" s="207"/>
      <c r="OXC177" s="208"/>
      <c r="OXD177" s="209"/>
      <c r="OXE177" s="207"/>
      <c r="OXF177" s="210"/>
      <c r="OXG177" s="209"/>
      <c r="OXH177" s="204"/>
      <c r="OXI177" s="204"/>
      <c r="OXJ177" s="204"/>
      <c r="OXK177" s="199"/>
      <c r="OXL177" s="167"/>
      <c r="OXM177" s="199"/>
      <c r="OXN177" s="200"/>
      <c r="OXO177" s="201"/>
      <c r="OXP177" s="202"/>
      <c r="OXQ177" s="202"/>
      <c r="OXR177" s="202"/>
      <c r="OXS177" s="202"/>
      <c r="OXT177" s="203"/>
      <c r="OXU177" s="204"/>
      <c r="OXV177" s="204"/>
      <c r="OXW177" s="204"/>
      <c r="OXX177" s="205"/>
      <c r="OXY177" s="206"/>
      <c r="OXZ177" s="207"/>
      <c r="OYA177" s="207"/>
      <c r="OYB177" s="208"/>
      <c r="OYC177" s="209"/>
      <c r="OYD177" s="207"/>
      <c r="OYE177" s="210"/>
      <c r="OYF177" s="209"/>
      <c r="OYG177" s="204"/>
      <c r="OYH177" s="204"/>
      <c r="OYI177" s="204"/>
      <c r="OYJ177" s="199"/>
      <c r="OYK177" s="167"/>
      <c r="OYL177" s="199"/>
      <c r="OYM177" s="200"/>
      <c r="OYN177" s="201"/>
      <c r="OYO177" s="202"/>
      <c r="OYP177" s="202"/>
      <c r="OYQ177" s="202"/>
      <c r="OYR177" s="202"/>
      <c r="OYS177" s="203"/>
      <c r="OYT177" s="204"/>
      <c r="OYU177" s="204"/>
      <c r="OYV177" s="204"/>
      <c r="OYW177" s="205"/>
      <c r="OYX177" s="206"/>
      <c r="OYY177" s="207"/>
      <c r="OYZ177" s="207"/>
      <c r="OZA177" s="208"/>
      <c r="OZB177" s="209"/>
      <c r="OZC177" s="207"/>
      <c r="OZD177" s="210"/>
      <c r="OZE177" s="209"/>
      <c r="OZF177" s="204"/>
      <c r="OZG177" s="204"/>
      <c r="OZH177" s="204"/>
      <c r="OZI177" s="199"/>
      <c r="OZJ177" s="167"/>
      <c r="OZK177" s="199"/>
      <c r="OZL177" s="200"/>
      <c r="OZM177" s="201"/>
      <c r="OZN177" s="202"/>
      <c r="OZO177" s="202"/>
      <c r="OZP177" s="202"/>
      <c r="OZQ177" s="202"/>
      <c r="OZR177" s="203"/>
      <c r="OZS177" s="204"/>
      <c r="OZT177" s="204"/>
      <c r="OZU177" s="204"/>
      <c r="OZV177" s="205"/>
      <c r="OZW177" s="206"/>
      <c r="OZX177" s="207"/>
      <c r="OZY177" s="207"/>
      <c r="OZZ177" s="208"/>
      <c r="PAA177" s="209"/>
      <c r="PAB177" s="207"/>
      <c r="PAC177" s="210"/>
      <c r="PAD177" s="209"/>
      <c r="PAE177" s="204"/>
      <c r="PAF177" s="204"/>
      <c r="PAG177" s="204"/>
      <c r="PAH177" s="199"/>
      <c r="PAI177" s="167"/>
      <c r="PAJ177" s="199"/>
      <c r="PAK177" s="200"/>
      <c r="PAL177" s="201"/>
      <c r="PAM177" s="202"/>
      <c r="PAN177" s="202"/>
      <c r="PAO177" s="202"/>
      <c r="PAP177" s="202"/>
      <c r="PAQ177" s="203"/>
      <c r="PAR177" s="204"/>
      <c r="PAS177" s="204"/>
      <c r="PAT177" s="204"/>
      <c r="PAU177" s="205"/>
      <c r="PAV177" s="206"/>
      <c r="PAW177" s="207"/>
      <c r="PAX177" s="207"/>
      <c r="PAY177" s="208"/>
      <c r="PAZ177" s="209"/>
      <c r="PBA177" s="207"/>
      <c r="PBB177" s="210"/>
      <c r="PBC177" s="209"/>
      <c r="PBD177" s="204"/>
      <c r="PBE177" s="204"/>
      <c r="PBF177" s="204"/>
      <c r="PBG177" s="199"/>
      <c r="PBH177" s="167"/>
      <c r="PBI177" s="199"/>
      <c r="PBJ177" s="200"/>
      <c r="PBK177" s="201"/>
      <c r="PBL177" s="202"/>
      <c r="PBM177" s="202"/>
      <c r="PBN177" s="202"/>
      <c r="PBO177" s="202"/>
      <c r="PBP177" s="203"/>
      <c r="PBQ177" s="204"/>
      <c r="PBR177" s="204"/>
      <c r="PBS177" s="204"/>
      <c r="PBT177" s="205"/>
      <c r="PBU177" s="206"/>
      <c r="PBV177" s="207"/>
      <c r="PBW177" s="207"/>
      <c r="PBX177" s="208"/>
      <c r="PBY177" s="209"/>
      <c r="PBZ177" s="207"/>
      <c r="PCA177" s="210"/>
      <c r="PCB177" s="209"/>
      <c r="PCC177" s="204"/>
      <c r="PCD177" s="204"/>
      <c r="PCE177" s="204"/>
      <c r="PCF177" s="199"/>
      <c r="PCG177" s="167"/>
      <c r="PCH177" s="199"/>
      <c r="PCI177" s="200"/>
      <c r="PCJ177" s="201"/>
      <c r="PCK177" s="202"/>
      <c r="PCL177" s="202"/>
      <c r="PCM177" s="202"/>
      <c r="PCN177" s="202"/>
      <c r="PCO177" s="203"/>
      <c r="PCP177" s="204"/>
      <c r="PCQ177" s="204"/>
      <c r="PCR177" s="204"/>
      <c r="PCS177" s="205"/>
      <c r="PCT177" s="206"/>
      <c r="PCU177" s="207"/>
      <c r="PCV177" s="207"/>
      <c r="PCW177" s="208"/>
      <c r="PCX177" s="209"/>
      <c r="PCY177" s="207"/>
      <c r="PCZ177" s="210"/>
      <c r="PDA177" s="209"/>
      <c r="PDB177" s="204"/>
      <c r="PDC177" s="204"/>
      <c r="PDD177" s="204"/>
      <c r="PDE177" s="199"/>
      <c r="PDF177" s="167"/>
      <c r="PDG177" s="199"/>
      <c r="PDH177" s="200"/>
      <c r="PDI177" s="201"/>
      <c r="PDJ177" s="202"/>
      <c r="PDK177" s="202"/>
      <c r="PDL177" s="202"/>
      <c r="PDM177" s="202"/>
      <c r="PDN177" s="203"/>
      <c r="PDO177" s="204"/>
      <c r="PDP177" s="204"/>
      <c r="PDQ177" s="204"/>
      <c r="PDR177" s="205"/>
      <c r="PDS177" s="206"/>
      <c r="PDT177" s="207"/>
      <c r="PDU177" s="207"/>
      <c r="PDV177" s="208"/>
      <c r="PDW177" s="209"/>
      <c r="PDX177" s="207"/>
      <c r="PDY177" s="210"/>
      <c r="PDZ177" s="209"/>
      <c r="PEA177" s="204"/>
      <c r="PEB177" s="204"/>
      <c r="PEC177" s="204"/>
      <c r="PED177" s="199"/>
      <c r="PEE177" s="167"/>
      <c r="PEF177" s="199"/>
      <c r="PEG177" s="200"/>
      <c r="PEH177" s="201"/>
      <c r="PEI177" s="202"/>
      <c r="PEJ177" s="202"/>
      <c r="PEK177" s="202"/>
      <c r="PEL177" s="202"/>
      <c r="PEM177" s="203"/>
      <c r="PEN177" s="204"/>
      <c r="PEO177" s="204"/>
      <c r="PEP177" s="204"/>
      <c r="PEQ177" s="205"/>
      <c r="PER177" s="206"/>
      <c r="PES177" s="207"/>
      <c r="PET177" s="207"/>
      <c r="PEU177" s="208"/>
      <c r="PEV177" s="209"/>
      <c r="PEW177" s="207"/>
      <c r="PEX177" s="210"/>
      <c r="PEY177" s="209"/>
      <c r="PEZ177" s="204"/>
      <c r="PFA177" s="204"/>
      <c r="PFB177" s="204"/>
      <c r="PFC177" s="199"/>
      <c r="PFD177" s="167"/>
      <c r="PFE177" s="199"/>
      <c r="PFF177" s="200"/>
      <c r="PFG177" s="201"/>
      <c r="PFH177" s="202"/>
      <c r="PFI177" s="202"/>
      <c r="PFJ177" s="202"/>
      <c r="PFK177" s="202"/>
      <c r="PFL177" s="203"/>
      <c r="PFM177" s="204"/>
      <c r="PFN177" s="204"/>
      <c r="PFO177" s="204"/>
      <c r="PFP177" s="205"/>
      <c r="PFQ177" s="206"/>
      <c r="PFR177" s="207"/>
      <c r="PFS177" s="207"/>
      <c r="PFT177" s="208"/>
      <c r="PFU177" s="209"/>
      <c r="PFV177" s="207"/>
      <c r="PFW177" s="210"/>
      <c r="PFX177" s="209"/>
      <c r="PFY177" s="204"/>
      <c r="PFZ177" s="204"/>
      <c r="PGA177" s="204"/>
      <c r="PGB177" s="199"/>
      <c r="PGC177" s="167"/>
      <c r="PGD177" s="199"/>
      <c r="PGE177" s="200"/>
      <c r="PGF177" s="201"/>
      <c r="PGG177" s="202"/>
      <c r="PGH177" s="202"/>
      <c r="PGI177" s="202"/>
      <c r="PGJ177" s="202"/>
      <c r="PGK177" s="203"/>
      <c r="PGL177" s="204"/>
      <c r="PGM177" s="204"/>
      <c r="PGN177" s="204"/>
      <c r="PGO177" s="205"/>
      <c r="PGP177" s="206"/>
      <c r="PGQ177" s="207"/>
      <c r="PGR177" s="207"/>
      <c r="PGS177" s="208"/>
      <c r="PGT177" s="209"/>
      <c r="PGU177" s="207"/>
      <c r="PGV177" s="210"/>
      <c r="PGW177" s="209"/>
      <c r="PGX177" s="204"/>
      <c r="PGY177" s="204"/>
      <c r="PGZ177" s="204"/>
      <c r="PHA177" s="199"/>
      <c r="PHB177" s="167"/>
      <c r="PHC177" s="199"/>
      <c r="PHD177" s="200"/>
      <c r="PHE177" s="201"/>
      <c r="PHF177" s="202"/>
      <c r="PHG177" s="202"/>
      <c r="PHH177" s="202"/>
      <c r="PHI177" s="202"/>
      <c r="PHJ177" s="203"/>
      <c r="PHK177" s="204"/>
      <c r="PHL177" s="204"/>
      <c r="PHM177" s="204"/>
      <c r="PHN177" s="205"/>
      <c r="PHO177" s="206"/>
      <c r="PHP177" s="207"/>
      <c r="PHQ177" s="207"/>
      <c r="PHR177" s="208"/>
      <c r="PHS177" s="209"/>
      <c r="PHT177" s="207"/>
      <c r="PHU177" s="210"/>
      <c r="PHV177" s="209"/>
      <c r="PHW177" s="204"/>
      <c r="PHX177" s="204"/>
      <c r="PHY177" s="204"/>
      <c r="PHZ177" s="199"/>
      <c r="PIA177" s="167"/>
      <c r="PIB177" s="199"/>
      <c r="PIC177" s="200"/>
      <c r="PID177" s="201"/>
      <c r="PIE177" s="202"/>
      <c r="PIF177" s="202"/>
      <c r="PIG177" s="202"/>
      <c r="PIH177" s="202"/>
      <c r="PII177" s="203"/>
      <c r="PIJ177" s="204"/>
      <c r="PIK177" s="204"/>
      <c r="PIL177" s="204"/>
      <c r="PIM177" s="205"/>
      <c r="PIN177" s="206"/>
      <c r="PIO177" s="207"/>
      <c r="PIP177" s="207"/>
      <c r="PIQ177" s="208"/>
      <c r="PIR177" s="209"/>
      <c r="PIS177" s="207"/>
      <c r="PIT177" s="210"/>
      <c r="PIU177" s="209"/>
      <c r="PIV177" s="204"/>
      <c r="PIW177" s="204"/>
      <c r="PIX177" s="204"/>
      <c r="PIY177" s="199"/>
      <c r="PIZ177" s="167"/>
      <c r="PJA177" s="199"/>
      <c r="PJB177" s="200"/>
      <c r="PJC177" s="201"/>
      <c r="PJD177" s="202"/>
      <c r="PJE177" s="202"/>
      <c r="PJF177" s="202"/>
      <c r="PJG177" s="202"/>
      <c r="PJH177" s="203"/>
      <c r="PJI177" s="204"/>
      <c r="PJJ177" s="204"/>
      <c r="PJK177" s="204"/>
      <c r="PJL177" s="205"/>
      <c r="PJM177" s="206"/>
      <c r="PJN177" s="207"/>
      <c r="PJO177" s="207"/>
      <c r="PJP177" s="208"/>
      <c r="PJQ177" s="209"/>
      <c r="PJR177" s="207"/>
      <c r="PJS177" s="210"/>
      <c r="PJT177" s="209"/>
      <c r="PJU177" s="204"/>
      <c r="PJV177" s="204"/>
      <c r="PJW177" s="204"/>
      <c r="PJX177" s="199"/>
      <c r="PJY177" s="167"/>
      <c r="PJZ177" s="199"/>
      <c r="PKA177" s="200"/>
      <c r="PKB177" s="201"/>
      <c r="PKC177" s="202"/>
      <c r="PKD177" s="202"/>
      <c r="PKE177" s="202"/>
      <c r="PKF177" s="202"/>
      <c r="PKG177" s="203"/>
      <c r="PKH177" s="204"/>
      <c r="PKI177" s="204"/>
      <c r="PKJ177" s="204"/>
      <c r="PKK177" s="205"/>
      <c r="PKL177" s="206"/>
      <c r="PKM177" s="207"/>
      <c r="PKN177" s="207"/>
      <c r="PKO177" s="208"/>
      <c r="PKP177" s="209"/>
      <c r="PKQ177" s="207"/>
      <c r="PKR177" s="210"/>
      <c r="PKS177" s="209"/>
      <c r="PKT177" s="204"/>
      <c r="PKU177" s="204"/>
      <c r="PKV177" s="204"/>
      <c r="PKW177" s="199"/>
      <c r="PKX177" s="167"/>
      <c r="PKY177" s="199"/>
      <c r="PKZ177" s="200"/>
      <c r="PLA177" s="201"/>
      <c r="PLB177" s="202"/>
      <c r="PLC177" s="202"/>
      <c r="PLD177" s="202"/>
      <c r="PLE177" s="202"/>
      <c r="PLF177" s="203"/>
      <c r="PLG177" s="204"/>
      <c r="PLH177" s="204"/>
      <c r="PLI177" s="204"/>
      <c r="PLJ177" s="205"/>
      <c r="PLK177" s="206"/>
      <c r="PLL177" s="207"/>
      <c r="PLM177" s="207"/>
      <c r="PLN177" s="208"/>
      <c r="PLO177" s="209"/>
      <c r="PLP177" s="207"/>
      <c r="PLQ177" s="210"/>
      <c r="PLR177" s="209"/>
      <c r="PLS177" s="204"/>
      <c r="PLT177" s="204"/>
      <c r="PLU177" s="204"/>
      <c r="PLV177" s="199"/>
      <c r="PLW177" s="167"/>
      <c r="PLX177" s="199"/>
      <c r="PLY177" s="200"/>
      <c r="PLZ177" s="201"/>
      <c r="PMA177" s="202"/>
      <c r="PMB177" s="202"/>
      <c r="PMC177" s="202"/>
      <c r="PMD177" s="202"/>
      <c r="PME177" s="203"/>
      <c r="PMF177" s="204"/>
      <c r="PMG177" s="204"/>
      <c r="PMH177" s="204"/>
      <c r="PMI177" s="205"/>
      <c r="PMJ177" s="206"/>
      <c r="PMK177" s="207"/>
      <c r="PML177" s="207"/>
      <c r="PMM177" s="208"/>
      <c r="PMN177" s="209"/>
      <c r="PMO177" s="207"/>
      <c r="PMP177" s="210"/>
      <c r="PMQ177" s="209"/>
      <c r="PMR177" s="204"/>
      <c r="PMS177" s="204"/>
      <c r="PMT177" s="204"/>
      <c r="PMU177" s="199"/>
      <c r="PMV177" s="167"/>
      <c r="PMW177" s="199"/>
      <c r="PMX177" s="200"/>
      <c r="PMY177" s="201"/>
      <c r="PMZ177" s="202"/>
      <c r="PNA177" s="202"/>
      <c r="PNB177" s="202"/>
      <c r="PNC177" s="202"/>
      <c r="PND177" s="203"/>
      <c r="PNE177" s="204"/>
      <c r="PNF177" s="204"/>
      <c r="PNG177" s="204"/>
      <c r="PNH177" s="205"/>
      <c r="PNI177" s="206"/>
      <c r="PNJ177" s="207"/>
      <c r="PNK177" s="207"/>
      <c r="PNL177" s="208"/>
      <c r="PNM177" s="209"/>
      <c r="PNN177" s="207"/>
      <c r="PNO177" s="210"/>
      <c r="PNP177" s="209"/>
      <c r="PNQ177" s="204"/>
      <c r="PNR177" s="204"/>
      <c r="PNS177" s="204"/>
      <c r="PNT177" s="199"/>
      <c r="PNU177" s="167"/>
      <c r="PNV177" s="199"/>
      <c r="PNW177" s="200"/>
      <c r="PNX177" s="201"/>
      <c r="PNY177" s="202"/>
      <c r="PNZ177" s="202"/>
      <c r="POA177" s="202"/>
      <c r="POB177" s="202"/>
      <c r="POC177" s="203"/>
      <c r="POD177" s="204"/>
      <c r="POE177" s="204"/>
      <c r="POF177" s="204"/>
      <c r="POG177" s="205"/>
      <c r="POH177" s="206"/>
      <c r="POI177" s="207"/>
      <c r="POJ177" s="207"/>
      <c r="POK177" s="208"/>
      <c r="POL177" s="209"/>
      <c r="POM177" s="207"/>
      <c r="PON177" s="210"/>
      <c r="POO177" s="209"/>
      <c r="POP177" s="204"/>
      <c r="POQ177" s="204"/>
      <c r="POR177" s="204"/>
      <c r="POS177" s="199"/>
      <c r="POT177" s="167"/>
      <c r="POU177" s="199"/>
      <c r="POV177" s="200"/>
      <c r="POW177" s="201"/>
      <c r="POX177" s="202"/>
      <c r="POY177" s="202"/>
      <c r="POZ177" s="202"/>
      <c r="PPA177" s="202"/>
      <c r="PPB177" s="203"/>
      <c r="PPC177" s="204"/>
      <c r="PPD177" s="204"/>
      <c r="PPE177" s="204"/>
      <c r="PPF177" s="205"/>
      <c r="PPG177" s="206"/>
      <c r="PPH177" s="207"/>
      <c r="PPI177" s="207"/>
      <c r="PPJ177" s="208"/>
      <c r="PPK177" s="209"/>
      <c r="PPL177" s="207"/>
      <c r="PPM177" s="210"/>
      <c r="PPN177" s="209"/>
      <c r="PPO177" s="204"/>
      <c r="PPP177" s="204"/>
      <c r="PPQ177" s="204"/>
      <c r="PPR177" s="199"/>
      <c r="PPS177" s="167"/>
      <c r="PPT177" s="199"/>
      <c r="PPU177" s="200"/>
      <c r="PPV177" s="201"/>
      <c r="PPW177" s="202"/>
      <c r="PPX177" s="202"/>
      <c r="PPY177" s="202"/>
      <c r="PPZ177" s="202"/>
      <c r="PQA177" s="203"/>
      <c r="PQB177" s="204"/>
      <c r="PQC177" s="204"/>
      <c r="PQD177" s="204"/>
      <c r="PQE177" s="205"/>
      <c r="PQF177" s="206"/>
      <c r="PQG177" s="207"/>
      <c r="PQH177" s="207"/>
      <c r="PQI177" s="208"/>
      <c r="PQJ177" s="209"/>
      <c r="PQK177" s="207"/>
      <c r="PQL177" s="210"/>
      <c r="PQM177" s="209"/>
      <c r="PQN177" s="204"/>
      <c r="PQO177" s="204"/>
      <c r="PQP177" s="204"/>
      <c r="PQQ177" s="199"/>
      <c r="PQR177" s="167"/>
      <c r="PQS177" s="199"/>
      <c r="PQT177" s="200"/>
      <c r="PQU177" s="201"/>
      <c r="PQV177" s="202"/>
      <c r="PQW177" s="202"/>
      <c r="PQX177" s="202"/>
      <c r="PQY177" s="202"/>
      <c r="PQZ177" s="203"/>
      <c r="PRA177" s="204"/>
      <c r="PRB177" s="204"/>
      <c r="PRC177" s="204"/>
      <c r="PRD177" s="205"/>
      <c r="PRE177" s="206"/>
      <c r="PRF177" s="207"/>
      <c r="PRG177" s="207"/>
      <c r="PRH177" s="208"/>
      <c r="PRI177" s="209"/>
      <c r="PRJ177" s="207"/>
      <c r="PRK177" s="210"/>
      <c r="PRL177" s="209"/>
      <c r="PRM177" s="204"/>
      <c r="PRN177" s="204"/>
      <c r="PRO177" s="204"/>
      <c r="PRP177" s="199"/>
      <c r="PRQ177" s="167"/>
      <c r="PRR177" s="199"/>
      <c r="PRS177" s="200"/>
      <c r="PRT177" s="201"/>
      <c r="PRU177" s="202"/>
      <c r="PRV177" s="202"/>
      <c r="PRW177" s="202"/>
      <c r="PRX177" s="202"/>
      <c r="PRY177" s="203"/>
      <c r="PRZ177" s="204"/>
      <c r="PSA177" s="204"/>
      <c r="PSB177" s="204"/>
      <c r="PSC177" s="205"/>
      <c r="PSD177" s="206"/>
      <c r="PSE177" s="207"/>
      <c r="PSF177" s="207"/>
      <c r="PSG177" s="208"/>
      <c r="PSH177" s="209"/>
      <c r="PSI177" s="207"/>
      <c r="PSJ177" s="210"/>
      <c r="PSK177" s="209"/>
      <c r="PSL177" s="204"/>
      <c r="PSM177" s="204"/>
      <c r="PSN177" s="204"/>
      <c r="PSO177" s="199"/>
      <c r="PSP177" s="167"/>
      <c r="PSQ177" s="199"/>
      <c r="PSR177" s="200"/>
      <c r="PSS177" s="201"/>
      <c r="PST177" s="202"/>
      <c r="PSU177" s="202"/>
      <c r="PSV177" s="202"/>
      <c r="PSW177" s="202"/>
      <c r="PSX177" s="203"/>
      <c r="PSY177" s="204"/>
      <c r="PSZ177" s="204"/>
      <c r="PTA177" s="204"/>
      <c r="PTB177" s="205"/>
      <c r="PTC177" s="206"/>
      <c r="PTD177" s="207"/>
      <c r="PTE177" s="207"/>
      <c r="PTF177" s="208"/>
      <c r="PTG177" s="209"/>
      <c r="PTH177" s="207"/>
      <c r="PTI177" s="210"/>
      <c r="PTJ177" s="209"/>
      <c r="PTK177" s="204"/>
      <c r="PTL177" s="204"/>
      <c r="PTM177" s="204"/>
      <c r="PTN177" s="199"/>
      <c r="PTO177" s="167"/>
      <c r="PTP177" s="199"/>
      <c r="PTQ177" s="200"/>
      <c r="PTR177" s="201"/>
      <c r="PTS177" s="202"/>
      <c r="PTT177" s="202"/>
      <c r="PTU177" s="202"/>
      <c r="PTV177" s="202"/>
      <c r="PTW177" s="203"/>
      <c r="PTX177" s="204"/>
      <c r="PTY177" s="204"/>
      <c r="PTZ177" s="204"/>
      <c r="PUA177" s="205"/>
      <c r="PUB177" s="206"/>
      <c r="PUC177" s="207"/>
      <c r="PUD177" s="207"/>
      <c r="PUE177" s="208"/>
      <c r="PUF177" s="209"/>
      <c r="PUG177" s="207"/>
      <c r="PUH177" s="210"/>
      <c r="PUI177" s="209"/>
      <c r="PUJ177" s="204"/>
      <c r="PUK177" s="204"/>
      <c r="PUL177" s="204"/>
      <c r="PUM177" s="199"/>
      <c r="PUN177" s="167"/>
      <c r="PUO177" s="199"/>
      <c r="PUP177" s="200"/>
      <c r="PUQ177" s="201"/>
      <c r="PUR177" s="202"/>
      <c r="PUS177" s="202"/>
      <c r="PUT177" s="202"/>
      <c r="PUU177" s="202"/>
      <c r="PUV177" s="203"/>
      <c r="PUW177" s="204"/>
      <c r="PUX177" s="204"/>
      <c r="PUY177" s="204"/>
      <c r="PUZ177" s="205"/>
      <c r="PVA177" s="206"/>
      <c r="PVB177" s="207"/>
      <c r="PVC177" s="207"/>
      <c r="PVD177" s="208"/>
      <c r="PVE177" s="209"/>
      <c r="PVF177" s="207"/>
      <c r="PVG177" s="210"/>
      <c r="PVH177" s="209"/>
      <c r="PVI177" s="204"/>
      <c r="PVJ177" s="204"/>
      <c r="PVK177" s="204"/>
      <c r="PVL177" s="199"/>
      <c r="PVM177" s="167"/>
      <c r="PVN177" s="199"/>
      <c r="PVO177" s="200"/>
      <c r="PVP177" s="201"/>
      <c r="PVQ177" s="202"/>
      <c r="PVR177" s="202"/>
      <c r="PVS177" s="202"/>
      <c r="PVT177" s="202"/>
      <c r="PVU177" s="203"/>
      <c r="PVV177" s="204"/>
      <c r="PVW177" s="204"/>
      <c r="PVX177" s="204"/>
      <c r="PVY177" s="205"/>
      <c r="PVZ177" s="206"/>
      <c r="PWA177" s="207"/>
      <c r="PWB177" s="207"/>
      <c r="PWC177" s="208"/>
      <c r="PWD177" s="209"/>
      <c r="PWE177" s="207"/>
      <c r="PWF177" s="210"/>
      <c r="PWG177" s="209"/>
      <c r="PWH177" s="204"/>
      <c r="PWI177" s="204"/>
      <c r="PWJ177" s="204"/>
      <c r="PWK177" s="199"/>
      <c r="PWL177" s="167"/>
      <c r="PWM177" s="199"/>
      <c r="PWN177" s="200"/>
      <c r="PWO177" s="201"/>
      <c r="PWP177" s="202"/>
      <c r="PWQ177" s="202"/>
      <c r="PWR177" s="202"/>
      <c r="PWS177" s="202"/>
      <c r="PWT177" s="203"/>
      <c r="PWU177" s="204"/>
      <c r="PWV177" s="204"/>
      <c r="PWW177" s="204"/>
      <c r="PWX177" s="205"/>
      <c r="PWY177" s="206"/>
      <c r="PWZ177" s="207"/>
      <c r="PXA177" s="207"/>
      <c r="PXB177" s="208"/>
      <c r="PXC177" s="209"/>
      <c r="PXD177" s="207"/>
      <c r="PXE177" s="210"/>
      <c r="PXF177" s="209"/>
      <c r="PXG177" s="204"/>
      <c r="PXH177" s="204"/>
      <c r="PXI177" s="204"/>
      <c r="PXJ177" s="199"/>
      <c r="PXK177" s="167"/>
      <c r="PXL177" s="199"/>
      <c r="PXM177" s="200"/>
      <c r="PXN177" s="201"/>
      <c r="PXO177" s="202"/>
      <c r="PXP177" s="202"/>
      <c r="PXQ177" s="202"/>
      <c r="PXR177" s="202"/>
      <c r="PXS177" s="203"/>
      <c r="PXT177" s="204"/>
      <c r="PXU177" s="204"/>
      <c r="PXV177" s="204"/>
      <c r="PXW177" s="205"/>
      <c r="PXX177" s="206"/>
      <c r="PXY177" s="207"/>
      <c r="PXZ177" s="207"/>
      <c r="PYA177" s="208"/>
      <c r="PYB177" s="209"/>
      <c r="PYC177" s="207"/>
      <c r="PYD177" s="210"/>
      <c r="PYE177" s="209"/>
      <c r="PYF177" s="204"/>
      <c r="PYG177" s="204"/>
      <c r="PYH177" s="204"/>
      <c r="PYI177" s="199"/>
      <c r="PYJ177" s="167"/>
      <c r="PYK177" s="199"/>
      <c r="PYL177" s="200"/>
      <c r="PYM177" s="201"/>
      <c r="PYN177" s="202"/>
      <c r="PYO177" s="202"/>
      <c r="PYP177" s="202"/>
      <c r="PYQ177" s="202"/>
      <c r="PYR177" s="203"/>
      <c r="PYS177" s="204"/>
      <c r="PYT177" s="204"/>
      <c r="PYU177" s="204"/>
      <c r="PYV177" s="205"/>
      <c r="PYW177" s="206"/>
      <c r="PYX177" s="207"/>
      <c r="PYY177" s="207"/>
      <c r="PYZ177" s="208"/>
      <c r="PZA177" s="209"/>
      <c r="PZB177" s="207"/>
      <c r="PZC177" s="210"/>
      <c r="PZD177" s="209"/>
      <c r="PZE177" s="204"/>
      <c r="PZF177" s="204"/>
      <c r="PZG177" s="204"/>
      <c r="PZH177" s="199"/>
      <c r="PZI177" s="167"/>
      <c r="PZJ177" s="199"/>
      <c r="PZK177" s="200"/>
      <c r="PZL177" s="201"/>
      <c r="PZM177" s="202"/>
      <c r="PZN177" s="202"/>
      <c r="PZO177" s="202"/>
      <c r="PZP177" s="202"/>
      <c r="PZQ177" s="203"/>
      <c r="PZR177" s="204"/>
      <c r="PZS177" s="204"/>
      <c r="PZT177" s="204"/>
      <c r="PZU177" s="205"/>
      <c r="PZV177" s="206"/>
      <c r="PZW177" s="207"/>
      <c r="PZX177" s="207"/>
      <c r="PZY177" s="208"/>
      <c r="PZZ177" s="209"/>
      <c r="QAA177" s="207"/>
      <c r="QAB177" s="210"/>
      <c r="QAC177" s="209"/>
      <c r="QAD177" s="204"/>
      <c r="QAE177" s="204"/>
      <c r="QAF177" s="204"/>
      <c r="QAG177" s="199"/>
      <c r="QAH177" s="167"/>
      <c r="QAI177" s="199"/>
      <c r="QAJ177" s="200"/>
      <c r="QAK177" s="201"/>
      <c r="QAL177" s="202"/>
      <c r="QAM177" s="202"/>
      <c r="QAN177" s="202"/>
      <c r="QAO177" s="202"/>
      <c r="QAP177" s="203"/>
      <c r="QAQ177" s="204"/>
      <c r="QAR177" s="204"/>
      <c r="QAS177" s="204"/>
      <c r="QAT177" s="205"/>
      <c r="QAU177" s="206"/>
      <c r="QAV177" s="207"/>
      <c r="QAW177" s="207"/>
      <c r="QAX177" s="208"/>
      <c r="QAY177" s="209"/>
      <c r="QAZ177" s="207"/>
      <c r="QBA177" s="210"/>
      <c r="QBB177" s="209"/>
      <c r="QBC177" s="204"/>
      <c r="QBD177" s="204"/>
      <c r="QBE177" s="204"/>
      <c r="QBF177" s="199"/>
      <c r="QBG177" s="167"/>
      <c r="QBH177" s="199"/>
      <c r="QBI177" s="200"/>
      <c r="QBJ177" s="201"/>
      <c r="QBK177" s="202"/>
      <c r="QBL177" s="202"/>
      <c r="QBM177" s="202"/>
      <c r="QBN177" s="202"/>
      <c r="QBO177" s="203"/>
      <c r="QBP177" s="204"/>
      <c r="QBQ177" s="204"/>
      <c r="QBR177" s="204"/>
      <c r="QBS177" s="205"/>
      <c r="QBT177" s="206"/>
      <c r="QBU177" s="207"/>
      <c r="QBV177" s="207"/>
      <c r="QBW177" s="208"/>
      <c r="QBX177" s="209"/>
      <c r="QBY177" s="207"/>
      <c r="QBZ177" s="210"/>
      <c r="QCA177" s="209"/>
      <c r="QCB177" s="204"/>
      <c r="QCC177" s="204"/>
      <c r="QCD177" s="204"/>
      <c r="QCE177" s="199"/>
      <c r="QCF177" s="167"/>
      <c r="QCG177" s="199"/>
      <c r="QCH177" s="200"/>
      <c r="QCI177" s="201"/>
      <c r="QCJ177" s="202"/>
      <c r="QCK177" s="202"/>
      <c r="QCL177" s="202"/>
      <c r="QCM177" s="202"/>
      <c r="QCN177" s="203"/>
      <c r="QCO177" s="204"/>
      <c r="QCP177" s="204"/>
      <c r="QCQ177" s="204"/>
      <c r="QCR177" s="205"/>
      <c r="QCS177" s="206"/>
      <c r="QCT177" s="207"/>
      <c r="QCU177" s="207"/>
      <c r="QCV177" s="208"/>
      <c r="QCW177" s="209"/>
      <c r="QCX177" s="207"/>
      <c r="QCY177" s="210"/>
      <c r="QCZ177" s="209"/>
      <c r="QDA177" s="204"/>
      <c r="QDB177" s="204"/>
      <c r="QDC177" s="204"/>
      <c r="QDD177" s="199"/>
      <c r="QDE177" s="167"/>
      <c r="QDF177" s="199"/>
      <c r="QDG177" s="200"/>
      <c r="QDH177" s="201"/>
      <c r="QDI177" s="202"/>
      <c r="QDJ177" s="202"/>
      <c r="QDK177" s="202"/>
      <c r="QDL177" s="202"/>
      <c r="QDM177" s="203"/>
      <c r="QDN177" s="204"/>
      <c r="QDO177" s="204"/>
      <c r="QDP177" s="204"/>
      <c r="QDQ177" s="205"/>
      <c r="QDR177" s="206"/>
      <c r="QDS177" s="207"/>
      <c r="QDT177" s="207"/>
      <c r="QDU177" s="208"/>
      <c r="QDV177" s="209"/>
      <c r="QDW177" s="207"/>
      <c r="QDX177" s="210"/>
      <c r="QDY177" s="209"/>
      <c r="QDZ177" s="204"/>
      <c r="QEA177" s="204"/>
      <c r="QEB177" s="204"/>
      <c r="QEC177" s="199"/>
      <c r="QED177" s="167"/>
      <c r="QEE177" s="199"/>
      <c r="QEF177" s="200"/>
      <c r="QEG177" s="201"/>
      <c r="QEH177" s="202"/>
      <c r="QEI177" s="202"/>
      <c r="QEJ177" s="202"/>
      <c r="QEK177" s="202"/>
      <c r="QEL177" s="203"/>
      <c r="QEM177" s="204"/>
      <c r="QEN177" s="204"/>
      <c r="QEO177" s="204"/>
      <c r="QEP177" s="205"/>
      <c r="QEQ177" s="206"/>
      <c r="QER177" s="207"/>
      <c r="QES177" s="207"/>
      <c r="QET177" s="208"/>
      <c r="QEU177" s="209"/>
      <c r="QEV177" s="207"/>
      <c r="QEW177" s="210"/>
      <c r="QEX177" s="209"/>
      <c r="QEY177" s="204"/>
      <c r="QEZ177" s="204"/>
      <c r="QFA177" s="204"/>
      <c r="QFB177" s="199"/>
      <c r="QFC177" s="167"/>
      <c r="QFD177" s="199"/>
      <c r="QFE177" s="200"/>
      <c r="QFF177" s="201"/>
      <c r="QFG177" s="202"/>
      <c r="QFH177" s="202"/>
      <c r="QFI177" s="202"/>
      <c r="QFJ177" s="202"/>
      <c r="QFK177" s="203"/>
      <c r="QFL177" s="204"/>
      <c r="QFM177" s="204"/>
      <c r="QFN177" s="204"/>
      <c r="QFO177" s="205"/>
      <c r="QFP177" s="206"/>
      <c r="QFQ177" s="207"/>
      <c r="QFR177" s="207"/>
      <c r="QFS177" s="208"/>
      <c r="QFT177" s="209"/>
      <c r="QFU177" s="207"/>
      <c r="QFV177" s="210"/>
      <c r="QFW177" s="209"/>
      <c r="QFX177" s="204"/>
      <c r="QFY177" s="204"/>
      <c r="QFZ177" s="204"/>
      <c r="QGA177" s="199"/>
      <c r="QGB177" s="167"/>
      <c r="QGC177" s="199"/>
      <c r="QGD177" s="200"/>
      <c r="QGE177" s="201"/>
      <c r="QGF177" s="202"/>
      <c r="QGG177" s="202"/>
      <c r="QGH177" s="202"/>
      <c r="QGI177" s="202"/>
      <c r="QGJ177" s="203"/>
      <c r="QGK177" s="204"/>
      <c r="QGL177" s="204"/>
      <c r="QGM177" s="204"/>
      <c r="QGN177" s="205"/>
      <c r="QGO177" s="206"/>
      <c r="QGP177" s="207"/>
      <c r="QGQ177" s="207"/>
      <c r="QGR177" s="208"/>
      <c r="QGS177" s="209"/>
      <c r="QGT177" s="207"/>
      <c r="QGU177" s="210"/>
      <c r="QGV177" s="209"/>
      <c r="QGW177" s="204"/>
      <c r="QGX177" s="204"/>
      <c r="QGY177" s="204"/>
      <c r="QGZ177" s="199"/>
      <c r="QHA177" s="167"/>
      <c r="QHB177" s="199"/>
      <c r="QHC177" s="200"/>
      <c r="QHD177" s="201"/>
      <c r="QHE177" s="202"/>
      <c r="QHF177" s="202"/>
      <c r="QHG177" s="202"/>
      <c r="QHH177" s="202"/>
      <c r="QHI177" s="203"/>
      <c r="QHJ177" s="204"/>
      <c r="QHK177" s="204"/>
      <c r="QHL177" s="204"/>
      <c r="QHM177" s="205"/>
      <c r="QHN177" s="206"/>
      <c r="QHO177" s="207"/>
      <c r="QHP177" s="207"/>
      <c r="QHQ177" s="208"/>
      <c r="QHR177" s="209"/>
      <c r="QHS177" s="207"/>
      <c r="QHT177" s="210"/>
      <c r="QHU177" s="209"/>
      <c r="QHV177" s="204"/>
      <c r="QHW177" s="204"/>
      <c r="QHX177" s="204"/>
      <c r="QHY177" s="199"/>
      <c r="QHZ177" s="167"/>
      <c r="QIA177" s="199"/>
      <c r="QIB177" s="200"/>
      <c r="QIC177" s="201"/>
      <c r="QID177" s="202"/>
      <c r="QIE177" s="202"/>
      <c r="QIF177" s="202"/>
      <c r="QIG177" s="202"/>
      <c r="QIH177" s="203"/>
      <c r="QII177" s="204"/>
      <c r="QIJ177" s="204"/>
      <c r="QIK177" s="204"/>
      <c r="QIL177" s="205"/>
      <c r="QIM177" s="206"/>
      <c r="QIN177" s="207"/>
      <c r="QIO177" s="207"/>
      <c r="QIP177" s="208"/>
      <c r="QIQ177" s="209"/>
      <c r="QIR177" s="207"/>
      <c r="QIS177" s="210"/>
      <c r="QIT177" s="209"/>
      <c r="QIU177" s="204"/>
      <c r="QIV177" s="204"/>
      <c r="QIW177" s="204"/>
      <c r="QIX177" s="199"/>
      <c r="QIY177" s="167"/>
      <c r="QIZ177" s="199"/>
      <c r="QJA177" s="200"/>
      <c r="QJB177" s="201"/>
      <c r="QJC177" s="202"/>
      <c r="QJD177" s="202"/>
      <c r="QJE177" s="202"/>
      <c r="QJF177" s="202"/>
      <c r="QJG177" s="203"/>
      <c r="QJH177" s="204"/>
      <c r="QJI177" s="204"/>
      <c r="QJJ177" s="204"/>
      <c r="QJK177" s="205"/>
      <c r="QJL177" s="206"/>
      <c r="QJM177" s="207"/>
      <c r="QJN177" s="207"/>
      <c r="QJO177" s="208"/>
      <c r="QJP177" s="209"/>
      <c r="QJQ177" s="207"/>
      <c r="QJR177" s="210"/>
      <c r="QJS177" s="209"/>
      <c r="QJT177" s="204"/>
      <c r="QJU177" s="204"/>
      <c r="QJV177" s="204"/>
      <c r="QJW177" s="199"/>
      <c r="QJX177" s="167"/>
      <c r="QJY177" s="199"/>
      <c r="QJZ177" s="200"/>
      <c r="QKA177" s="201"/>
      <c r="QKB177" s="202"/>
      <c r="QKC177" s="202"/>
      <c r="QKD177" s="202"/>
      <c r="QKE177" s="202"/>
      <c r="QKF177" s="203"/>
      <c r="QKG177" s="204"/>
      <c r="QKH177" s="204"/>
      <c r="QKI177" s="204"/>
      <c r="QKJ177" s="205"/>
      <c r="QKK177" s="206"/>
      <c r="QKL177" s="207"/>
      <c r="QKM177" s="207"/>
      <c r="QKN177" s="208"/>
      <c r="QKO177" s="209"/>
      <c r="QKP177" s="207"/>
      <c r="QKQ177" s="210"/>
      <c r="QKR177" s="209"/>
      <c r="QKS177" s="204"/>
      <c r="QKT177" s="204"/>
      <c r="QKU177" s="204"/>
      <c r="QKV177" s="199"/>
      <c r="QKW177" s="167"/>
      <c r="QKX177" s="199"/>
      <c r="QKY177" s="200"/>
      <c r="QKZ177" s="201"/>
      <c r="QLA177" s="202"/>
      <c r="QLB177" s="202"/>
      <c r="QLC177" s="202"/>
      <c r="QLD177" s="202"/>
      <c r="QLE177" s="203"/>
      <c r="QLF177" s="204"/>
      <c r="QLG177" s="204"/>
      <c r="QLH177" s="204"/>
      <c r="QLI177" s="205"/>
      <c r="QLJ177" s="206"/>
      <c r="QLK177" s="207"/>
      <c r="QLL177" s="207"/>
      <c r="QLM177" s="208"/>
      <c r="QLN177" s="209"/>
      <c r="QLO177" s="207"/>
      <c r="QLP177" s="210"/>
      <c r="QLQ177" s="209"/>
      <c r="QLR177" s="204"/>
      <c r="QLS177" s="204"/>
      <c r="QLT177" s="204"/>
      <c r="QLU177" s="199"/>
      <c r="QLV177" s="167"/>
      <c r="QLW177" s="199"/>
      <c r="QLX177" s="200"/>
      <c r="QLY177" s="201"/>
      <c r="QLZ177" s="202"/>
      <c r="QMA177" s="202"/>
      <c r="QMB177" s="202"/>
      <c r="QMC177" s="202"/>
      <c r="QMD177" s="203"/>
      <c r="QME177" s="204"/>
      <c r="QMF177" s="204"/>
      <c r="QMG177" s="204"/>
      <c r="QMH177" s="205"/>
      <c r="QMI177" s="206"/>
      <c r="QMJ177" s="207"/>
      <c r="QMK177" s="207"/>
      <c r="QML177" s="208"/>
      <c r="QMM177" s="209"/>
      <c r="QMN177" s="207"/>
      <c r="QMO177" s="210"/>
      <c r="QMP177" s="209"/>
      <c r="QMQ177" s="204"/>
      <c r="QMR177" s="204"/>
      <c r="QMS177" s="204"/>
      <c r="QMT177" s="199"/>
      <c r="QMU177" s="167"/>
      <c r="QMV177" s="199"/>
      <c r="QMW177" s="200"/>
      <c r="QMX177" s="201"/>
      <c r="QMY177" s="202"/>
      <c r="QMZ177" s="202"/>
      <c r="QNA177" s="202"/>
      <c r="QNB177" s="202"/>
      <c r="QNC177" s="203"/>
      <c r="QND177" s="204"/>
      <c r="QNE177" s="204"/>
      <c r="QNF177" s="204"/>
      <c r="QNG177" s="205"/>
      <c r="QNH177" s="206"/>
      <c r="QNI177" s="207"/>
      <c r="QNJ177" s="207"/>
      <c r="QNK177" s="208"/>
      <c r="QNL177" s="209"/>
      <c r="QNM177" s="207"/>
      <c r="QNN177" s="210"/>
      <c r="QNO177" s="209"/>
      <c r="QNP177" s="204"/>
      <c r="QNQ177" s="204"/>
      <c r="QNR177" s="204"/>
      <c r="QNS177" s="199"/>
      <c r="QNT177" s="167"/>
      <c r="QNU177" s="199"/>
      <c r="QNV177" s="200"/>
      <c r="QNW177" s="201"/>
      <c r="QNX177" s="202"/>
      <c r="QNY177" s="202"/>
      <c r="QNZ177" s="202"/>
      <c r="QOA177" s="202"/>
      <c r="QOB177" s="203"/>
      <c r="QOC177" s="204"/>
      <c r="QOD177" s="204"/>
      <c r="QOE177" s="204"/>
      <c r="QOF177" s="205"/>
      <c r="QOG177" s="206"/>
      <c r="QOH177" s="207"/>
      <c r="QOI177" s="207"/>
      <c r="QOJ177" s="208"/>
      <c r="QOK177" s="209"/>
      <c r="QOL177" s="207"/>
      <c r="QOM177" s="210"/>
      <c r="QON177" s="209"/>
      <c r="QOO177" s="204"/>
      <c r="QOP177" s="204"/>
      <c r="QOQ177" s="204"/>
      <c r="QOR177" s="199"/>
      <c r="QOS177" s="167"/>
      <c r="QOT177" s="199"/>
      <c r="QOU177" s="200"/>
      <c r="QOV177" s="201"/>
      <c r="QOW177" s="202"/>
      <c r="QOX177" s="202"/>
      <c r="QOY177" s="202"/>
      <c r="QOZ177" s="202"/>
      <c r="QPA177" s="203"/>
      <c r="QPB177" s="204"/>
      <c r="QPC177" s="204"/>
      <c r="QPD177" s="204"/>
      <c r="QPE177" s="205"/>
      <c r="QPF177" s="206"/>
      <c r="QPG177" s="207"/>
      <c r="QPH177" s="207"/>
      <c r="QPI177" s="208"/>
      <c r="QPJ177" s="209"/>
      <c r="QPK177" s="207"/>
      <c r="QPL177" s="210"/>
      <c r="QPM177" s="209"/>
      <c r="QPN177" s="204"/>
      <c r="QPO177" s="204"/>
      <c r="QPP177" s="204"/>
      <c r="QPQ177" s="199"/>
      <c r="QPR177" s="167"/>
      <c r="QPS177" s="199"/>
      <c r="QPT177" s="200"/>
      <c r="QPU177" s="201"/>
      <c r="QPV177" s="202"/>
      <c r="QPW177" s="202"/>
      <c r="QPX177" s="202"/>
      <c r="QPY177" s="202"/>
      <c r="QPZ177" s="203"/>
      <c r="QQA177" s="204"/>
      <c r="QQB177" s="204"/>
      <c r="QQC177" s="204"/>
      <c r="QQD177" s="205"/>
      <c r="QQE177" s="206"/>
      <c r="QQF177" s="207"/>
      <c r="QQG177" s="207"/>
      <c r="QQH177" s="208"/>
      <c r="QQI177" s="209"/>
      <c r="QQJ177" s="207"/>
      <c r="QQK177" s="210"/>
      <c r="QQL177" s="209"/>
      <c r="QQM177" s="204"/>
      <c r="QQN177" s="204"/>
      <c r="QQO177" s="204"/>
      <c r="QQP177" s="199"/>
      <c r="QQQ177" s="167"/>
      <c r="QQR177" s="199"/>
      <c r="QQS177" s="200"/>
      <c r="QQT177" s="201"/>
      <c r="QQU177" s="202"/>
      <c r="QQV177" s="202"/>
      <c r="QQW177" s="202"/>
      <c r="QQX177" s="202"/>
      <c r="QQY177" s="203"/>
      <c r="QQZ177" s="204"/>
      <c r="QRA177" s="204"/>
      <c r="QRB177" s="204"/>
      <c r="QRC177" s="205"/>
      <c r="QRD177" s="206"/>
      <c r="QRE177" s="207"/>
      <c r="QRF177" s="207"/>
      <c r="QRG177" s="208"/>
      <c r="QRH177" s="209"/>
      <c r="QRI177" s="207"/>
      <c r="QRJ177" s="210"/>
      <c r="QRK177" s="209"/>
      <c r="QRL177" s="204"/>
      <c r="QRM177" s="204"/>
      <c r="QRN177" s="204"/>
      <c r="QRO177" s="199"/>
      <c r="QRP177" s="167"/>
      <c r="QRQ177" s="199"/>
      <c r="QRR177" s="200"/>
      <c r="QRS177" s="201"/>
      <c r="QRT177" s="202"/>
      <c r="QRU177" s="202"/>
      <c r="QRV177" s="202"/>
      <c r="QRW177" s="202"/>
      <c r="QRX177" s="203"/>
      <c r="QRY177" s="204"/>
      <c r="QRZ177" s="204"/>
      <c r="QSA177" s="204"/>
      <c r="QSB177" s="205"/>
      <c r="QSC177" s="206"/>
      <c r="QSD177" s="207"/>
      <c r="QSE177" s="207"/>
      <c r="QSF177" s="208"/>
      <c r="QSG177" s="209"/>
      <c r="QSH177" s="207"/>
      <c r="QSI177" s="210"/>
      <c r="QSJ177" s="209"/>
      <c r="QSK177" s="204"/>
      <c r="QSL177" s="204"/>
      <c r="QSM177" s="204"/>
      <c r="QSN177" s="199"/>
      <c r="QSO177" s="167"/>
      <c r="QSP177" s="199"/>
      <c r="QSQ177" s="200"/>
      <c r="QSR177" s="201"/>
      <c r="QSS177" s="202"/>
      <c r="QST177" s="202"/>
      <c r="QSU177" s="202"/>
      <c r="QSV177" s="202"/>
      <c r="QSW177" s="203"/>
      <c r="QSX177" s="204"/>
      <c r="QSY177" s="204"/>
      <c r="QSZ177" s="204"/>
      <c r="QTA177" s="205"/>
      <c r="QTB177" s="206"/>
      <c r="QTC177" s="207"/>
      <c r="QTD177" s="207"/>
      <c r="QTE177" s="208"/>
      <c r="QTF177" s="209"/>
      <c r="QTG177" s="207"/>
      <c r="QTH177" s="210"/>
      <c r="QTI177" s="209"/>
      <c r="QTJ177" s="204"/>
      <c r="QTK177" s="204"/>
      <c r="QTL177" s="204"/>
      <c r="QTM177" s="199"/>
      <c r="QTN177" s="167"/>
      <c r="QTO177" s="199"/>
      <c r="QTP177" s="200"/>
      <c r="QTQ177" s="201"/>
      <c r="QTR177" s="202"/>
      <c r="QTS177" s="202"/>
      <c r="QTT177" s="202"/>
      <c r="QTU177" s="202"/>
      <c r="QTV177" s="203"/>
      <c r="QTW177" s="204"/>
      <c r="QTX177" s="204"/>
      <c r="QTY177" s="204"/>
      <c r="QTZ177" s="205"/>
      <c r="QUA177" s="206"/>
      <c r="QUB177" s="207"/>
      <c r="QUC177" s="207"/>
      <c r="QUD177" s="208"/>
      <c r="QUE177" s="209"/>
      <c r="QUF177" s="207"/>
      <c r="QUG177" s="210"/>
      <c r="QUH177" s="209"/>
      <c r="QUI177" s="204"/>
      <c r="QUJ177" s="204"/>
      <c r="QUK177" s="204"/>
      <c r="QUL177" s="199"/>
      <c r="QUM177" s="167"/>
      <c r="QUN177" s="199"/>
      <c r="QUO177" s="200"/>
      <c r="QUP177" s="201"/>
      <c r="QUQ177" s="202"/>
      <c r="QUR177" s="202"/>
      <c r="QUS177" s="202"/>
      <c r="QUT177" s="202"/>
      <c r="QUU177" s="203"/>
      <c r="QUV177" s="204"/>
      <c r="QUW177" s="204"/>
      <c r="QUX177" s="204"/>
      <c r="QUY177" s="205"/>
      <c r="QUZ177" s="206"/>
      <c r="QVA177" s="207"/>
      <c r="QVB177" s="207"/>
      <c r="QVC177" s="208"/>
      <c r="QVD177" s="209"/>
      <c r="QVE177" s="207"/>
      <c r="QVF177" s="210"/>
      <c r="QVG177" s="209"/>
      <c r="QVH177" s="204"/>
      <c r="QVI177" s="204"/>
      <c r="QVJ177" s="204"/>
      <c r="QVK177" s="199"/>
      <c r="QVL177" s="167"/>
      <c r="QVM177" s="199"/>
      <c r="QVN177" s="200"/>
      <c r="QVO177" s="201"/>
      <c r="QVP177" s="202"/>
      <c r="QVQ177" s="202"/>
      <c r="QVR177" s="202"/>
      <c r="QVS177" s="202"/>
      <c r="QVT177" s="203"/>
      <c r="QVU177" s="204"/>
      <c r="QVV177" s="204"/>
      <c r="QVW177" s="204"/>
      <c r="QVX177" s="205"/>
      <c r="QVY177" s="206"/>
      <c r="QVZ177" s="207"/>
      <c r="QWA177" s="207"/>
      <c r="QWB177" s="208"/>
      <c r="QWC177" s="209"/>
      <c r="QWD177" s="207"/>
      <c r="QWE177" s="210"/>
      <c r="QWF177" s="209"/>
      <c r="QWG177" s="204"/>
      <c r="QWH177" s="204"/>
      <c r="QWI177" s="204"/>
      <c r="QWJ177" s="199"/>
      <c r="QWK177" s="167"/>
      <c r="QWL177" s="199"/>
      <c r="QWM177" s="200"/>
      <c r="QWN177" s="201"/>
      <c r="QWO177" s="202"/>
      <c r="QWP177" s="202"/>
      <c r="QWQ177" s="202"/>
      <c r="QWR177" s="202"/>
      <c r="QWS177" s="203"/>
      <c r="QWT177" s="204"/>
      <c r="QWU177" s="204"/>
      <c r="QWV177" s="204"/>
      <c r="QWW177" s="205"/>
      <c r="QWX177" s="206"/>
      <c r="QWY177" s="207"/>
      <c r="QWZ177" s="207"/>
      <c r="QXA177" s="208"/>
      <c r="QXB177" s="209"/>
      <c r="QXC177" s="207"/>
      <c r="QXD177" s="210"/>
      <c r="QXE177" s="209"/>
      <c r="QXF177" s="204"/>
      <c r="QXG177" s="204"/>
      <c r="QXH177" s="204"/>
      <c r="QXI177" s="199"/>
      <c r="QXJ177" s="167"/>
      <c r="QXK177" s="199"/>
      <c r="QXL177" s="200"/>
      <c r="QXM177" s="201"/>
      <c r="QXN177" s="202"/>
      <c r="QXO177" s="202"/>
      <c r="QXP177" s="202"/>
      <c r="QXQ177" s="202"/>
      <c r="QXR177" s="203"/>
      <c r="QXS177" s="204"/>
      <c r="QXT177" s="204"/>
      <c r="QXU177" s="204"/>
      <c r="QXV177" s="205"/>
      <c r="QXW177" s="206"/>
      <c r="QXX177" s="207"/>
      <c r="QXY177" s="207"/>
      <c r="QXZ177" s="208"/>
      <c r="QYA177" s="209"/>
      <c r="QYB177" s="207"/>
      <c r="QYC177" s="210"/>
      <c r="QYD177" s="209"/>
      <c r="QYE177" s="204"/>
      <c r="QYF177" s="204"/>
      <c r="QYG177" s="204"/>
      <c r="QYH177" s="199"/>
      <c r="QYI177" s="167"/>
      <c r="QYJ177" s="199"/>
      <c r="QYK177" s="200"/>
      <c r="QYL177" s="201"/>
      <c r="QYM177" s="202"/>
      <c r="QYN177" s="202"/>
      <c r="QYO177" s="202"/>
      <c r="QYP177" s="202"/>
      <c r="QYQ177" s="203"/>
      <c r="QYR177" s="204"/>
      <c r="QYS177" s="204"/>
      <c r="QYT177" s="204"/>
      <c r="QYU177" s="205"/>
      <c r="QYV177" s="206"/>
      <c r="QYW177" s="207"/>
      <c r="QYX177" s="207"/>
      <c r="QYY177" s="208"/>
      <c r="QYZ177" s="209"/>
      <c r="QZA177" s="207"/>
      <c r="QZB177" s="210"/>
      <c r="QZC177" s="209"/>
      <c r="QZD177" s="204"/>
      <c r="QZE177" s="204"/>
      <c r="QZF177" s="204"/>
      <c r="QZG177" s="199"/>
      <c r="QZH177" s="167"/>
      <c r="QZI177" s="199"/>
      <c r="QZJ177" s="200"/>
      <c r="QZK177" s="201"/>
      <c r="QZL177" s="202"/>
      <c r="QZM177" s="202"/>
      <c r="QZN177" s="202"/>
      <c r="QZO177" s="202"/>
      <c r="QZP177" s="203"/>
      <c r="QZQ177" s="204"/>
      <c r="QZR177" s="204"/>
      <c r="QZS177" s="204"/>
      <c r="QZT177" s="205"/>
      <c r="QZU177" s="206"/>
      <c r="QZV177" s="207"/>
      <c r="QZW177" s="207"/>
      <c r="QZX177" s="208"/>
      <c r="QZY177" s="209"/>
      <c r="QZZ177" s="207"/>
      <c r="RAA177" s="210"/>
      <c r="RAB177" s="209"/>
      <c r="RAC177" s="204"/>
      <c r="RAD177" s="204"/>
      <c r="RAE177" s="204"/>
      <c r="RAF177" s="199"/>
      <c r="RAG177" s="167"/>
      <c r="RAH177" s="199"/>
      <c r="RAI177" s="200"/>
      <c r="RAJ177" s="201"/>
      <c r="RAK177" s="202"/>
      <c r="RAL177" s="202"/>
      <c r="RAM177" s="202"/>
      <c r="RAN177" s="202"/>
      <c r="RAO177" s="203"/>
      <c r="RAP177" s="204"/>
      <c r="RAQ177" s="204"/>
      <c r="RAR177" s="204"/>
      <c r="RAS177" s="205"/>
      <c r="RAT177" s="206"/>
      <c r="RAU177" s="207"/>
      <c r="RAV177" s="207"/>
      <c r="RAW177" s="208"/>
      <c r="RAX177" s="209"/>
      <c r="RAY177" s="207"/>
      <c r="RAZ177" s="210"/>
      <c r="RBA177" s="209"/>
      <c r="RBB177" s="204"/>
      <c r="RBC177" s="204"/>
      <c r="RBD177" s="204"/>
      <c r="RBE177" s="199"/>
      <c r="RBF177" s="167"/>
      <c r="RBG177" s="199"/>
      <c r="RBH177" s="200"/>
      <c r="RBI177" s="201"/>
      <c r="RBJ177" s="202"/>
      <c r="RBK177" s="202"/>
      <c r="RBL177" s="202"/>
      <c r="RBM177" s="202"/>
      <c r="RBN177" s="203"/>
      <c r="RBO177" s="204"/>
      <c r="RBP177" s="204"/>
      <c r="RBQ177" s="204"/>
      <c r="RBR177" s="205"/>
      <c r="RBS177" s="206"/>
      <c r="RBT177" s="207"/>
      <c r="RBU177" s="207"/>
      <c r="RBV177" s="208"/>
      <c r="RBW177" s="209"/>
      <c r="RBX177" s="207"/>
      <c r="RBY177" s="210"/>
      <c r="RBZ177" s="209"/>
      <c r="RCA177" s="204"/>
      <c r="RCB177" s="204"/>
      <c r="RCC177" s="204"/>
      <c r="RCD177" s="199"/>
      <c r="RCE177" s="167"/>
      <c r="RCF177" s="199"/>
      <c r="RCG177" s="200"/>
      <c r="RCH177" s="201"/>
      <c r="RCI177" s="202"/>
      <c r="RCJ177" s="202"/>
      <c r="RCK177" s="202"/>
      <c r="RCL177" s="202"/>
      <c r="RCM177" s="203"/>
      <c r="RCN177" s="204"/>
      <c r="RCO177" s="204"/>
      <c r="RCP177" s="204"/>
      <c r="RCQ177" s="205"/>
      <c r="RCR177" s="206"/>
      <c r="RCS177" s="207"/>
      <c r="RCT177" s="207"/>
      <c r="RCU177" s="208"/>
      <c r="RCV177" s="209"/>
      <c r="RCW177" s="207"/>
      <c r="RCX177" s="210"/>
      <c r="RCY177" s="209"/>
      <c r="RCZ177" s="204"/>
      <c r="RDA177" s="204"/>
      <c r="RDB177" s="204"/>
      <c r="RDC177" s="199"/>
      <c r="RDD177" s="167"/>
      <c r="RDE177" s="199"/>
      <c r="RDF177" s="200"/>
      <c r="RDG177" s="201"/>
      <c r="RDH177" s="202"/>
      <c r="RDI177" s="202"/>
      <c r="RDJ177" s="202"/>
      <c r="RDK177" s="202"/>
      <c r="RDL177" s="203"/>
      <c r="RDM177" s="204"/>
      <c r="RDN177" s="204"/>
      <c r="RDO177" s="204"/>
      <c r="RDP177" s="205"/>
      <c r="RDQ177" s="206"/>
      <c r="RDR177" s="207"/>
      <c r="RDS177" s="207"/>
      <c r="RDT177" s="208"/>
      <c r="RDU177" s="209"/>
      <c r="RDV177" s="207"/>
      <c r="RDW177" s="210"/>
      <c r="RDX177" s="209"/>
      <c r="RDY177" s="204"/>
      <c r="RDZ177" s="204"/>
      <c r="REA177" s="204"/>
      <c r="REB177" s="199"/>
      <c r="REC177" s="167"/>
      <c r="RED177" s="199"/>
      <c r="REE177" s="200"/>
      <c r="REF177" s="201"/>
      <c r="REG177" s="202"/>
      <c r="REH177" s="202"/>
      <c r="REI177" s="202"/>
      <c r="REJ177" s="202"/>
      <c r="REK177" s="203"/>
      <c r="REL177" s="204"/>
      <c r="REM177" s="204"/>
      <c r="REN177" s="204"/>
      <c r="REO177" s="205"/>
      <c r="REP177" s="206"/>
      <c r="REQ177" s="207"/>
      <c r="RER177" s="207"/>
      <c r="RES177" s="208"/>
      <c r="RET177" s="209"/>
      <c r="REU177" s="207"/>
      <c r="REV177" s="210"/>
      <c r="REW177" s="209"/>
      <c r="REX177" s="204"/>
      <c r="REY177" s="204"/>
      <c r="REZ177" s="204"/>
      <c r="RFA177" s="199"/>
      <c r="RFB177" s="167"/>
      <c r="RFC177" s="199"/>
      <c r="RFD177" s="200"/>
      <c r="RFE177" s="201"/>
      <c r="RFF177" s="202"/>
      <c r="RFG177" s="202"/>
      <c r="RFH177" s="202"/>
      <c r="RFI177" s="202"/>
      <c r="RFJ177" s="203"/>
      <c r="RFK177" s="204"/>
      <c r="RFL177" s="204"/>
      <c r="RFM177" s="204"/>
      <c r="RFN177" s="205"/>
      <c r="RFO177" s="206"/>
      <c r="RFP177" s="207"/>
      <c r="RFQ177" s="207"/>
      <c r="RFR177" s="208"/>
      <c r="RFS177" s="209"/>
      <c r="RFT177" s="207"/>
      <c r="RFU177" s="210"/>
      <c r="RFV177" s="209"/>
      <c r="RFW177" s="204"/>
      <c r="RFX177" s="204"/>
      <c r="RFY177" s="204"/>
      <c r="RFZ177" s="199"/>
      <c r="RGA177" s="167"/>
      <c r="RGB177" s="199"/>
      <c r="RGC177" s="200"/>
      <c r="RGD177" s="201"/>
      <c r="RGE177" s="202"/>
      <c r="RGF177" s="202"/>
      <c r="RGG177" s="202"/>
      <c r="RGH177" s="202"/>
      <c r="RGI177" s="203"/>
      <c r="RGJ177" s="204"/>
      <c r="RGK177" s="204"/>
      <c r="RGL177" s="204"/>
      <c r="RGM177" s="205"/>
      <c r="RGN177" s="206"/>
      <c r="RGO177" s="207"/>
      <c r="RGP177" s="207"/>
      <c r="RGQ177" s="208"/>
      <c r="RGR177" s="209"/>
      <c r="RGS177" s="207"/>
      <c r="RGT177" s="210"/>
      <c r="RGU177" s="209"/>
      <c r="RGV177" s="204"/>
      <c r="RGW177" s="204"/>
      <c r="RGX177" s="204"/>
      <c r="RGY177" s="199"/>
      <c r="RGZ177" s="167"/>
      <c r="RHA177" s="199"/>
      <c r="RHB177" s="200"/>
      <c r="RHC177" s="201"/>
      <c r="RHD177" s="202"/>
      <c r="RHE177" s="202"/>
      <c r="RHF177" s="202"/>
      <c r="RHG177" s="202"/>
      <c r="RHH177" s="203"/>
      <c r="RHI177" s="204"/>
      <c r="RHJ177" s="204"/>
      <c r="RHK177" s="204"/>
      <c r="RHL177" s="205"/>
      <c r="RHM177" s="206"/>
      <c r="RHN177" s="207"/>
      <c r="RHO177" s="207"/>
      <c r="RHP177" s="208"/>
      <c r="RHQ177" s="209"/>
      <c r="RHR177" s="207"/>
      <c r="RHS177" s="210"/>
      <c r="RHT177" s="209"/>
      <c r="RHU177" s="204"/>
      <c r="RHV177" s="204"/>
      <c r="RHW177" s="204"/>
      <c r="RHX177" s="199"/>
      <c r="RHY177" s="167"/>
      <c r="RHZ177" s="199"/>
      <c r="RIA177" s="200"/>
      <c r="RIB177" s="201"/>
      <c r="RIC177" s="202"/>
      <c r="RID177" s="202"/>
      <c r="RIE177" s="202"/>
      <c r="RIF177" s="202"/>
      <c r="RIG177" s="203"/>
      <c r="RIH177" s="204"/>
      <c r="RII177" s="204"/>
      <c r="RIJ177" s="204"/>
      <c r="RIK177" s="205"/>
      <c r="RIL177" s="206"/>
      <c r="RIM177" s="207"/>
      <c r="RIN177" s="207"/>
      <c r="RIO177" s="208"/>
      <c r="RIP177" s="209"/>
      <c r="RIQ177" s="207"/>
      <c r="RIR177" s="210"/>
      <c r="RIS177" s="209"/>
      <c r="RIT177" s="204"/>
      <c r="RIU177" s="204"/>
      <c r="RIV177" s="204"/>
      <c r="RIW177" s="199"/>
      <c r="RIX177" s="167"/>
      <c r="RIY177" s="199"/>
      <c r="RIZ177" s="200"/>
      <c r="RJA177" s="201"/>
      <c r="RJB177" s="202"/>
      <c r="RJC177" s="202"/>
      <c r="RJD177" s="202"/>
      <c r="RJE177" s="202"/>
      <c r="RJF177" s="203"/>
      <c r="RJG177" s="204"/>
      <c r="RJH177" s="204"/>
      <c r="RJI177" s="204"/>
      <c r="RJJ177" s="205"/>
      <c r="RJK177" s="206"/>
      <c r="RJL177" s="207"/>
      <c r="RJM177" s="207"/>
      <c r="RJN177" s="208"/>
      <c r="RJO177" s="209"/>
      <c r="RJP177" s="207"/>
      <c r="RJQ177" s="210"/>
      <c r="RJR177" s="209"/>
      <c r="RJS177" s="204"/>
      <c r="RJT177" s="204"/>
      <c r="RJU177" s="204"/>
      <c r="RJV177" s="199"/>
      <c r="RJW177" s="167"/>
      <c r="RJX177" s="199"/>
      <c r="RJY177" s="200"/>
      <c r="RJZ177" s="201"/>
      <c r="RKA177" s="202"/>
      <c r="RKB177" s="202"/>
      <c r="RKC177" s="202"/>
      <c r="RKD177" s="202"/>
      <c r="RKE177" s="203"/>
      <c r="RKF177" s="204"/>
      <c r="RKG177" s="204"/>
      <c r="RKH177" s="204"/>
      <c r="RKI177" s="205"/>
      <c r="RKJ177" s="206"/>
      <c r="RKK177" s="207"/>
      <c r="RKL177" s="207"/>
      <c r="RKM177" s="208"/>
      <c r="RKN177" s="209"/>
      <c r="RKO177" s="207"/>
      <c r="RKP177" s="210"/>
      <c r="RKQ177" s="209"/>
      <c r="RKR177" s="204"/>
      <c r="RKS177" s="204"/>
      <c r="RKT177" s="204"/>
      <c r="RKU177" s="199"/>
      <c r="RKV177" s="167"/>
      <c r="RKW177" s="199"/>
      <c r="RKX177" s="200"/>
      <c r="RKY177" s="201"/>
      <c r="RKZ177" s="202"/>
      <c r="RLA177" s="202"/>
      <c r="RLB177" s="202"/>
      <c r="RLC177" s="202"/>
      <c r="RLD177" s="203"/>
      <c r="RLE177" s="204"/>
      <c r="RLF177" s="204"/>
      <c r="RLG177" s="204"/>
      <c r="RLH177" s="205"/>
      <c r="RLI177" s="206"/>
      <c r="RLJ177" s="207"/>
      <c r="RLK177" s="207"/>
      <c r="RLL177" s="208"/>
      <c r="RLM177" s="209"/>
      <c r="RLN177" s="207"/>
      <c r="RLO177" s="210"/>
      <c r="RLP177" s="209"/>
      <c r="RLQ177" s="204"/>
      <c r="RLR177" s="204"/>
      <c r="RLS177" s="204"/>
      <c r="RLT177" s="199"/>
      <c r="RLU177" s="167"/>
      <c r="RLV177" s="199"/>
      <c r="RLW177" s="200"/>
      <c r="RLX177" s="201"/>
      <c r="RLY177" s="202"/>
      <c r="RLZ177" s="202"/>
      <c r="RMA177" s="202"/>
      <c r="RMB177" s="202"/>
      <c r="RMC177" s="203"/>
      <c r="RMD177" s="204"/>
      <c r="RME177" s="204"/>
      <c r="RMF177" s="204"/>
      <c r="RMG177" s="205"/>
      <c r="RMH177" s="206"/>
      <c r="RMI177" s="207"/>
      <c r="RMJ177" s="207"/>
      <c r="RMK177" s="208"/>
      <c r="RML177" s="209"/>
      <c r="RMM177" s="207"/>
      <c r="RMN177" s="210"/>
      <c r="RMO177" s="209"/>
      <c r="RMP177" s="204"/>
      <c r="RMQ177" s="204"/>
      <c r="RMR177" s="204"/>
      <c r="RMS177" s="199"/>
      <c r="RMT177" s="167"/>
      <c r="RMU177" s="199"/>
      <c r="RMV177" s="200"/>
      <c r="RMW177" s="201"/>
      <c r="RMX177" s="202"/>
      <c r="RMY177" s="202"/>
      <c r="RMZ177" s="202"/>
      <c r="RNA177" s="202"/>
      <c r="RNB177" s="203"/>
      <c r="RNC177" s="204"/>
      <c r="RND177" s="204"/>
      <c r="RNE177" s="204"/>
      <c r="RNF177" s="205"/>
      <c r="RNG177" s="206"/>
      <c r="RNH177" s="207"/>
      <c r="RNI177" s="207"/>
      <c r="RNJ177" s="208"/>
      <c r="RNK177" s="209"/>
      <c r="RNL177" s="207"/>
      <c r="RNM177" s="210"/>
      <c r="RNN177" s="209"/>
      <c r="RNO177" s="204"/>
      <c r="RNP177" s="204"/>
      <c r="RNQ177" s="204"/>
      <c r="RNR177" s="199"/>
      <c r="RNS177" s="167"/>
      <c r="RNT177" s="199"/>
      <c r="RNU177" s="200"/>
      <c r="RNV177" s="201"/>
      <c r="RNW177" s="202"/>
      <c r="RNX177" s="202"/>
      <c r="RNY177" s="202"/>
      <c r="RNZ177" s="202"/>
      <c r="ROA177" s="203"/>
      <c r="ROB177" s="204"/>
      <c r="ROC177" s="204"/>
      <c r="ROD177" s="204"/>
      <c r="ROE177" s="205"/>
      <c r="ROF177" s="206"/>
      <c r="ROG177" s="207"/>
      <c r="ROH177" s="207"/>
      <c r="ROI177" s="208"/>
      <c r="ROJ177" s="209"/>
      <c r="ROK177" s="207"/>
      <c r="ROL177" s="210"/>
      <c r="ROM177" s="209"/>
      <c r="RON177" s="204"/>
      <c r="ROO177" s="204"/>
      <c r="ROP177" s="204"/>
      <c r="ROQ177" s="199"/>
      <c r="ROR177" s="167"/>
      <c r="ROS177" s="199"/>
      <c r="ROT177" s="200"/>
      <c r="ROU177" s="201"/>
      <c r="ROV177" s="202"/>
      <c r="ROW177" s="202"/>
      <c r="ROX177" s="202"/>
      <c r="ROY177" s="202"/>
      <c r="ROZ177" s="203"/>
      <c r="RPA177" s="204"/>
      <c r="RPB177" s="204"/>
      <c r="RPC177" s="204"/>
      <c r="RPD177" s="205"/>
      <c r="RPE177" s="206"/>
      <c r="RPF177" s="207"/>
      <c r="RPG177" s="207"/>
      <c r="RPH177" s="208"/>
      <c r="RPI177" s="209"/>
      <c r="RPJ177" s="207"/>
      <c r="RPK177" s="210"/>
      <c r="RPL177" s="209"/>
      <c r="RPM177" s="204"/>
      <c r="RPN177" s="204"/>
      <c r="RPO177" s="204"/>
      <c r="RPP177" s="199"/>
      <c r="RPQ177" s="167"/>
      <c r="RPR177" s="199"/>
      <c r="RPS177" s="200"/>
      <c r="RPT177" s="201"/>
      <c r="RPU177" s="202"/>
      <c r="RPV177" s="202"/>
      <c r="RPW177" s="202"/>
      <c r="RPX177" s="202"/>
      <c r="RPY177" s="203"/>
      <c r="RPZ177" s="204"/>
      <c r="RQA177" s="204"/>
      <c r="RQB177" s="204"/>
      <c r="RQC177" s="205"/>
      <c r="RQD177" s="206"/>
      <c r="RQE177" s="207"/>
      <c r="RQF177" s="207"/>
      <c r="RQG177" s="208"/>
      <c r="RQH177" s="209"/>
      <c r="RQI177" s="207"/>
      <c r="RQJ177" s="210"/>
      <c r="RQK177" s="209"/>
      <c r="RQL177" s="204"/>
      <c r="RQM177" s="204"/>
      <c r="RQN177" s="204"/>
      <c r="RQO177" s="199"/>
      <c r="RQP177" s="167"/>
      <c r="RQQ177" s="199"/>
      <c r="RQR177" s="200"/>
      <c r="RQS177" s="201"/>
      <c r="RQT177" s="202"/>
      <c r="RQU177" s="202"/>
      <c r="RQV177" s="202"/>
      <c r="RQW177" s="202"/>
      <c r="RQX177" s="203"/>
      <c r="RQY177" s="204"/>
      <c r="RQZ177" s="204"/>
      <c r="RRA177" s="204"/>
      <c r="RRB177" s="205"/>
      <c r="RRC177" s="206"/>
      <c r="RRD177" s="207"/>
      <c r="RRE177" s="207"/>
      <c r="RRF177" s="208"/>
      <c r="RRG177" s="209"/>
      <c r="RRH177" s="207"/>
      <c r="RRI177" s="210"/>
      <c r="RRJ177" s="209"/>
      <c r="RRK177" s="204"/>
      <c r="RRL177" s="204"/>
      <c r="RRM177" s="204"/>
      <c r="RRN177" s="199"/>
      <c r="RRO177" s="167"/>
      <c r="RRP177" s="199"/>
      <c r="RRQ177" s="200"/>
      <c r="RRR177" s="201"/>
      <c r="RRS177" s="202"/>
      <c r="RRT177" s="202"/>
      <c r="RRU177" s="202"/>
      <c r="RRV177" s="202"/>
      <c r="RRW177" s="203"/>
      <c r="RRX177" s="204"/>
      <c r="RRY177" s="204"/>
      <c r="RRZ177" s="204"/>
      <c r="RSA177" s="205"/>
      <c r="RSB177" s="206"/>
      <c r="RSC177" s="207"/>
      <c r="RSD177" s="207"/>
      <c r="RSE177" s="208"/>
      <c r="RSF177" s="209"/>
      <c r="RSG177" s="207"/>
      <c r="RSH177" s="210"/>
      <c r="RSI177" s="209"/>
      <c r="RSJ177" s="204"/>
      <c r="RSK177" s="204"/>
      <c r="RSL177" s="204"/>
      <c r="RSM177" s="199"/>
      <c r="RSN177" s="167"/>
      <c r="RSO177" s="199"/>
      <c r="RSP177" s="200"/>
      <c r="RSQ177" s="201"/>
      <c r="RSR177" s="202"/>
      <c r="RSS177" s="202"/>
      <c r="RST177" s="202"/>
      <c r="RSU177" s="202"/>
      <c r="RSV177" s="203"/>
      <c r="RSW177" s="204"/>
      <c r="RSX177" s="204"/>
      <c r="RSY177" s="204"/>
      <c r="RSZ177" s="205"/>
      <c r="RTA177" s="206"/>
      <c r="RTB177" s="207"/>
      <c r="RTC177" s="207"/>
      <c r="RTD177" s="208"/>
      <c r="RTE177" s="209"/>
      <c r="RTF177" s="207"/>
      <c r="RTG177" s="210"/>
      <c r="RTH177" s="209"/>
      <c r="RTI177" s="204"/>
      <c r="RTJ177" s="204"/>
      <c r="RTK177" s="204"/>
      <c r="RTL177" s="199"/>
      <c r="RTM177" s="167"/>
      <c r="RTN177" s="199"/>
      <c r="RTO177" s="200"/>
      <c r="RTP177" s="201"/>
      <c r="RTQ177" s="202"/>
      <c r="RTR177" s="202"/>
      <c r="RTS177" s="202"/>
      <c r="RTT177" s="202"/>
      <c r="RTU177" s="203"/>
      <c r="RTV177" s="204"/>
      <c r="RTW177" s="204"/>
      <c r="RTX177" s="204"/>
      <c r="RTY177" s="205"/>
      <c r="RTZ177" s="206"/>
      <c r="RUA177" s="207"/>
      <c r="RUB177" s="207"/>
      <c r="RUC177" s="208"/>
      <c r="RUD177" s="209"/>
      <c r="RUE177" s="207"/>
      <c r="RUF177" s="210"/>
      <c r="RUG177" s="209"/>
      <c r="RUH177" s="204"/>
      <c r="RUI177" s="204"/>
      <c r="RUJ177" s="204"/>
      <c r="RUK177" s="199"/>
      <c r="RUL177" s="167"/>
      <c r="RUM177" s="199"/>
      <c r="RUN177" s="200"/>
      <c r="RUO177" s="201"/>
      <c r="RUP177" s="202"/>
      <c r="RUQ177" s="202"/>
      <c r="RUR177" s="202"/>
      <c r="RUS177" s="202"/>
      <c r="RUT177" s="203"/>
      <c r="RUU177" s="204"/>
      <c r="RUV177" s="204"/>
      <c r="RUW177" s="204"/>
      <c r="RUX177" s="205"/>
      <c r="RUY177" s="206"/>
      <c r="RUZ177" s="207"/>
      <c r="RVA177" s="207"/>
      <c r="RVB177" s="208"/>
      <c r="RVC177" s="209"/>
      <c r="RVD177" s="207"/>
      <c r="RVE177" s="210"/>
      <c r="RVF177" s="209"/>
      <c r="RVG177" s="204"/>
      <c r="RVH177" s="204"/>
      <c r="RVI177" s="204"/>
      <c r="RVJ177" s="199"/>
      <c r="RVK177" s="167"/>
      <c r="RVL177" s="199"/>
      <c r="RVM177" s="200"/>
      <c r="RVN177" s="201"/>
      <c r="RVO177" s="202"/>
      <c r="RVP177" s="202"/>
      <c r="RVQ177" s="202"/>
      <c r="RVR177" s="202"/>
      <c r="RVS177" s="203"/>
      <c r="RVT177" s="204"/>
      <c r="RVU177" s="204"/>
      <c r="RVV177" s="204"/>
      <c r="RVW177" s="205"/>
      <c r="RVX177" s="206"/>
      <c r="RVY177" s="207"/>
      <c r="RVZ177" s="207"/>
      <c r="RWA177" s="208"/>
      <c r="RWB177" s="209"/>
      <c r="RWC177" s="207"/>
      <c r="RWD177" s="210"/>
      <c r="RWE177" s="209"/>
      <c r="RWF177" s="204"/>
      <c r="RWG177" s="204"/>
      <c r="RWH177" s="204"/>
      <c r="RWI177" s="199"/>
      <c r="RWJ177" s="167"/>
      <c r="RWK177" s="199"/>
      <c r="RWL177" s="200"/>
      <c r="RWM177" s="201"/>
      <c r="RWN177" s="202"/>
      <c r="RWO177" s="202"/>
      <c r="RWP177" s="202"/>
      <c r="RWQ177" s="202"/>
      <c r="RWR177" s="203"/>
      <c r="RWS177" s="204"/>
      <c r="RWT177" s="204"/>
      <c r="RWU177" s="204"/>
      <c r="RWV177" s="205"/>
      <c r="RWW177" s="206"/>
      <c r="RWX177" s="207"/>
      <c r="RWY177" s="207"/>
      <c r="RWZ177" s="208"/>
      <c r="RXA177" s="209"/>
      <c r="RXB177" s="207"/>
      <c r="RXC177" s="210"/>
      <c r="RXD177" s="209"/>
      <c r="RXE177" s="204"/>
      <c r="RXF177" s="204"/>
      <c r="RXG177" s="204"/>
      <c r="RXH177" s="199"/>
      <c r="RXI177" s="167"/>
      <c r="RXJ177" s="199"/>
      <c r="RXK177" s="200"/>
      <c r="RXL177" s="201"/>
      <c r="RXM177" s="202"/>
      <c r="RXN177" s="202"/>
      <c r="RXO177" s="202"/>
      <c r="RXP177" s="202"/>
      <c r="RXQ177" s="203"/>
      <c r="RXR177" s="204"/>
      <c r="RXS177" s="204"/>
      <c r="RXT177" s="204"/>
      <c r="RXU177" s="205"/>
      <c r="RXV177" s="206"/>
      <c r="RXW177" s="207"/>
      <c r="RXX177" s="207"/>
      <c r="RXY177" s="208"/>
      <c r="RXZ177" s="209"/>
      <c r="RYA177" s="207"/>
      <c r="RYB177" s="210"/>
      <c r="RYC177" s="209"/>
      <c r="RYD177" s="204"/>
      <c r="RYE177" s="204"/>
      <c r="RYF177" s="204"/>
      <c r="RYG177" s="199"/>
      <c r="RYH177" s="167"/>
      <c r="RYI177" s="199"/>
      <c r="RYJ177" s="200"/>
      <c r="RYK177" s="201"/>
      <c r="RYL177" s="202"/>
      <c r="RYM177" s="202"/>
      <c r="RYN177" s="202"/>
      <c r="RYO177" s="202"/>
      <c r="RYP177" s="203"/>
      <c r="RYQ177" s="204"/>
      <c r="RYR177" s="204"/>
      <c r="RYS177" s="204"/>
      <c r="RYT177" s="205"/>
      <c r="RYU177" s="206"/>
      <c r="RYV177" s="207"/>
      <c r="RYW177" s="207"/>
      <c r="RYX177" s="208"/>
      <c r="RYY177" s="209"/>
      <c r="RYZ177" s="207"/>
      <c r="RZA177" s="210"/>
      <c r="RZB177" s="209"/>
      <c r="RZC177" s="204"/>
      <c r="RZD177" s="204"/>
      <c r="RZE177" s="204"/>
      <c r="RZF177" s="199"/>
      <c r="RZG177" s="167"/>
      <c r="RZH177" s="199"/>
      <c r="RZI177" s="200"/>
      <c r="RZJ177" s="201"/>
      <c r="RZK177" s="202"/>
      <c r="RZL177" s="202"/>
      <c r="RZM177" s="202"/>
      <c r="RZN177" s="202"/>
      <c r="RZO177" s="203"/>
      <c r="RZP177" s="204"/>
      <c r="RZQ177" s="204"/>
      <c r="RZR177" s="204"/>
      <c r="RZS177" s="205"/>
      <c r="RZT177" s="206"/>
      <c r="RZU177" s="207"/>
      <c r="RZV177" s="207"/>
      <c r="RZW177" s="208"/>
      <c r="RZX177" s="209"/>
      <c r="RZY177" s="207"/>
      <c r="RZZ177" s="210"/>
      <c r="SAA177" s="209"/>
      <c r="SAB177" s="204"/>
      <c r="SAC177" s="204"/>
      <c r="SAD177" s="204"/>
      <c r="SAE177" s="199"/>
      <c r="SAF177" s="167"/>
      <c r="SAG177" s="199"/>
      <c r="SAH177" s="200"/>
      <c r="SAI177" s="201"/>
      <c r="SAJ177" s="202"/>
      <c r="SAK177" s="202"/>
      <c r="SAL177" s="202"/>
      <c r="SAM177" s="202"/>
      <c r="SAN177" s="203"/>
      <c r="SAO177" s="204"/>
      <c r="SAP177" s="204"/>
      <c r="SAQ177" s="204"/>
      <c r="SAR177" s="205"/>
      <c r="SAS177" s="206"/>
      <c r="SAT177" s="207"/>
      <c r="SAU177" s="207"/>
      <c r="SAV177" s="208"/>
      <c r="SAW177" s="209"/>
      <c r="SAX177" s="207"/>
      <c r="SAY177" s="210"/>
      <c r="SAZ177" s="209"/>
      <c r="SBA177" s="204"/>
      <c r="SBB177" s="204"/>
      <c r="SBC177" s="204"/>
      <c r="SBD177" s="199"/>
      <c r="SBE177" s="167"/>
      <c r="SBF177" s="199"/>
      <c r="SBG177" s="200"/>
      <c r="SBH177" s="201"/>
      <c r="SBI177" s="202"/>
      <c r="SBJ177" s="202"/>
      <c r="SBK177" s="202"/>
      <c r="SBL177" s="202"/>
      <c r="SBM177" s="203"/>
      <c r="SBN177" s="204"/>
      <c r="SBO177" s="204"/>
      <c r="SBP177" s="204"/>
      <c r="SBQ177" s="205"/>
      <c r="SBR177" s="206"/>
      <c r="SBS177" s="207"/>
      <c r="SBT177" s="207"/>
      <c r="SBU177" s="208"/>
      <c r="SBV177" s="209"/>
      <c r="SBW177" s="207"/>
      <c r="SBX177" s="210"/>
      <c r="SBY177" s="209"/>
      <c r="SBZ177" s="204"/>
      <c r="SCA177" s="204"/>
      <c r="SCB177" s="204"/>
      <c r="SCC177" s="199"/>
      <c r="SCD177" s="167"/>
      <c r="SCE177" s="199"/>
      <c r="SCF177" s="200"/>
      <c r="SCG177" s="201"/>
      <c r="SCH177" s="202"/>
      <c r="SCI177" s="202"/>
      <c r="SCJ177" s="202"/>
      <c r="SCK177" s="202"/>
      <c r="SCL177" s="203"/>
      <c r="SCM177" s="204"/>
      <c r="SCN177" s="204"/>
      <c r="SCO177" s="204"/>
      <c r="SCP177" s="205"/>
      <c r="SCQ177" s="206"/>
      <c r="SCR177" s="207"/>
      <c r="SCS177" s="207"/>
      <c r="SCT177" s="208"/>
      <c r="SCU177" s="209"/>
      <c r="SCV177" s="207"/>
      <c r="SCW177" s="210"/>
      <c r="SCX177" s="209"/>
      <c r="SCY177" s="204"/>
      <c r="SCZ177" s="204"/>
      <c r="SDA177" s="204"/>
      <c r="SDB177" s="199"/>
      <c r="SDC177" s="167"/>
      <c r="SDD177" s="199"/>
      <c r="SDE177" s="200"/>
      <c r="SDF177" s="201"/>
      <c r="SDG177" s="202"/>
      <c r="SDH177" s="202"/>
      <c r="SDI177" s="202"/>
      <c r="SDJ177" s="202"/>
      <c r="SDK177" s="203"/>
      <c r="SDL177" s="204"/>
      <c r="SDM177" s="204"/>
      <c r="SDN177" s="204"/>
      <c r="SDO177" s="205"/>
      <c r="SDP177" s="206"/>
      <c r="SDQ177" s="207"/>
      <c r="SDR177" s="207"/>
      <c r="SDS177" s="208"/>
      <c r="SDT177" s="209"/>
      <c r="SDU177" s="207"/>
      <c r="SDV177" s="210"/>
      <c r="SDW177" s="209"/>
      <c r="SDX177" s="204"/>
      <c r="SDY177" s="204"/>
      <c r="SDZ177" s="204"/>
      <c r="SEA177" s="199"/>
      <c r="SEB177" s="167"/>
      <c r="SEC177" s="199"/>
      <c r="SED177" s="200"/>
      <c r="SEE177" s="201"/>
      <c r="SEF177" s="202"/>
      <c r="SEG177" s="202"/>
      <c r="SEH177" s="202"/>
      <c r="SEI177" s="202"/>
      <c r="SEJ177" s="203"/>
      <c r="SEK177" s="204"/>
      <c r="SEL177" s="204"/>
      <c r="SEM177" s="204"/>
      <c r="SEN177" s="205"/>
      <c r="SEO177" s="206"/>
      <c r="SEP177" s="207"/>
      <c r="SEQ177" s="207"/>
      <c r="SER177" s="208"/>
      <c r="SES177" s="209"/>
      <c r="SET177" s="207"/>
      <c r="SEU177" s="210"/>
      <c r="SEV177" s="209"/>
      <c r="SEW177" s="204"/>
      <c r="SEX177" s="204"/>
      <c r="SEY177" s="204"/>
      <c r="SEZ177" s="199"/>
      <c r="SFA177" s="167"/>
      <c r="SFB177" s="199"/>
      <c r="SFC177" s="200"/>
      <c r="SFD177" s="201"/>
      <c r="SFE177" s="202"/>
      <c r="SFF177" s="202"/>
      <c r="SFG177" s="202"/>
      <c r="SFH177" s="202"/>
      <c r="SFI177" s="203"/>
      <c r="SFJ177" s="204"/>
      <c r="SFK177" s="204"/>
      <c r="SFL177" s="204"/>
      <c r="SFM177" s="205"/>
      <c r="SFN177" s="206"/>
      <c r="SFO177" s="207"/>
      <c r="SFP177" s="207"/>
      <c r="SFQ177" s="208"/>
      <c r="SFR177" s="209"/>
      <c r="SFS177" s="207"/>
      <c r="SFT177" s="210"/>
      <c r="SFU177" s="209"/>
      <c r="SFV177" s="204"/>
      <c r="SFW177" s="204"/>
      <c r="SFX177" s="204"/>
      <c r="SFY177" s="199"/>
      <c r="SFZ177" s="167"/>
      <c r="SGA177" s="199"/>
      <c r="SGB177" s="200"/>
      <c r="SGC177" s="201"/>
      <c r="SGD177" s="202"/>
      <c r="SGE177" s="202"/>
      <c r="SGF177" s="202"/>
      <c r="SGG177" s="202"/>
      <c r="SGH177" s="203"/>
      <c r="SGI177" s="204"/>
      <c r="SGJ177" s="204"/>
      <c r="SGK177" s="204"/>
      <c r="SGL177" s="205"/>
      <c r="SGM177" s="206"/>
      <c r="SGN177" s="207"/>
      <c r="SGO177" s="207"/>
      <c r="SGP177" s="208"/>
      <c r="SGQ177" s="209"/>
      <c r="SGR177" s="207"/>
      <c r="SGS177" s="210"/>
      <c r="SGT177" s="209"/>
      <c r="SGU177" s="204"/>
      <c r="SGV177" s="204"/>
      <c r="SGW177" s="204"/>
      <c r="SGX177" s="199"/>
      <c r="SGY177" s="167"/>
      <c r="SGZ177" s="199"/>
      <c r="SHA177" s="200"/>
      <c r="SHB177" s="201"/>
      <c r="SHC177" s="202"/>
      <c r="SHD177" s="202"/>
      <c r="SHE177" s="202"/>
      <c r="SHF177" s="202"/>
      <c r="SHG177" s="203"/>
      <c r="SHH177" s="204"/>
      <c r="SHI177" s="204"/>
      <c r="SHJ177" s="204"/>
      <c r="SHK177" s="205"/>
      <c r="SHL177" s="206"/>
      <c r="SHM177" s="207"/>
      <c r="SHN177" s="207"/>
      <c r="SHO177" s="208"/>
      <c r="SHP177" s="209"/>
      <c r="SHQ177" s="207"/>
      <c r="SHR177" s="210"/>
      <c r="SHS177" s="209"/>
      <c r="SHT177" s="204"/>
      <c r="SHU177" s="204"/>
      <c r="SHV177" s="204"/>
      <c r="SHW177" s="199"/>
      <c r="SHX177" s="167"/>
      <c r="SHY177" s="199"/>
      <c r="SHZ177" s="200"/>
      <c r="SIA177" s="201"/>
      <c r="SIB177" s="202"/>
      <c r="SIC177" s="202"/>
      <c r="SID177" s="202"/>
      <c r="SIE177" s="202"/>
      <c r="SIF177" s="203"/>
      <c r="SIG177" s="204"/>
      <c r="SIH177" s="204"/>
      <c r="SII177" s="204"/>
      <c r="SIJ177" s="205"/>
      <c r="SIK177" s="206"/>
      <c r="SIL177" s="207"/>
      <c r="SIM177" s="207"/>
      <c r="SIN177" s="208"/>
      <c r="SIO177" s="209"/>
      <c r="SIP177" s="207"/>
      <c r="SIQ177" s="210"/>
      <c r="SIR177" s="209"/>
      <c r="SIS177" s="204"/>
      <c r="SIT177" s="204"/>
      <c r="SIU177" s="204"/>
      <c r="SIV177" s="199"/>
      <c r="SIW177" s="167"/>
      <c r="SIX177" s="199"/>
      <c r="SIY177" s="200"/>
      <c r="SIZ177" s="201"/>
      <c r="SJA177" s="202"/>
      <c r="SJB177" s="202"/>
      <c r="SJC177" s="202"/>
      <c r="SJD177" s="202"/>
      <c r="SJE177" s="203"/>
      <c r="SJF177" s="204"/>
      <c r="SJG177" s="204"/>
      <c r="SJH177" s="204"/>
      <c r="SJI177" s="205"/>
      <c r="SJJ177" s="206"/>
      <c r="SJK177" s="207"/>
      <c r="SJL177" s="207"/>
      <c r="SJM177" s="208"/>
      <c r="SJN177" s="209"/>
      <c r="SJO177" s="207"/>
      <c r="SJP177" s="210"/>
      <c r="SJQ177" s="209"/>
      <c r="SJR177" s="204"/>
      <c r="SJS177" s="204"/>
      <c r="SJT177" s="204"/>
      <c r="SJU177" s="199"/>
      <c r="SJV177" s="167"/>
      <c r="SJW177" s="199"/>
      <c r="SJX177" s="200"/>
      <c r="SJY177" s="201"/>
      <c r="SJZ177" s="202"/>
      <c r="SKA177" s="202"/>
      <c r="SKB177" s="202"/>
      <c r="SKC177" s="202"/>
      <c r="SKD177" s="203"/>
      <c r="SKE177" s="204"/>
      <c r="SKF177" s="204"/>
      <c r="SKG177" s="204"/>
      <c r="SKH177" s="205"/>
      <c r="SKI177" s="206"/>
      <c r="SKJ177" s="207"/>
      <c r="SKK177" s="207"/>
      <c r="SKL177" s="208"/>
      <c r="SKM177" s="209"/>
      <c r="SKN177" s="207"/>
      <c r="SKO177" s="210"/>
      <c r="SKP177" s="209"/>
      <c r="SKQ177" s="204"/>
      <c r="SKR177" s="204"/>
      <c r="SKS177" s="204"/>
      <c r="SKT177" s="199"/>
      <c r="SKU177" s="167"/>
      <c r="SKV177" s="199"/>
      <c r="SKW177" s="200"/>
      <c r="SKX177" s="201"/>
      <c r="SKY177" s="202"/>
      <c r="SKZ177" s="202"/>
      <c r="SLA177" s="202"/>
      <c r="SLB177" s="202"/>
      <c r="SLC177" s="203"/>
      <c r="SLD177" s="204"/>
      <c r="SLE177" s="204"/>
      <c r="SLF177" s="204"/>
      <c r="SLG177" s="205"/>
      <c r="SLH177" s="206"/>
      <c r="SLI177" s="207"/>
      <c r="SLJ177" s="207"/>
      <c r="SLK177" s="208"/>
      <c r="SLL177" s="209"/>
      <c r="SLM177" s="207"/>
      <c r="SLN177" s="210"/>
      <c r="SLO177" s="209"/>
      <c r="SLP177" s="204"/>
      <c r="SLQ177" s="204"/>
      <c r="SLR177" s="204"/>
      <c r="SLS177" s="199"/>
      <c r="SLT177" s="167"/>
      <c r="SLU177" s="199"/>
      <c r="SLV177" s="200"/>
      <c r="SLW177" s="201"/>
      <c r="SLX177" s="202"/>
      <c r="SLY177" s="202"/>
      <c r="SLZ177" s="202"/>
      <c r="SMA177" s="202"/>
      <c r="SMB177" s="203"/>
      <c r="SMC177" s="204"/>
      <c r="SMD177" s="204"/>
      <c r="SME177" s="204"/>
      <c r="SMF177" s="205"/>
      <c r="SMG177" s="206"/>
      <c r="SMH177" s="207"/>
      <c r="SMI177" s="207"/>
      <c r="SMJ177" s="208"/>
      <c r="SMK177" s="209"/>
      <c r="SML177" s="207"/>
      <c r="SMM177" s="210"/>
      <c r="SMN177" s="209"/>
      <c r="SMO177" s="204"/>
      <c r="SMP177" s="204"/>
      <c r="SMQ177" s="204"/>
      <c r="SMR177" s="199"/>
      <c r="SMS177" s="167"/>
      <c r="SMT177" s="199"/>
      <c r="SMU177" s="200"/>
      <c r="SMV177" s="201"/>
      <c r="SMW177" s="202"/>
      <c r="SMX177" s="202"/>
      <c r="SMY177" s="202"/>
      <c r="SMZ177" s="202"/>
      <c r="SNA177" s="203"/>
      <c r="SNB177" s="204"/>
      <c r="SNC177" s="204"/>
      <c r="SND177" s="204"/>
      <c r="SNE177" s="205"/>
      <c r="SNF177" s="206"/>
      <c r="SNG177" s="207"/>
      <c r="SNH177" s="207"/>
      <c r="SNI177" s="208"/>
      <c r="SNJ177" s="209"/>
      <c r="SNK177" s="207"/>
      <c r="SNL177" s="210"/>
      <c r="SNM177" s="209"/>
      <c r="SNN177" s="204"/>
      <c r="SNO177" s="204"/>
      <c r="SNP177" s="204"/>
      <c r="SNQ177" s="199"/>
      <c r="SNR177" s="167"/>
      <c r="SNS177" s="199"/>
      <c r="SNT177" s="200"/>
      <c r="SNU177" s="201"/>
      <c r="SNV177" s="202"/>
      <c r="SNW177" s="202"/>
      <c r="SNX177" s="202"/>
      <c r="SNY177" s="202"/>
      <c r="SNZ177" s="203"/>
      <c r="SOA177" s="204"/>
      <c r="SOB177" s="204"/>
      <c r="SOC177" s="204"/>
      <c r="SOD177" s="205"/>
      <c r="SOE177" s="206"/>
      <c r="SOF177" s="207"/>
      <c r="SOG177" s="207"/>
      <c r="SOH177" s="208"/>
      <c r="SOI177" s="209"/>
      <c r="SOJ177" s="207"/>
      <c r="SOK177" s="210"/>
      <c r="SOL177" s="209"/>
      <c r="SOM177" s="204"/>
      <c r="SON177" s="204"/>
      <c r="SOO177" s="204"/>
      <c r="SOP177" s="199"/>
      <c r="SOQ177" s="167"/>
      <c r="SOR177" s="199"/>
      <c r="SOS177" s="200"/>
      <c r="SOT177" s="201"/>
      <c r="SOU177" s="202"/>
      <c r="SOV177" s="202"/>
      <c r="SOW177" s="202"/>
      <c r="SOX177" s="202"/>
      <c r="SOY177" s="203"/>
      <c r="SOZ177" s="204"/>
      <c r="SPA177" s="204"/>
      <c r="SPB177" s="204"/>
      <c r="SPC177" s="205"/>
      <c r="SPD177" s="206"/>
      <c r="SPE177" s="207"/>
      <c r="SPF177" s="207"/>
      <c r="SPG177" s="208"/>
      <c r="SPH177" s="209"/>
      <c r="SPI177" s="207"/>
      <c r="SPJ177" s="210"/>
      <c r="SPK177" s="209"/>
      <c r="SPL177" s="204"/>
      <c r="SPM177" s="204"/>
      <c r="SPN177" s="204"/>
      <c r="SPO177" s="199"/>
      <c r="SPP177" s="167"/>
      <c r="SPQ177" s="199"/>
      <c r="SPR177" s="200"/>
      <c r="SPS177" s="201"/>
      <c r="SPT177" s="202"/>
      <c r="SPU177" s="202"/>
      <c r="SPV177" s="202"/>
      <c r="SPW177" s="202"/>
      <c r="SPX177" s="203"/>
      <c r="SPY177" s="204"/>
      <c r="SPZ177" s="204"/>
      <c r="SQA177" s="204"/>
      <c r="SQB177" s="205"/>
      <c r="SQC177" s="206"/>
      <c r="SQD177" s="207"/>
      <c r="SQE177" s="207"/>
      <c r="SQF177" s="208"/>
      <c r="SQG177" s="209"/>
      <c r="SQH177" s="207"/>
      <c r="SQI177" s="210"/>
      <c r="SQJ177" s="209"/>
      <c r="SQK177" s="204"/>
      <c r="SQL177" s="204"/>
      <c r="SQM177" s="204"/>
      <c r="SQN177" s="199"/>
      <c r="SQO177" s="167"/>
      <c r="SQP177" s="199"/>
      <c r="SQQ177" s="200"/>
      <c r="SQR177" s="201"/>
      <c r="SQS177" s="202"/>
      <c r="SQT177" s="202"/>
      <c r="SQU177" s="202"/>
      <c r="SQV177" s="202"/>
      <c r="SQW177" s="203"/>
      <c r="SQX177" s="204"/>
      <c r="SQY177" s="204"/>
      <c r="SQZ177" s="204"/>
      <c r="SRA177" s="205"/>
      <c r="SRB177" s="206"/>
      <c r="SRC177" s="207"/>
      <c r="SRD177" s="207"/>
      <c r="SRE177" s="208"/>
      <c r="SRF177" s="209"/>
      <c r="SRG177" s="207"/>
      <c r="SRH177" s="210"/>
      <c r="SRI177" s="209"/>
      <c r="SRJ177" s="204"/>
      <c r="SRK177" s="204"/>
      <c r="SRL177" s="204"/>
      <c r="SRM177" s="199"/>
      <c r="SRN177" s="167"/>
      <c r="SRO177" s="199"/>
      <c r="SRP177" s="200"/>
      <c r="SRQ177" s="201"/>
      <c r="SRR177" s="202"/>
      <c r="SRS177" s="202"/>
      <c r="SRT177" s="202"/>
      <c r="SRU177" s="202"/>
      <c r="SRV177" s="203"/>
      <c r="SRW177" s="204"/>
      <c r="SRX177" s="204"/>
      <c r="SRY177" s="204"/>
      <c r="SRZ177" s="205"/>
      <c r="SSA177" s="206"/>
      <c r="SSB177" s="207"/>
      <c r="SSC177" s="207"/>
      <c r="SSD177" s="208"/>
      <c r="SSE177" s="209"/>
      <c r="SSF177" s="207"/>
      <c r="SSG177" s="210"/>
      <c r="SSH177" s="209"/>
      <c r="SSI177" s="204"/>
      <c r="SSJ177" s="204"/>
      <c r="SSK177" s="204"/>
      <c r="SSL177" s="199"/>
      <c r="SSM177" s="167"/>
      <c r="SSN177" s="199"/>
      <c r="SSO177" s="200"/>
      <c r="SSP177" s="201"/>
      <c r="SSQ177" s="202"/>
      <c r="SSR177" s="202"/>
      <c r="SSS177" s="202"/>
      <c r="SST177" s="202"/>
      <c r="SSU177" s="203"/>
      <c r="SSV177" s="204"/>
      <c r="SSW177" s="204"/>
      <c r="SSX177" s="204"/>
      <c r="SSY177" s="205"/>
      <c r="SSZ177" s="206"/>
      <c r="STA177" s="207"/>
      <c r="STB177" s="207"/>
      <c r="STC177" s="208"/>
      <c r="STD177" s="209"/>
      <c r="STE177" s="207"/>
      <c r="STF177" s="210"/>
      <c r="STG177" s="209"/>
      <c r="STH177" s="204"/>
      <c r="STI177" s="204"/>
      <c r="STJ177" s="204"/>
      <c r="STK177" s="199"/>
      <c r="STL177" s="167"/>
      <c r="STM177" s="199"/>
      <c r="STN177" s="200"/>
      <c r="STO177" s="201"/>
      <c r="STP177" s="202"/>
      <c r="STQ177" s="202"/>
      <c r="STR177" s="202"/>
      <c r="STS177" s="202"/>
      <c r="STT177" s="203"/>
      <c r="STU177" s="204"/>
      <c r="STV177" s="204"/>
      <c r="STW177" s="204"/>
      <c r="STX177" s="205"/>
      <c r="STY177" s="206"/>
      <c r="STZ177" s="207"/>
      <c r="SUA177" s="207"/>
      <c r="SUB177" s="208"/>
      <c r="SUC177" s="209"/>
      <c r="SUD177" s="207"/>
      <c r="SUE177" s="210"/>
      <c r="SUF177" s="209"/>
      <c r="SUG177" s="204"/>
      <c r="SUH177" s="204"/>
      <c r="SUI177" s="204"/>
      <c r="SUJ177" s="199"/>
      <c r="SUK177" s="167"/>
      <c r="SUL177" s="199"/>
      <c r="SUM177" s="200"/>
      <c r="SUN177" s="201"/>
      <c r="SUO177" s="202"/>
      <c r="SUP177" s="202"/>
      <c r="SUQ177" s="202"/>
      <c r="SUR177" s="202"/>
      <c r="SUS177" s="203"/>
      <c r="SUT177" s="204"/>
      <c r="SUU177" s="204"/>
      <c r="SUV177" s="204"/>
      <c r="SUW177" s="205"/>
      <c r="SUX177" s="206"/>
      <c r="SUY177" s="207"/>
      <c r="SUZ177" s="207"/>
      <c r="SVA177" s="208"/>
      <c r="SVB177" s="209"/>
      <c r="SVC177" s="207"/>
      <c r="SVD177" s="210"/>
      <c r="SVE177" s="209"/>
      <c r="SVF177" s="204"/>
      <c r="SVG177" s="204"/>
      <c r="SVH177" s="204"/>
      <c r="SVI177" s="199"/>
      <c r="SVJ177" s="167"/>
      <c r="SVK177" s="199"/>
      <c r="SVL177" s="200"/>
      <c r="SVM177" s="201"/>
      <c r="SVN177" s="202"/>
      <c r="SVO177" s="202"/>
      <c r="SVP177" s="202"/>
      <c r="SVQ177" s="202"/>
      <c r="SVR177" s="203"/>
      <c r="SVS177" s="204"/>
      <c r="SVT177" s="204"/>
      <c r="SVU177" s="204"/>
      <c r="SVV177" s="205"/>
      <c r="SVW177" s="206"/>
      <c r="SVX177" s="207"/>
      <c r="SVY177" s="207"/>
      <c r="SVZ177" s="208"/>
      <c r="SWA177" s="209"/>
      <c r="SWB177" s="207"/>
      <c r="SWC177" s="210"/>
      <c r="SWD177" s="209"/>
      <c r="SWE177" s="204"/>
      <c r="SWF177" s="204"/>
      <c r="SWG177" s="204"/>
      <c r="SWH177" s="199"/>
      <c r="SWI177" s="167"/>
      <c r="SWJ177" s="199"/>
      <c r="SWK177" s="200"/>
      <c r="SWL177" s="201"/>
      <c r="SWM177" s="202"/>
      <c r="SWN177" s="202"/>
      <c r="SWO177" s="202"/>
      <c r="SWP177" s="202"/>
      <c r="SWQ177" s="203"/>
      <c r="SWR177" s="204"/>
      <c r="SWS177" s="204"/>
      <c r="SWT177" s="204"/>
      <c r="SWU177" s="205"/>
      <c r="SWV177" s="206"/>
      <c r="SWW177" s="207"/>
      <c r="SWX177" s="207"/>
      <c r="SWY177" s="208"/>
      <c r="SWZ177" s="209"/>
      <c r="SXA177" s="207"/>
      <c r="SXB177" s="210"/>
      <c r="SXC177" s="209"/>
      <c r="SXD177" s="204"/>
      <c r="SXE177" s="204"/>
      <c r="SXF177" s="204"/>
      <c r="SXG177" s="199"/>
      <c r="SXH177" s="167"/>
      <c r="SXI177" s="199"/>
      <c r="SXJ177" s="200"/>
      <c r="SXK177" s="201"/>
      <c r="SXL177" s="202"/>
      <c r="SXM177" s="202"/>
      <c r="SXN177" s="202"/>
      <c r="SXO177" s="202"/>
      <c r="SXP177" s="203"/>
      <c r="SXQ177" s="204"/>
      <c r="SXR177" s="204"/>
      <c r="SXS177" s="204"/>
      <c r="SXT177" s="205"/>
      <c r="SXU177" s="206"/>
      <c r="SXV177" s="207"/>
      <c r="SXW177" s="207"/>
      <c r="SXX177" s="208"/>
      <c r="SXY177" s="209"/>
      <c r="SXZ177" s="207"/>
      <c r="SYA177" s="210"/>
      <c r="SYB177" s="209"/>
      <c r="SYC177" s="204"/>
      <c r="SYD177" s="204"/>
      <c r="SYE177" s="204"/>
      <c r="SYF177" s="199"/>
      <c r="SYG177" s="167"/>
      <c r="SYH177" s="199"/>
      <c r="SYI177" s="200"/>
      <c r="SYJ177" s="201"/>
      <c r="SYK177" s="202"/>
      <c r="SYL177" s="202"/>
      <c r="SYM177" s="202"/>
      <c r="SYN177" s="202"/>
      <c r="SYO177" s="203"/>
      <c r="SYP177" s="204"/>
      <c r="SYQ177" s="204"/>
      <c r="SYR177" s="204"/>
      <c r="SYS177" s="205"/>
      <c r="SYT177" s="206"/>
      <c r="SYU177" s="207"/>
      <c r="SYV177" s="207"/>
      <c r="SYW177" s="208"/>
      <c r="SYX177" s="209"/>
      <c r="SYY177" s="207"/>
      <c r="SYZ177" s="210"/>
      <c r="SZA177" s="209"/>
      <c r="SZB177" s="204"/>
      <c r="SZC177" s="204"/>
      <c r="SZD177" s="204"/>
      <c r="SZE177" s="199"/>
      <c r="SZF177" s="167"/>
      <c r="SZG177" s="199"/>
      <c r="SZH177" s="200"/>
      <c r="SZI177" s="201"/>
      <c r="SZJ177" s="202"/>
      <c r="SZK177" s="202"/>
      <c r="SZL177" s="202"/>
      <c r="SZM177" s="202"/>
      <c r="SZN177" s="203"/>
      <c r="SZO177" s="204"/>
      <c r="SZP177" s="204"/>
      <c r="SZQ177" s="204"/>
      <c r="SZR177" s="205"/>
      <c r="SZS177" s="206"/>
      <c r="SZT177" s="207"/>
      <c r="SZU177" s="207"/>
      <c r="SZV177" s="208"/>
      <c r="SZW177" s="209"/>
      <c r="SZX177" s="207"/>
      <c r="SZY177" s="210"/>
      <c r="SZZ177" s="209"/>
      <c r="TAA177" s="204"/>
      <c r="TAB177" s="204"/>
      <c r="TAC177" s="204"/>
      <c r="TAD177" s="199"/>
      <c r="TAE177" s="167"/>
      <c r="TAF177" s="199"/>
      <c r="TAG177" s="200"/>
      <c r="TAH177" s="201"/>
      <c r="TAI177" s="202"/>
      <c r="TAJ177" s="202"/>
      <c r="TAK177" s="202"/>
      <c r="TAL177" s="202"/>
      <c r="TAM177" s="203"/>
      <c r="TAN177" s="204"/>
      <c r="TAO177" s="204"/>
      <c r="TAP177" s="204"/>
      <c r="TAQ177" s="205"/>
      <c r="TAR177" s="206"/>
      <c r="TAS177" s="207"/>
      <c r="TAT177" s="207"/>
      <c r="TAU177" s="208"/>
      <c r="TAV177" s="209"/>
      <c r="TAW177" s="207"/>
      <c r="TAX177" s="210"/>
      <c r="TAY177" s="209"/>
      <c r="TAZ177" s="204"/>
      <c r="TBA177" s="204"/>
      <c r="TBB177" s="204"/>
      <c r="TBC177" s="199"/>
      <c r="TBD177" s="167"/>
      <c r="TBE177" s="199"/>
      <c r="TBF177" s="200"/>
      <c r="TBG177" s="201"/>
      <c r="TBH177" s="202"/>
      <c r="TBI177" s="202"/>
      <c r="TBJ177" s="202"/>
      <c r="TBK177" s="202"/>
      <c r="TBL177" s="203"/>
      <c r="TBM177" s="204"/>
      <c r="TBN177" s="204"/>
      <c r="TBO177" s="204"/>
      <c r="TBP177" s="205"/>
      <c r="TBQ177" s="206"/>
      <c r="TBR177" s="207"/>
      <c r="TBS177" s="207"/>
      <c r="TBT177" s="208"/>
      <c r="TBU177" s="209"/>
      <c r="TBV177" s="207"/>
      <c r="TBW177" s="210"/>
      <c r="TBX177" s="209"/>
      <c r="TBY177" s="204"/>
      <c r="TBZ177" s="204"/>
      <c r="TCA177" s="204"/>
      <c r="TCB177" s="199"/>
      <c r="TCC177" s="167"/>
      <c r="TCD177" s="199"/>
      <c r="TCE177" s="200"/>
      <c r="TCF177" s="201"/>
      <c r="TCG177" s="202"/>
      <c r="TCH177" s="202"/>
      <c r="TCI177" s="202"/>
      <c r="TCJ177" s="202"/>
      <c r="TCK177" s="203"/>
      <c r="TCL177" s="204"/>
      <c r="TCM177" s="204"/>
      <c r="TCN177" s="204"/>
      <c r="TCO177" s="205"/>
      <c r="TCP177" s="206"/>
      <c r="TCQ177" s="207"/>
      <c r="TCR177" s="207"/>
      <c r="TCS177" s="208"/>
      <c r="TCT177" s="209"/>
      <c r="TCU177" s="207"/>
      <c r="TCV177" s="210"/>
      <c r="TCW177" s="209"/>
      <c r="TCX177" s="204"/>
      <c r="TCY177" s="204"/>
      <c r="TCZ177" s="204"/>
      <c r="TDA177" s="199"/>
      <c r="TDB177" s="167"/>
      <c r="TDC177" s="199"/>
      <c r="TDD177" s="200"/>
      <c r="TDE177" s="201"/>
      <c r="TDF177" s="202"/>
      <c r="TDG177" s="202"/>
      <c r="TDH177" s="202"/>
      <c r="TDI177" s="202"/>
      <c r="TDJ177" s="203"/>
      <c r="TDK177" s="204"/>
      <c r="TDL177" s="204"/>
      <c r="TDM177" s="204"/>
      <c r="TDN177" s="205"/>
      <c r="TDO177" s="206"/>
      <c r="TDP177" s="207"/>
      <c r="TDQ177" s="207"/>
      <c r="TDR177" s="208"/>
      <c r="TDS177" s="209"/>
      <c r="TDT177" s="207"/>
      <c r="TDU177" s="210"/>
      <c r="TDV177" s="209"/>
      <c r="TDW177" s="204"/>
      <c r="TDX177" s="204"/>
      <c r="TDY177" s="204"/>
      <c r="TDZ177" s="199"/>
      <c r="TEA177" s="167"/>
      <c r="TEB177" s="199"/>
      <c r="TEC177" s="200"/>
      <c r="TED177" s="201"/>
      <c r="TEE177" s="202"/>
      <c r="TEF177" s="202"/>
      <c r="TEG177" s="202"/>
      <c r="TEH177" s="202"/>
      <c r="TEI177" s="203"/>
      <c r="TEJ177" s="204"/>
      <c r="TEK177" s="204"/>
      <c r="TEL177" s="204"/>
      <c r="TEM177" s="205"/>
      <c r="TEN177" s="206"/>
      <c r="TEO177" s="207"/>
      <c r="TEP177" s="207"/>
      <c r="TEQ177" s="208"/>
      <c r="TER177" s="209"/>
      <c r="TES177" s="207"/>
      <c r="TET177" s="210"/>
      <c r="TEU177" s="209"/>
      <c r="TEV177" s="204"/>
      <c r="TEW177" s="204"/>
      <c r="TEX177" s="204"/>
      <c r="TEY177" s="199"/>
      <c r="TEZ177" s="167"/>
      <c r="TFA177" s="199"/>
      <c r="TFB177" s="200"/>
      <c r="TFC177" s="201"/>
      <c r="TFD177" s="202"/>
      <c r="TFE177" s="202"/>
      <c r="TFF177" s="202"/>
      <c r="TFG177" s="202"/>
      <c r="TFH177" s="203"/>
      <c r="TFI177" s="204"/>
      <c r="TFJ177" s="204"/>
      <c r="TFK177" s="204"/>
      <c r="TFL177" s="205"/>
      <c r="TFM177" s="206"/>
      <c r="TFN177" s="207"/>
      <c r="TFO177" s="207"/>
      <c r="TFP177" s="208"/>
      <c r="TFQ177" s="209"/>
      <c r="TFR177" s="207"/>
      <c r="TFS177" s="210"/>
      <c r="TFT177" s="209"/>
      <c r="TFU177" s="204"/>
      <c r="TFV177" s="204"/>
      <c r="TFW177" s="204"/>
      <c r="TFX177" s="199"/>
      <c r="TFY177" s="167"/>
      <c r="TFZ177" s="199"/>
      <c r="TGA177" s="200"/>
      <c r="TGB177" s="201"/>
      <c r="TGC177" s="202"/>
      <c r="TGD177" s="202"/>
      <c r="TGE177" s="202"/>
      <c r="TGF177" s="202"/>
      <c r="TGG177" s="203"/>
      <c r="TGH177" s="204"/>
      <c r="TGI177" s="204"/>
      <c r="TGJ177" s="204"/>
      <c r="TGK177" s="205"/>
      <c r="TGL177" s="206"/>
      <c r="TGM177" s="207"/>
      <c r="TGN177" s="207"/>
      <c r="TGO177" s="208"/>
      <c r="TGP177" s="209"/>
      <c r="TGQ177" s="207"/>
      <c r="TGR177" s="210"/>
      <c r="TGS177" s="209"/>
      <c r="TGT177" s="204"/>
      <c r="TGU177" s="204"/>
      <c r="TGV177" s="204"/>
      <c r="TGW177" s="199"/>
      <c r="TGX177" s="167"/>
      <c r="TGY177" s="199"/>
      <c r="TGZ177" s="200"/>
      <c r="THA177" s="201"/>
      <c r="THB177" s="202"/>
      <c r="THC177" s="202"/>
      <c r="THD177" s="202"/>
      <c r="THE177" s="202"/>
      <c r="THF177" s="203"/>
      <c r="THG177" s="204"/>
      <c r="THH177" s="204"/>
      <c r="THI177" s="204"/>
      <c r="THJ177" s="205"/>
      <c r="THK177" s="206"/>
      <c r="THL177" s="207"/>
      <c r="THM177" s="207"/>
      <c r="THN177" s="208"/>
      <c r="THO177" s="209"/>
      <c r="THP177" s="207"/>
      <c r="THQ177" s="210"/>
      <c r="THR177" s="209"/>
      <c r="THS177" s="204"/>
      <c r="THT177" s="204"/>
      <c r="THU177" s="204"/>
      <c r="THV177" s="199"/>
      <c r="THW177" s="167"/>
      <c r="THX177" s="199"/>
      <c r="THY177" s="200"/>
      <c r="THZ177" s="201"/>
      <c r="TIA177" s="202"/>
      <c r="TIB177" s="202"/>
      <c r="TIC177" s="202"/>
      <c r="TID177" s="202"/>
      <c r="TIE177" s="203"/>
      <c r="TIF177" s="204"/>
      <c r="TIG177" s="204"/>
      <c r="TIH177" s="204"/>
      <c r="TII177" s="205"/>
      <c r="TIJ177" s="206"/>
      <c r="TIK177" s="207"/>
      <c r="TIL177" s="207"/>
      <c r="TIM177" s="208"/>
      <c r="TIN177" s="209"/>
      <c r="TIO177" s="207"/>
      <c r="TIP177" s="210"/>
      <c r="TIQ177" s="209"/>
      <c r="TIR177" s="204"/>
      <c r="TIS177" s="204"/>
      <c r="TIT177" s="204"/>
      <c r="TIU177" s="199"/>
      <c r="TIV177" s="167"/>
      <c r="TIW177" s="199"/>
      <c r="TIX177" s="200"/>
      <c r="TIY177" s="201"/>
      <c r="TIZ177" s="202"/>
      <c r="TJA177" s="202"/>
      <c r="TJB177" s="202"/>
      <c r="TJC177" s="202"/>
      <c r="TJD177" s="203"/>
      <c r="TJE177" s="204"/>
      <c r="TJF177" s="204"/>
      <c r="TJG177" s="204"/>
      <c r="TJH177" s="205"/>
      <c r="TJI177" s="206"/>
      <c r="TJJ177" s="207"/>
      <c r="TJK177" s="207"/>
      <c r="TJL177" s="208"/>
      <c r="TJM177" s="209"/>
      <c r="TJN177" s="207"/>
      <c r="TJO177" s="210"/>
      <c r="TJP177" s="209"/>
      <c r="TJQ177" s="204"/>
      <c r="TJR177" s="204"/>
      <c r="TJS177" s="204"/>
      <c r="TJT177" s="199"/>
      <c r="TJU177" s="167"/>
      <c r="TJV177" s="199"/>
      <c r="TJW177" s="200"/>
      <c r="TJX177" s="201"/>
      <c r="TJY177" s="202"/>
      <c r="TJZ177" s="202"/>
      <c r="TKA177" s="202"/>
      <c r="TKB177" s="202"/>
      <c r="TKC177" s="203"/>
      <c r="TKD177" s="204"/>
      <c r="TKE177" s="204"/>
      <c r="TKF177" s="204"/>
      <c r="TKG177" s="205"/>
      <c r="TKH177" s="206"/>
      <c r="TKI177" s="207"/>
      <c r="TKJ177" s="207"/>
      <c r="TKK177" s="208"/>
      <c r="TKL177" s="209"/>
      <c r="TKM177" s="207"/>
      <c r="TKN177" s="210"/>
      <c r="TKO177" s="209"/>
      <c r="TKP177" s="204"/>
      <c r="TKQ177" s="204"/>
      <c r="TKR177" s="204"/>
      <c r="TKS177" s="199"/>
      <c r="TKT177" s="167"/>
      <c r="TKU177" s="199"/>
      <c r="TKV177" s="200"/>
      <c r="TKW177" s="201"/>
      <c r="TKX177" s="202"/>
      <c r="TKY177" s="202"/>
      <c r="TKZ177" s="202"/>
      <c r="TLA177" s="202"/>
      <c r="TLB177" s="203"/>
      <c r="TLC177" s="204"/>
      <c r="TLD177" s="204"/>
      <c r="TLE177" s="204"/>
      <c r="TLF177" s="205"/>
      <c r="TLG177" s="206"/>
      <c r="TLH177" s="207"/>
      <c r="TLI177" s="207"/>
      <c r="TLJ177" s="208"/>
      <c r="TLK177" s="209"/>
      <c r="TLL177" s="207"/>
      <c r="TLM177" s="210"/>
      <c r="TLN177" s="209"/>
      <c r="TLO177" s="204"/>
      <c r="TLP177" s="204"/>
      <c r="TLQ177" s="204"/>
      <c r="TLR177" s="199"/>
      <c r="TLS177" s="167"/>
      <c r="TLT177" s="199"/>
      <c r="TLU177" s="200"/>
      <c r="TLV177" s="201"/>
      <c r="TLW177" s="202"/>
      <c r="TLX177" s="202"/>
      <c r="TLY177" s="202"/>
      <c r="TLZ177" s="202"/>
      <c r="TMA177" s="203"/>
      <c r="TMB177" s="204"/>
      <c r="TMC177" s="204"/>
      <c r="TMD177" s="204"/>
      <c r="TME177" s="205"/>
      <c r="TMF177" s="206"/>
      <c r="TMG177" s="207"/>
      <c r="TMH177" s="207"/>
      <c r="TMI177" s="208"/>
      <c r="TMJ177" s="209"/>
      <c r="TMK177" s="207"/>
      <c r="TML177" s="210"/>
      <c r="TMM177" s="209"/>
      <c r="TMN177" s="204"/>
      <c r="TMO177" s="204"/>
      <c r="TMP177" s="204"/>
      <c r="TMQ177" s="199"/>
      <c r="TMR177" s="167"/>
      <c r="TMS177" s="199"/>
      <c r="TMT177" s="200"/>
      <c r="TMU177" s="201"/>
      <c r="TMV177" s="202"/>
      <c r="TMW177" s="202"/>
      <c r="TMX177" s="202"/>
      <c r="TMY177" s="202"/>
      <c r="TMZ177" s="203"/>
      <c r="TNA177" s="204"/>
      <c r="TNB177" s="204"/>
      <c r="TNC177" s="204"/>
      <c r="TND177" s="205"/>
      <c r="TNE177" s="206"/>
      <c r="TNF177" s="207"/>
      <c r="TNG177" s="207"/>
      <c r="TNH177" s="208"/>
      <c r="TNI177" s="209"/>
      <c r="TNJ177" s="207"/>
      <c r="TNK177" s="210"/>
      <c r="TNL177" s="209"/>
      <c r="TNM177" s="204"/>
      <c r="TNN177" s="204"/>
      <c r="TNO177" s="204"/>
      <c r="TNP177" s="199"/>
      <c r="TNQ177" s="167"/>
      <c r="TNR177" s="199"/>
      <c r="TNS177" s="200"/>
      <c r="TNT177" s="201"/>
      <c r="TNU177" s="202"/>
      <c r="TNV177" s="202"/>
      <c r="TNW177" s="202"/>
      <c r="TNX177" s="202"/>
      <c r="TNY177" s="203"/>
      <c r="TNZ177" s="204"/>
      <c r="TOA177" s="204"/>
      <c r="TOB177" s="204"/>
      <c r="TOC177" s="205"/>
      <c r="TOD177" s="206"/>
      <c r="TOE177" s="207"/>
      <c r="TOF177" s="207"/>
      <c r="TOG177" s="208"/>
      <c r="TOH177" s="209"/>
      <c r="TOI177" s="207"/>
      <c r="TOJ177" s="210"/>
      <c r="TOK177" s="209"/>
      <c r="TOL177" s="204"/>
      <c r="TOM177" s="204"/>
      <c r="TON177" s="204"/>
      <c r="TOO177" s="199"/>
      <c r="TOP177" s="167"/>
      <c r="TOQ177" s="199"/>
      <c r="TOR177" s="200"/>
      <c r="TOS177" s="201"/>
      <c r="TOT177" s="202"/>
      <c r="TOU177" s="202"/>
      <c r="TOV177" s="202"/>
      <c r="TOW177" s="202"/>
      <c r="TOX177" s="203"/>
      <c r="TOY177" s="204"/>
      <c r="TOZ177" s="204"/>
      <c r="TPA177" s="204"/>
      <c r="TPB177" s="205"/>
      <c r="TPC177" s="206"/>
      <c r="TPD177" s="207"/>
      <c r="TPE177" s="207"/>
      <c r="TPF177" s="208"/>
      <c r="TPG177" s="209"/>
      <c r="TPH177" s="207"/>
      <c r="TPI177" s="210"/>
      <c r="TPJ177" s="209"/>
      <c r="TPK177" s="204"/>
      <c r="TPL177" s="204"/>
      <c r="TPM177" s="204"/>
      <c r="TPN177" s="199"/>
      <c r="TPO177" s="167"/>
      <c r="TPP177" s="199"/>
      <c r="TPQ177" s="200"/>
      <c r="TPR177" s="201"/>
      <c r="TPS177" s="202"/>
      <c r="TPT177" s="202"/>
      <c r="TPU177" s="202"/>
      <c r="TPV177" s="202"/>
      <c r="TPW177" s="203"/>
      <c r="TPX177" s="204"/>
      <c r="TPY177" s="204"/>
      <c r="TPZ177" s="204"/>
      <c r="TQA177" s="205"/>
      <c r="TQB177" s="206"/>
      <c r="TQC177" s="207"/>
      <c r="TQD177" s="207"/>
      <c r="TQE177" s="208"/>
      <c r="TQF177" s="209"/>
      <c r="TQG177" s="207"/>
      <c r="TQH177" s="210"/>
      <c r="TQI177" s="209"/>
      <c r="TQJ177" s="204"/>
      <c r="TQK177" s="204"/>
      <c r="TQL177" s="204"/>
      <c r="TQM177" s="199"/>
      <c r="TQN177" s="167"/>
      <c r="TQO177" s="199"/>
      <c r="TQP177" s="200"/>
      <c r="TQQ177" s="201"/>
      <c r="TQR177" s="202"/>
      <c r="TQS177" s="202"/>
      <c r="TQT177" s="202"/>
      <c r="TQU177" s="202"/>
      <c r="TQV177" s="203"/>
      <c r="TQW177" s="204"/>
      <c r="TQX177" s="204"/>
      <c r="TQY177" s="204"/>
      <c r="TQZ177" s="205"/>
      <c r="TRA177" s="206"/>
      <c r="TRB177" s="207"/>
      <c r="TRC177" s="207"/>
      <c r="TRD177" s="208"/>
      <c r="TRE177" s="209"/>
      <c r="TRF177" s="207"/>
      <c r="TRG177" s="210"/>
      <c r="TRH177" s="209"/>
      <c r="TRI177" s="204"/>
      <c r="TRJ177" s="204"/>
      <c r="TRK177" s="204"/>
      <c r="TRL177" s="199"/>
      <c r="TRM177" s="167"/>
      <c r="TRN177" s="199"/>
      <c r="TRO177" s="200"/>
      <c r="TRP177" s="201"/>
      <c r="TRQ177" s="202"/>
      <c r="TRR177" s="202"/>
      <c r="TRS177" s="202"/>
      <c r="TRT177" s="202"/>
      <c r="TRU177" s="203"/>
      <c r="TRV177" s="204"/>
      <c r="TRW177" s="204"/>
      <c r="TRX177" s="204"/>
      <c r="TRY177" s="205"/>
      <c r="TRZ177" s="206"/>
      <c r="TSA177" s="207"/>
      <c r="TSB177" s="207"/>
      <c r="TSC177" s="208"/>
      <c r="TSD177" s="209"/>
      <c r="TSE177" s="207"/>
      <c r="TSF177" s="210"/>
      <c r="TSG177" s="209"/>
      <c r="TSH177" s="204"/>
      <c r="TSI177" s="204"/>
      <c r="TSJ177" s="204"/>
      <c r="TSK177" s="199"/>
      <c r="TSL177" s="167"/>
      <c r="TSM177" s="199"/>
      <c r="TSN177" s="200"/>
      <c r="TSO177" s="201"/>
      <c r="TSP177" s="202"/>
      <c r="TSQ177" s="202"/>
      <c r="TSR177" s="202"/>
      <c r="TSS177" s="202"/>
      <c r="TST177" s="203"/>
      <c r="TSU177" s="204"/>
      <c r="TSV177" s="204"/>
      <c r="TSW177" s="204"/>
      <c r="TSX177" s="205"/>
      <c r="TSY177" s="206"/>
      <c r="TSZ177" s="207"/>
      <c r="TTA177" s="207"/>
      <c r="TTB177" s="208"/>
      <c r="TTC177" s="209"/>
      <c r="TTD177" s="207"/>
      <c r="TTE177" s="210"/>
      <c r="TTF177" s="209"/>
      <c r="TTG177" s="204"/>
      <c r="TTH177" s="204"/>
      <c r="TTI177" s="204"/>
      <c r="TTJ177" s="199"/>
      <c r="TTK177" s="167"/>
      <c r="TTL177" s="199"/>
      <c r="TTM177" s="200"/>
      <c r="TTN177" s="201"/>
      <c r="TTO177" s="202"/>
      <c r="TTP177" s="202"/>
      <c r="TTQ177" s="202"/>
      <c r="TTR177" s="202"/>
      <c r="TTS177" s="203"/>
      <c r="TTT177" s="204"/>
      <c r="TTU177" s="204"/>
      <c r="TTV177" s="204"/>
      <c r="TTW177" s="205"/>
      <c r="TTX177" s="206"/>
      <c r="TTY177" s="207"/>
      <c r="TTZ177" s="207"/>
      <c r="TUA177" s="208"/>
      <c r="TUB177" s="209"/>
      <c r="TUC177" s="207"/>
      <c r="TUD177" s="210"/>
      <c r="TUE177" s="209"/>
      <c r="TUF177" s="204"/>
      <c r="TUG177" s="204"/>
      <c r="TUH177" s="204"/>
      <c r="TUI177" s="199"/>
      <c r="TUJ177" s="167"/>
      <c r="TUK177" s="199"/>
      <c r="TUL177" s="200"/>
      <c r="TUM177" s="201"/>
      <c r="TUN177" s="202"/>
      <c r="TUO177" s="202"/>
      <c r="TUP177" s="202"/>
      <c r="TUQ177" s="202"/>
      <c r="TUR177" s="203"/>
      <c r="TUS177" s="204"/>
      <c r="TUT177" s="204"/>
      <c r="TUU177" s="204"/>
      <c r="TUV177" s="205"/>
      <c r="TUW177" s="206"/>
      <c r="TUX177" s="207"/>
      <c r="TUY177" s="207"/>
      <c r="TUZ177" s="208"/>
      <c r="TVA177" s="209"/>
      <c r="TVB177" s="207"/>
      <c r="TVC177" s="210"/>
      <c r="TVD177" s="209"/>
      <c r="TVE177" s="204"/>
      <c r="TVF177" s="204"/>
      <c r="TVG177" s="204"/>
      <c r="TVH177" s="199"/>
      <c r="TVI177" s="167"/>
      <c r="TVJ177" s="199"/>
      <c r="TVK177" s="200"/>
      <c r="TVL177" s="201"/>
      <c r="TVM177" s="202"/>
      <c r="TVN177" s="202"/>
      <c r="TVO177" s="202"/>
      <c r="TVP177" s="202"/>
      <c r="TVQ177" s="203"/>
      <c r="TVR177" s="204"/>
      <c r="TVS177" s="204"/>
      <c r="TVT177" s="204"/>
      <c r="TVU177" s="205"/>
      <c r="TVV177" s="206"/>
      <c r="TVW177" s="207"/>
      <c r="TVX177" s="207"/>
      <c r="TVY177" s="208"/>
      <c r="TVZ177" s="209"/>
      <c r="TWA177" s="207"/>
      <c r="TWB177" s="210"/>
      <c r="TWC177" s="209"/>
      <c r="TWD177" s="204"/>
      <c r="TWE177" s="204"/>
      <c r="TWF177" s="204"/>
      <c r="TWG177" s="199"/>
      <c r="TWH177" s="167"/>
      <c r="TWI177" s="199"/>
      <c r="TWJ177" s="200"/>
      <c r="TWK177" s="201"/>
      <c r="TWL177" s="202"/>
      <c r="TWM177" s="202"/>
      <c r="TWN177" s="202"/>
      <c r="TWO177" s="202"/>
      <c r="TWP177" s="203"/>
      <c r="TWQ177" s="204"/>
      <c r="TWR177" s="204"/>
      <c r="TWS177" s="204"/>
      <c r="TWT177" s="205"/>
      <c r="TWU177" s="206"/>
      <c r="TWV177" s="207"/>
      <c r="TWW177" s="207"/>
      <c r="TWX177" s="208"/>
      <c r="TWY177" s="209"/>
      <c r="TWZ177" s="207"/>
      <c r="TXA177" s="210"/>
      <c r="TXB177" s="209"/>
      <c r="TXC177" s="204"/>
      <c r="TXD177" s="204"/>
      <c r="TXE177" s="204"/>
      <c r="TXF177" s="199"/>
      <c r="TXG177" s="167"/>
      <c r="TXH177" s="199"/>
      <c r="TXI177" s="200"/>
      <c r="TXJ177" s="201"/>
      <c r="TXK177" s="202"/>
      <c r="TXL177" s="202"/>
      <c r="TXM177" s="202"/>
      <c r="TXN177" s="202"/>
      <c r="TXO177" s="203"/>
      <c r="TXP177" s="204"/>
      <c r="TXQ177" s="204"/>
      <c r="TXR177" s="204"/>
      <c r="TXS177" s="205"/>
      <c r="TXT177" s="206"/>
      <c r="TXU177" s="207"/>
      <c r="TXV177" s="207"/>
      <c r="TXW177" s="208"/>
      <c r="TXX177" s="209"/>
      <c r="TXY177" s="207"/>
      <c r="TXZ177" s="210"/>
      <c r="TYA177" s="209"/>
      <c r="TYB177" s="204"/>
      <c r="TYC177" s="204"/>
      <c r="TYD177" s="204"/>
      <c r="TYE177" s="199"/>
      <c r="TYF177" s="167"/>
      <c r="TYG177" s="199"/>
      <c r="TYH177" s="200"/>
      <c r="TYI177" s="201"/>
      <c r="TYJ177" s="202"/>
      <c r="TYK177" s="202"/>
      <c r="TYL177" s="202"/>
      <c r="TYM177" s="202"/>
      <c r="TYN177" s="203"/>
      <c r="TYO177" s="204"/>
      <c r="TYP177" s="204"/>
      <c r="TYQ177" s="204"/>
      <c r="TYR177" s="205"/>
      <c r="TYS177" s="206"/>
      <c r="TYT177" s="207"/>
      <c r="TYU177" s="207"/>
      <c r="TYV177" s="208"/>
      <c r="TYW177" s="209"/>
      <c r="TYX177" s="207"/>
      <c r="TYY177" s="210"/>
      <c r="TYZ177" s="209"/>
      <c r="TZA177" s="204"/>
      <c r="TZB177" s="204"/>
      <c r="TZC177" s="204"/>
      <c r="TZD177" s="199"/>
      <c r="TZE177" s="167"/>
      <c r="TZF177" s="199"/>
      <c r="TZG177" s="200"/>
      <c r="TZH177" s="201"/>
      <c r="TZI177" s="202"/>
      <c r="TZJ177" s="202"/>
      <c r="TZK177" s="202"/>
      <c r="TZL177" s="202"/>
      <c r="TZM177" s="203"/>
      <c r="TZN177" s="204"/>
      <c r="TZO177" s="204"/>
      <c r="TZP177" s="204"/>
      <c r="TZQ177" s="205"/>
      <c r="TZR177" s="206"/>
      <c r="TZS177" s="207"/>
      <c r="TZT177" s="207"/>
      <c r="TZU177" s="208"/>
      <c r="TZV177" s="209"/>
      <c r="TZW177" s="207"/>
      <c r="TZX177" s="210"/>
      <c r="TZY177" s="209"/>
      <c r="TZZ177" s="204"/>
      <c r="UAA177" s="204"/>
      <c r="UAB177" s="204"/>
      <c r="UAC177" s="199"/>
      <c r="UAD177" s="167"/>
      <c r="UAE177" s="199"/>
      <c r="UAF177" s="200"/>
      <c r="UAG177" s="201"/>
      <c r="UAH177" s="202"/>
      <c r="UAI177" s="202"/>
      <c r="UAJ177" s="202"/>
      <c r="UAK177" s="202"/>
      <c r="UAL177" s="203"/>
      <c r="UAM177" s="204"/>
      <c r="UAN177" s="204"/>
      <c r="UAO177" s="204"/>
      <c r="UAP177" s="205"/>
      <c r="UAQ177" s="206"/>
      <c r="UAR177" s="207"/>
      <c r="UAS177" s="207"/>
      <c r="UAT177" s="208"/>
      <c r="UAU177" s="209"/>
      <c r="UAV177" s="207"/>
      <c r="UAW177" s="210"/>
      <c r="UAX177" s="209"/>
      <c r="UAY177" s="204"/>
      <c r="UAZ177" s="204"/>
      <c r="UBA177" s="204"/>
      <c r="UBB177" s="199"/>
      <c r="UBC177" s="167"/>
      <c r="UBD177" s="199"/>
      <c r="UBE177" s="200"/>
      <c r="UBF177" s="201"/>
      <c r="UBG177" s="202"/>
      <c r="UBH177" s="202"/>
      <c r="UBI177" s="202"/>
      <c r="UBJ177" s="202"/>
      <c r="UBK177" s="203"/>
      <c r="UBL177" s="204"/>
      <c r="UBM177" s="204"/>
      <c r="UBN177" s="204"/>
      <c r="UBO177" s="205"/>
      <c r="UBP177" s="206"/>
      <c r="UBQ177" s="207"/>
      <c r="UBR177" s="207"/>
      <c r="UBS177" s="208"/>
      <c r="UBT177" s="209"/>
      <c r="UBU177" s="207"/>
      <c r="UBV177" s="210"/>
      <c r="UBW177" s="209"/>
      <c r="UBX177" s="204"/>
      <c r="UBY177" s="204"/>
      <c r="UBZ177" s="204"/>
      <c r="UCA177" s="199"/>
      <c r="UCB177" s="167"/>
      <c r="UCC177" s="199"/>
      <c r="UCD177" s="200"/>
      <c r="UCE177" s="201"/>
      <c r="UCF177" s="202"/>
      <c r="UCG177" s="202"/>
      <c r="UCH177" s="202"/>
      <c r="UCI177" s="202"/>
      <c r="UCJ177" s="203"/>
      <c r="UCK177" s="204"/>
      <c r="UCL177" s="204"/>
      <c r="UCM177" s="204"/>
      <c r="UCN177" s="205"/>
      <c r="UCO177" s="206"/>
      <c r="UCP177" s="207"/>
      <c r="UCQ177" s="207"/>
      <c r="UCR177" s="208"/>
      <c r="UCS177" s="209"/>
      <c r="UCT177" s="207"/>
      <c r="UCU177" s="210"/>
      <c r="UCV177" s="209"/>
      <c r="UCW177" s="204"/>
      <c r="UCX177" s="204"/>
      <c r="UCY177" s="204"/>
      <c r="UCZ177" s="199"/>
      <c r="UDA177" s="167"/>
      <c r="UDB177" s="199"/>
      <c r="UDC177" s="200"/>
      <c r="UDD177" s="201"/>
      <c r="UDE177" s="202"/>
      <c r="UDF177" s="202"/>
      <c r="UDG177" s="202"/>
      <c r="UDH177" s="202"/>
      <c r="UDI177" s="203"/>
      <c r="UDJ177" s="204"/>
      <c r="UDK177" s="204"/>
      <c r="UDL177" s="204"/>
      <c r="UDM177" s="205"/>
      <c r="UDN177" s="206"/>
      <c r="UDO177" s="207"/>
      <c r="UDP177" s="207"/>
      <c r="UDQ177" s="208"/>
      <c r="UDR177" s="209"/>
      <c r="UDS177" s="207"/>
      <c r="UDT177" s="210"/>
      <c r="UDU177" s="209"/>
      <c r="UDV177" s="204"/>
      <c r="UDW177" s="204"/>
      <c r="UDX177" s="204"/>
      <c r="UDY177" s="199"/>
      <c r="UDZ177" s="167"/>
      <c r="UEA177" s="199"/>
      <c r="UEB177" s="200"/>
      <c r="UEC177" s="201"/>
      <c r="UED177" s="202"/>
      <c r="UEE177" s="202"/>
      <c r="UEF177" s="202"/>
      <c r="UEG177" s="202"/>
      <c r="UEH177" s="203"/>
      <c r="UEI177" s="204"/>
      <c r="UEJ177" s="204"/>
      <c r="UEK177" s="204"/>
      <c r="UEL177" s="205"/>
      <c r="UEM177" s="206"/>
      <c r="UEN177" s="207"/>
      <c r="UEO177" s="207"/>
      <c r="UEP177" s="208"/>
      <c r="UEQ177" s="209"/>
      <c r="UER177" s="207"/>
      <c r="UES177" s="210"/>
      <c r="UET177" s="209"/>
      <c r="UEU177" s="204"/>
      <c r="UEV177" s="204"/>
      <c r="UEW177" s="204"/>
      <c r="UEX177" s="199"/>
      <c r="UEY177" s="167"/>
      <c r="UEZ177" s="199"/>
      <c r="UFA177" s="200"/>
      <c r="UFB177" s="201"/>
      <c r="UFC177" s="202"/>
      <c r="UFD177" s="202"/>
      <c r="UFE177" s="202"/>
      <c r="UFF177" s="202"/>
      <c r="UFG177" s="203"/>
      <c r="UFH177" s="204"/>
      <c r="UFI177" s="204"/>
      <c r="UFJ177" s="204"/>
      <c r="UFK177" s="205"/>
      <c r="UFL177" s="206"/>
      <c r="UFM177" s="207"/>
      <c r="UFN177" s="207"/>
      <c r="UFO177" s="208"/>
      <c r="UFP177" s="209"/>
      <c r="UFQ177" s="207"/>
      <c r="UFR177" s="210"/>
      <c r="UFS177" s="209"/>
      <c r="UFT177" s="204"/>
      <c r="UFU177" s="204"/>
      <c r="UFV177" s="204"/>
      <c r="UFW177" s="199"/>
      <c r="UFX177" s="167"/>
      <c r="UFY177" s="199"/>
      <c r="UFZ177" s="200"/>
      <c r="UGA177" s="201"/>
      <c r="UGB177" s="202"/>
      <c r="UGC177" s="202"/>
      <c r="UGD177" s="202"/>
      <c r="UGE177" s="202"/>
      <c r="UGF177" s="203"/>
      <c r="UGG177" s="204"/>
      <c r="UGH177" s="204"/>
      <c r="UGI177" s="204"/>
      <c r="UGJ177" s="205"/>
      <c r="UGK177" s="206"/>
      <c r="UGL177" s="207"/>
      <c r="UGM177" s="207"/>
      <c r="UGN177" s="208"/>
      <c r="UGO177" s="209"/>
      <c r="UGP177" s="207"/>
      <c r="UGQ177" s="210"/>
      <c r="UGR177" s="209"/>
      <c r="UGS177" s="204"/>
      <c r="UGT177" s="204"/>
      <c r="UGU177" s="204"/>
      <c r="UGV177" s="199"/>
      <c r="UGW177" s="167"/>
      <c r="UGX177" s="199"/>
      <c r="UGY177" s="200"/>
      <c r="UGZ177" s="201"/>
      <c r="UHA177" s="202"/>
      <c r="UHB177" s="202"/>
      <c r="UHC177" s="202"/>
      <c r="UHD177" s="202"/>
      <c r="UHE177" s="203"/>
      <c r="UHF177" s="204"/>
      <c r="UHG177" s="204"/>
      <c r="UHH177" s="204"/>
      <c r="UHI177" s="205"/>
      <c r="UHJ177" s="206"/>
      <c r="UHK177" s="207"/>
      <c r="UHL177" s="207"/>
      <c r="UHM177" s="208"/>
      <c r="UHN177" s="209"/>
      <c r="UHO177" s="207"/>
      <c r="UHP177" s="210"/>
      <c r="UHQ177" s="209"/>
      <c r="UHR177" s="204"/>
      <c r="UHS177" s="204"/>
      <c r="UHT177" s="204"/>
      <c r="UHU177" s="199"/>
      <c r="UHV177" s="167"/>
      <c r="UHW177" s="199"/>
      <c r="UHX177" s="200"/>
      <c r="UHY177" s="201"/>
      <c r="UHZ177" s="202"/>
      <c r="UIA177" s="202"/>
      <c r="UIB177" s="202"/>
      <c r="UIC177" s="202"/>
      <c r="UID177" s="203"/>
      <c r="UIE177" s="204"/>
      <c r="UIF177" s="204"/>
      <c r="UIG177" s="204"/>
      <c r="UIH177" s="205"/>
      <c r="UII177" s="206"/>
      <c r="UIJ177" s="207"/>
      <c r="UIK177" s="207"/>
      <c r="UIL177" s="208"/>
      <c r="UIM177" s="209"/>
      <c r="UIN177" s="207"/>
      <c r="UIO177" s="210"/>
      <c r="UIP177" s="209"/>
      <c r="UIQ177" s="204"/>
      <c r="UIR177" s="204"/>
      <c r="UIS177" s="204"/>
      <c r="UIT177" s="199"/>
      <c r="UIU177" s="167"/>
      <c r="UIV177" s="199"/>
      <c r="UIW177" s="200"/>
      <c r="UIX177" s="201"/>
      <c r="UIY177" s="202"/>
      <c r="UIZ177" s="202"/>
      <c r="UJA177" s="202"/>
      <c r="UJB177" s="202"/>
      <c r="UJC177" s="203"/>
      <c r="UJD177" s="204"/>
      <c r="UJE177" s="204"/>
      <c r="UJF177" s="204"/>
      <c r="UJG177" s="205"/>
      <c r="UJH177" s="206"/>
      <c r="UJI177" s="207"/>
      <c r="UJJ177" s="207"/>
      <c r="UJK177" s="208"/>
      <c r="UJL177" s="209"/>
      <c r="UJM177" s="207"/>
      <c r="UJN177" s="210"/>
      <c r="UJO177" s="209"/>
      <c r="UJP177" s="204"/>
      <c r="UJQ177" s="204"/>
      <c r="UJR177" s="204"/>
      <c r="UJS177" s="199"/>
      <c r="UJT177" s="167"/>
      <c r="UJU177" s="199"/>
      <c r="UJV177" s="200"/>
      <c r="UJW177" s="201"/>
      <c r="UJX177" s="202"/>
      <c r="UJY177" s="202"/>
      <c r="UJZ177" s="202"/>
      <c r="UKA177" s="202"/>
      <c r="UKB177" s="203"/>
      <c r="UKC177" s="204"/>
      <c r="UKD177" s="204"/>
      <c r="UKE177" s="204"/>
      <c r="UKF177" s="205"/>
      <c r="UKG177" s="206"/>
      <c r="UKH177" s="207"/>
      <c r="UKI177" s="207"/>
      <c r="UKJ177" s="208"/>
      <c r="UKK177" s="209"/>
      <c r="UKL177" s="207"/>
      <c r="UKM177" s="210"/>
      <c r="UKN177" s="209"/>
      <c r="UKO177" s="204"/>
      <c r="UKP177" s="204"/>
      <c r="UKQ177" s="204"/>
      <c r="UKR177" s="199"/>
      <c r="UKS177" s="167"/>
      <c r="UKT177" s="199"/>
      <c r="UKU177" s="200"/>
      <c r="UKV177" s="201"/>
      <c r="UKW177" s="202"/>
      <c r="UKX177" s="202"/>
      <c r="UKY177" s="202"/>
      <c r="UKZ177" s="202"/>
      <c r="ULA177" s="203"/>
      <c r="ULB177" s="204"/>
      <c r="ULC177" s="204"/>
      <c r="ULD177" s="204"/>
      <c r="ULE177" s="205"/>
      <c r="ULF177" s="206"/>
      <c r="ULG177" s="207"/>
      <c r="ULH177" s="207"/>
      <c r="ULI177" s="208"/>
      <c r="ULJ177" s="209"/>
      <c r="ULK177" s="207"/>
      <c r="ULL177" s="210"/>
      <c r="ULM177" s="209"/>
      <c r="ULN177" s="204"/>
      <c r="ULO177" s="204"/>
      <c r="ULP177" s="204"/>
      <c r="ULQ177" s="199"/>
      <c r="ULR177" s="167"/>
      <c r="ULS177" s="199"/>
      <c r="ULT177" s="200"/>
      <c r="ULU177" s="201"/>
      <c r="ULV177" s="202"/>
      <c r="ULW177" s="202"/>
      <c r="ULX177" s="202"/>
      <c r="ULY177" s="202"/>
      <c r="ULZ177" s="203"/>
      <c r="UMA177" s="204"/>
      <c r="UMB177" s="204"/>
      <c r="UMC177" s="204"/>
      <c r="UMD177" s="205"/>
      <c r="UME177" s="206"/>
      <c r="UMF177" s="207"/>
      <c r="UMG177" s="207"/>
      <c r="UMH177" s="208"/>
      <c r="UMI177" s="209"/>
      <c r="UMJ177" s="207"/>
      <c r="UMK177" s="210"/>
      <c r="UML177" s="209"/>
      <c r="UMM177" s="204"/>
      <c r="UMN177" s="204"/>
      <c r="UMO177" s="204"/>
      <c r="UMP177" s="199"/>
      <c r="UMQ177" s="167"/>
      <c r="UMR177" s="199"/>
      <c r="UMS177" s="200"/>
      <c r="UMT177" s="201"/>
      <c r="UMU177" s="202"/>
      <c r="UMV177" s="202"/>
      <c r="UMW177" s="202"/>
      <c r="UMX177" s="202"/>
      <c r="UMY177" s="203"/>
      <c r="UMZ177" s="204"/>
      <c r="UNA177" s="204"/>
      <c r="UNB177" s="204"/>
      <c r="UNC177" s="205"/>
      <c r="UND177" s="206"/>
      <c r="UNE177" s="207"/>
      <c r="UNF177" s="207"/>
      <c r="UNG177" s="208"/>
      <c r="UNH177" s="209"/>
      <c r="UNI177" s="207"/>
      <c r="UNJ177" s="210"/>
      <c r="UNK177" s="209"/>
      <c r="UNL177" s="204"/>
      <c r="UNM177" s="204"/>
      <c r="UNN177" s="204"/>
      <c r="UNO177" s="199"/>
      <c r="UNP177" s="167"/>
      <c r="UNQ177" s="199"/>
      <c r="UNR177" s="200"/>
      <c r="UNS177" s="201"/>
      <c r="UNT177" s="202"/>
      <c r="UNU177" s="202"/>
      <c r="UNV177" s="202"/>
      <c r="UNW177" s="202"/>
      <c r="UNX177" s="203"/>
      <c r="UNY177" s="204"/>
      <c r="UNZ177" s="204"/>
      <c r="UOA177" s="204"/>
      <c r="UOB177" s="205"/>
      <c r="UOC177" s="206"/>
      <c r="UOD177" s="207"/>
      <c r="UOE177" s="207"/>
      <c r="UOF177" s="208"/>
      <c r="UOG177" s="209"/>
      <c r="UOH177" s="207"/>
      <c r="UOI177" s="210"/>
      <c r="UOJ177" s="209"/>
      <c r="UOK177" s="204"/>
      <c r="UOL177" s="204"/>
      <c r="UOM177" s="204"/>
      <c r="UON177" s="199"/>
      <c r="UOO177" s="167"/>
      <c r="UOP177" s="199"/>
      <c r="UOQ177" s="200"/>
      <c r="UOR177" s="201"/>
      <c r="UOS177" s="202"/>
      <c r="UOT177" s="202"/>
      <c r="UOU177" s="202"/>
      <c r="UOV177" s="202"/>
      <c r="UOW177" s="203"/>
      <c r="UOX177" s="204"/>
      <c r="UOY177" s="204"/>
      <c r="UOZ177" s="204"/>
      <c r="UPA177" s="205"/>
      <c r="UPB177" s="206"/>
      <c r="UPC177" s="207"/>
      <c r="UPD177" s="207"/>
      <c r="UPE177" s="208"/>
      <c r="UPF177" s="209"/>
      <c r="UPG177" s="207"/>
      <c r="UPH177" s="210"/>
      <c r="UPI177" s="209"/>
      <c r="UPJ177" s="204"/>
      <c r="UPK177" s="204"/>
      <c r="UPL177" s="204"/>
      <c r="UPM177" s="199"/>
      <c r="UPN177" s="167"/>
      <c r="UPO177" s="199"/>
      <c r="UPP177" s="200"/>
      <c r="UPQ177" s="201"/>
      <c r="UPR177" s="202"/>
      <c r="UPS177" s="202"/>
      <c r="UPT177" s="202"/>
      <c r="UPU177" s="202"/>
      <c r="UPV177" s="203"/>
      <c r="UPW177" s="204"/>
      <c r="UPX177" s="204"/>
      <c r="UPY177" s="204"/>
      <c r="UPZ177" s="205"/>
      <c r="UQA177" s="206"/>
      <c r="UQB177" s="207"/>
      <c r="UQC177" s="207"/>
      <c r="UQD177" s="208"/>
      <c r="UQE177" s="209"/>
      <c r="UQF177" s="207"/>
      <c r="UQG177" s="210"/>
      <c r="UQH177" s="209"/>
      <c r="UQI177" s="204"/>
      <c r="UQJ177" s="204"/>
      <c r="UQK177" s="204"/>
      <c r="UQL177" s="199"/>
      <c r="UQM177" s="167"/>
      <c r="UQN177" s="199"/>
      <c r="UQO177" s="200"/>
      <c r="UQP177" s="201"/>
      <c r="UQQ177" s="202"/>
      <c r="UQR177" s="202"/>
      <c r="UQS177" s="202"/>
      <c r="UQT177" s="202"/>
      <c r="UQU177" s="203"/>
      <c r="UQV177" s="204"/>
      <c r="UQW177" s="204"/>
      <c r="UQX177" s="204"/>
      <c r="UQY177" s="205"/>
      <c r="UQZ177" s="206"/>
      <c r="URA177" s="207"/>
      <c r="URB177" s="207"/>
      <c r="URC177" s="208"/>
      <c r="URD177" s="209"/>
      <c r="URE177" s="207"/>
      <c r="URF177" s="210"/>
      <c r="URG177" s="209"/>
      <c r="URH177" s="204"/>
      <c r="URI177" s="204"/>
      <c r="URJ177" s="204"/>
      <c r="URK177" s="199"/>
      <c r="URL177" s="167"/>
      <c r="URM177" s="199"/>
      <c r="URN177" s="200"/>
      <c r="URO177" s="201"/>
      <c r="URP177" s="202"/>
      <c r="URQ177" s="202"/>
      <c r="URR177" s="202"/>
      <c r="URS177" s="202"/>
      <c r="URT177" s="203"/>
      <c r="URU177" s="204"/>
      <c r="URV177" s="204"/>
      <c r="URW177" s="204"/>
      <c r="URX177" s="205"/>
      <c r="URY177" s="206"/>
      <c r="URZ177" s="207"/>
      <c r="USA177" s="207"/>
      <c r="USB177" s="208"/>
      <c r="USC177" s="209"/>
      <c r="USD177" s="207"/>
      <c r="USE177" s="210"/>
      <c r="USF177" s="209"/>
      <c r="USG177" s="204"/>
      <c r="USH177" s="204"/>
      <c r="USI177" s="204"/>
      <c r="USJ177" s="199"/>
      <c r="USK177" s="167"/>
      <c r="USL177" s="199"/>
      <c r="USM177" s="200"/>
      <c r="USN177" s="201"/>
      <c r="USO177" s="202"/>
      <c r="USP177" s="202"/>
      <c r="USQ177" s="202"/>
      <c r="USR177" s="202"/>
      <c r="USS177" s="203"/>
      <c r="UST177" s="204"/>
      <c r="USU177" s="204"/>
      <c r="USV177" s="204"/>
      <c r="USW177" s="205"/>
      <c r="USX177" s="206"/>
      <c r="USY177" s="207"/>
      <c r="USZ177" s="207"/>
      <c r="UTA177" s="208"/>
      <c r="UTB177" s="209"/>
      <c r="UTC177" s="207"/>
      <c r="UTD177" s="210"/>
      <c r="UTE177" s="209"/>
      <c r="UTF177" s="204"/>
      <c r="UTG177" s="204"/>
      <c r="UTH177" s="204"/>
      <c r="UTI177" s="199"/>
      <c r="UTJ177" s="167"/>
      <c r="UTK177" s="199"/>
      <c r="UTL177" s="200"/>
      <c r="UTM177" s="201"/>
      <c r="UTN177" s="202"/>
      <c r="UTO177" s="202"/>
      <c r="UTP177" s="202"/>
      <c r="UTQ177" s="202"/>
      <c r="UTR177" s="203"/>
      <c r="UTS177" s="204"/>
      <c r="UTT177" s="204"/>
      <c r="UTU177" s="204"/>
      <c r="UTV177" s="205"/>
      <c r="UTW177" s="206"/>
      <c r="UTX177" s="207"/>
      <c r="UTY177" s="207"/>
      <c r="UTZ177" s="208"/>
      <c r="UUA177" s="209"/>
      <c r="UUB177" s="207"/>
      <c r="UUC177" s="210"/>
      <c r="UUD177" s="209"/>
      <c r="UUE177" s="204"/>
      <c r="UUF177" s="204"/>
      <c r="UUG177" s="204"/>
      <c r="UUH177" s="199"/>
      <c r="UUI177" s="167"/>
      <c r="UUJ177" s="199"/>
      <c r="UUK177" s="200"/>
      <c r="UUL177" s="201"/>
      <c r="UUM177" s="202"/>
      <c r="UUN177" s="202"/>
      <c r="UUO177" s="202"/>
      <c r="UUP177" s="202"/>
      <c r="UUQ177" s="203"/>
      <c r="UUR177" s="204"/>
      <c r="UUS177" s="204"/>
      <c r="UUT177" s="204"/>
      <c r="UUU177" s="205"/>
      <c r="UUV177" s="206"/>
      <c r="UUW177" s="207"/>
      <c r="UUX177" s="207"/>
      <c r="UUY177" s="208"/>
      <c r="UUZ177" s="209"/>
      <c r="UVA177" s="207"/>
      <c r="UVB177" s="210"/>
      <c r="UVC177" s="209"/>
      <c r="UVD177" s="204"/>
      <c r="UVE177" s="204"/>
      <c r="UVF177" s="204"/>
      <c r="UVG177" s="199"/>
      <c r="UVH177" s="167"/>
      <c r="UVI177" s="199"/>
      <c r="UVJ177" s="200"/>
      <c r="UVK177" s="201"/>
      <c r="UVL177" s="202"/>
      <c r="UVM177" s="202"/>
      <c r="UVN177" s="202"/>
      <c r="UVO177" s="202"/>
      <c r="UVP177" s="203"/>
      <c r="UVQ177" s="204"/>
      <c r="UVR177" s="204"/>
      <c r="UVS177" s="204"/>
      <c r="UVT177" s="205"/>
      <c r="UVU177" s="206"/>
      <c r="UVV177" s="207"/>
      <c r="UVW177" s="207"/>
      <c r="UVX177" s="208"/>
      <c r="UVY177" s="209"/>
      <c r="UVZ177" s="207"/>
      <c r="UWA177" s="210"/>
      <c r="UWB177" s="209"/>
      <c r="UWC177" s="204"/>
      <c r="UWD177" s="204"/>
      <c r="UWE177" s="204"/>
      <c r="UWF177" s="199"/>
      <c r="UWG177" s="167"/>
      <c r="UWH177" s="199"/>
      <c r="UWI177" s="200"/>
      <c r="UWJ177" s="201"/>
      <c r="UWK177" s="202"/>
      <c r="UWL177" s="202"/>
      <c r="UWM177" s="202"/>
      <c r="UWN177" s="202"/>
      <c r="UWO177" s="203"/>
      <c r="UWP177" s="204"/>
      <c r="UWQ177" s="204"/>
      <c r="UWR177" s="204"/>
      <c r="UWS177" s="205"/>
      <c r="UWT177" s="206"/>
      <c r="UWU177" s="207"/>
      <c r="UWV177" s="207"/>
      <c r="UWW177" s="208"/>
      <c r="UWX177" s="209"/>
      <c r="UWY177" s="207"/>
      <c r="UWZ177" s="210"/>
      <c r="UXA177" s="209"/>
      <c r="UXB177" s="204"/>
      <c r="UXC177" s="204"/>
      <c r="UXD177" s="204"/>
      <c r="UXE177" s="199"/>
      <c r="UXF177" s="167"/>
      <c r="UXG177" s="199"/>
      <c r="UXH177" s="200"/>
      <c r="UXI177" s="201"/>
      <c r="UXJ177" s="202"/>
      <c r="UXK177" s="202"/>
      <c r="UXL177" s="202"/>
      <c r="UXM177" s="202"/>
      <c r="UXN177" s="203"/>
      <c r="UXO177" s="204"/>
      <c r="UXP177" s="204"/>
      <c r="UXQ177" s="204"/>
      <c r="UXR177" s="205"/>
      <c r="UXS177" s="206"/>
      <c r="UXT177" s="207"/>
      <c r="UXU177" s="207"/>
      <c r="UXV177" s="208"/>
      <c r="UXW177" s="209"/>
      <c r="UXX177" s="207"/>
      <c r="UXY177" s="210"/>
      <c r="UXZ177" s="209"/>
      <c r="UYA177" s="204"/>
      <c r="UYB177" s="204"/>
      <c r="UYC177" s="204"/>
      <c r="UYD177" s="199"/>
      <c r="UYE177" s="167"/>
      <c r="UYF177" s="199"/>
      <c r="UYG177" s="200"/>
      <c r="UYH177" s="201"/>
      <c r="UYI177" s="202"/>
      <c r="UYJ177" s="202"/>
      <c r="UYK177" s="202"/>
      <c r="UYL177" s="202"/>
      <c r="UYM177" s="203"/>
      <c r="UYN177" s="204"/>
      <c r="UYO177" s="204"/>
      <c r="UYP177" s="204"/>
      <c r="UYQ177" s="205"/>
      <c r="UYR177" s="206"/>
      <c r="UYS177" s="207"/>
      <c r="UYT177" s="207"/>
      <c r="UYU177" s="208"/>
      <c r="UYV177" s="209"/>
      <c r="UYW177" s="207"/>
      <c r="UYX177" s="210"/>
      <c r="UYY177" s="209"/>
      <c r="UYZ177" s="204"/>
      <c r="UZA177" s="204"/>
      <c r="UZB177" s="204"/>
      <c r="UZC177" s="199"/>
      <c r="UZD177" s="167"/>
      <c r="UZE177" s="199"/>
      <c r="UZF177" s="200"/>
      <c r="UZG177" s="201"/>
      <c r="UZH177" s="202"/>
      <c r="UZI177" s="202"/>
      <c r="UZJ177" s="202"/>
      <c r="UZK177" s="202"/>
      <c r="UZL177" s="203"/>
      <c r="UZM177" s="204"/>
      <c r="UZN177" s="204"/>
      <c r="UZO177" s="204"/>
      <c r="UZP177" s="205"/>
      <c r="UZQ177" s="206"/>
      <c r="UZR177" s="207"/>
      <c r="UZS177" s="207"/>
      <c r="UZT177" s="208"/>
      <c r="UZU177" s="209"/>
      <c r="UZV177" s="207"/>
      <c r="UZW177" s="210"/>
      <c r="UZX177" s="209"/>
      <c r="UZY177" s="204"/>
      <c r="UZZ177" s="204"/>
      <c r="VAA177" s="204"/>
      <c r="VAB177" s="199"/>
      <c r="VAC177" s="167"/>
      <c r="VAD177" s="199"/>
      <c r="VAE177" s="200"/>
      <c r="VAF177" s="201"/>
      <c r="VAG177" s="202"/>
      <c r="VAH177" s="202"/>
      <c r="VAI177" s="202"/>
      <c r="VAJ177" s="202"/>
      <c r="VAK177" s="203"/>
      <c r="VAL177" s="204"/>
      <c r="VAM177" s="204"/>
      <c r="VAN177" s="204"/>
      <c r="VAO177" s="205"/>
      <c r="VAP177" s="206"/>
      <c r="VAQ177" s="207"/>
      <c r="VAR177" s="207"/>
      <c r="VAS177" s="208"/>
      <c r="VAT177" s="209"/>
      <c r="VAU177" s="207"/>
      <c r="VAV177" s="210"/>
      <c r="VAW177" s="209"/>
      <c r="VAX177" s="204"/>
      <c r="VAY177" s="204"/>
      <c r="VAZ177" s="204"/>
      <c r="VBA177" s="199"/>
      <c r="VBB177" s="167"/>
      <c r="VBC177" s="199"/>
      <c r="VBD177" s="200"/>
      <c r="VBE177" s="201"/>
      <c r="VBF177" s="202"/>
      <c r="VBG177" s="202"/>
      <c r="VBH177" s="202"/>
      <c r="VBI177" s="202"/>
      <c r="VBJ177" s="203"/>
      <c r="VBK177" s="204"/>
      <c r="VBL177" s="204"/>
      <c r="VBM177" s="204"/>
      <c r="VBN177" s="205"/>
      <c r="VBO177" s="206"/>
      <c r="VBP177" s="207"/>
      <c r="VBQ177" s="207"/>
      <c r="VBR177" s="208"/>
      <c r="VBS177" s="209"/>
      <c r="VBT177" s="207"/>
      <c r="VBU177" s="210"/>
      <c r="VBV177" s="209"/>
      <c r="VBW177" s="204"/>
      <c r="VBX177" s="204"/>
      <c r="VBY177" s="204"/>
      <c r="VBZ177" s="199"/>
      <c r="VCA177" s="167"/>
      <c r="VCB177" s="199"/>
      <c r="VCC177" s="200"/>
      <c r="VCD177" s="201"/>
      <c r="VCE177" s="202"/>
      <c r="VCF177" s="202"/>
      <c r="VCG177" s="202"/>
      <c r="VCH177" s="202"/>
      <c r="VCI177" s="203"/>
      <c r="VCJ177" s="204"/>
      <c r="VCK177" s="204"/>
      <c r="VCL177" s="204"/>
      <c r="VCM177" s="205"/>
      <c r="VCN177" s="206"/>
      <c r="VCO177" s="207"/>
      <c r="VCP177" s="207"/>
      <c r="VCQ177" s="208"/>
      <c r="VCR177" s="209"/>
      <c r="VCS177" s="207"/>
      <c r="VCT177" s="210"/>
      <c r="VCU177" s="209"/>
      <c r="VCV177" s="204"/>
      <c r="VCW177" s="204"/>
      <c r="VCX177" s="204"/>
      <c r="VCY177" s="199"/>
      <c r="VCZ177" s="167"/>
      <c r="VDA177" s="199"/>
      <c r="VDB177" s="200"/>
      <c r="VDC177" s="201"/>
      <c r="VDD177" s="202"/>
      <c r="VDE177" s="202"/>
      <c r="VDF177" s="202"/>
      <c r="VDG177" s="202"/>
      <c r="VDH177" s="203"/>
      <c r="VDI177" s="204"/>
      <c r="VDJ177" s="204"/>
      <c r="VDK177" s="204"/>
      <c r="VDL177" s="205"/>
      <c r="VDM177" s="206"/>
      <c r="VDN177" s="207"/>
      <c r="VDO177" s="207"/>
      <c r="VDP177" s="208"/>
      <c r="VDQ177" s="209"/>
      <c r="VDR177" s="207"/>
      <c r="VDS177" s="210"/>
      <c r="VDT177" s="209"/>
      <c r="VDU177" s="204"/>
      <c r="VDV177" s="204"/>
      <c r="VDW177" s="204"/>
      <c r="VDX177" s="199"/>
      <c r="VDY177" s="167"/>
      <c r="VDZ177" s="199"/>
      <c r="VEA177" s="200"/>
      <c r="VEB177" s="201"/>
      <c r="VEC177" s="202"/>
      <c r="VED177" s="202"/>
      <c r="VEE177" s="202"/>
      <c r="VEF177" s="202"/>
      <c r="VEG177" s="203"/>
      <c r="VEH177" s="204"/>
      <c r="VEI177" s="204"/>
      <c r="VEJ177" s="204"/>
      <c r="VEK177" s="205"/>
      <c r="VEL177" s="206"/>
      <c r="VEM177" s="207"/>
      <c r="VEN177" s="207"/>
      <c r="VEO177" s="208"/>
      <c r="VEP177" s="209"/>
      <c r="VEQ177" s="207"/>
      <c r="VER177" s="210"/>
      <c r="VES177" s="209"/>
      <c r="VET177" s="204"/>
      <c r="VEU177" s="204"/>
      <c r="VEV177" s="204"/>
      <c r="VEW177" s="199"/>
      <c r="VEX177" s="167"/>
      <c r="VEY177" s="199"/>
      <c r="VEZ177" s="200"/>
      <c r="VFA177" s="201"/>
      <c r="VFB177" s="202"/>
      <c r="VFC177" s="202"/>
      <c r="VFD177" s="202"/>
      <c r="VFE177" s="202"/>
      <c r="VFF177" s="203"/>
      <c r="VFG177" s="204"/>
      <c r="VFH177" s="204"/>
      <c r="VFI177" s="204"/>
      <c r="VFJ177" s="205"/>
      <c r="VFK177" s="206"/>
      <c r="VFL177" s="207"/>
      <c r="VFM177" s="207"/>
      <c r="VFN177" s="208"/>
      <c r="VFO177" s="209"/>
      <c r="VFP177" s="207"/>
      <c r="VFQ177" s="210"/>
      <c r="VFR177" s="209"/>
      <c r="VFS177" s="204"/>
      <c r="VFT177" s="204"/>
      <c r="VFU177" s="204"/>
      <c r="VFV177" s="199"/>
      <c r="VFW177" s="167"/>
      <c r="VFX177" s="199"/>
      <c r="VFY177" s="200"/>
      <c r="VFZ177" s="201"/>
      <c r="VGA177" s="202"/>
      <c r="VGB177" s="202"/>
      <c r="VGC177" s="202"/>
      <c r="VGD177" s="202"/>
      <c r="VGE177" s="203"/>
      <c r="VGF177" s="204"/>
      <c r="VGG177" s="204"/>
      <c r="VGH177" s="204"/>
      <c r="VGI177" s="205"/>
      <c r="VGJ177" s="206"/>
      <c r="VGK177" s="207"/>
      <c r="VGL177" s="207"/>
      <c r="VGM177" s="208"/>
      <c r="VGN177" s="209"/>
      <c r="VGO177" s="207"/>
      <c r="VGP177" s="210"/>
      <c r="VGQ177" s="209"/>
      <c r="VGR177" s="204"/>
      <c r="VGS177" s="204"/>
      <c r="VGT177" s="204"/>
      <c r="VGU177" s="199"/>
      <c r="VGV177" s="167"/>
      <c r="VGW177" s="199"/>
      <c r="VGX177" s="200"/>
      <c r="VGY177" s="201"/>
      <c r="VGZ177" s="202"/>
      <c r="VHA177" s="202"/>
      <c r="VHB177" s="202"/>
      <c r="VHC177" s="202"/>
      <c r="VHD177" s="203"/>
      <c r="VHE177" s="204"/>
      <c r="VHF177" s="204"/>
      <c r="VHG177" s="204"/>
      <c r="VHH177" s="205"/>
      <c r="VHI177" s="206"/>
      <c r="VHJ177" s="207"/>
      <c r="VHK177" s="207"/>
      <c r="VHL177" s="208"/>
      <c r="VHM177" s="209"/>
      <c r="VHN177" s="207"/>
      <c r="VHO177" s="210"/>
      <c r="VHP177" s="209"/>
      <c r="VHQ177" s="204"/>
      <c r="VHR177" s="204"/>
      <c r="VHS177" s="204"/>
      <c r="VHT177" s="199"/>
      <c r="VHU177" s="167"/>
      <c r="VHV177" s="199"/>
      <c r="VHW177" s="200"/>
      <c r="VHX177" s="201"/>
      <c r="VHY177" s="202"/>
      <c r="VHZ177" s="202"/>
      <c r="VIA177" s="202"/>
      <c r="VIB177" s="202"/>
      <c r="VIC177" s="203"/>
      <c r="VID177" s="204"/>
      <c r="VIE177" s="204"/>
      <c r="VIF177" s="204"/>
      <c r="VIG177" s="205"/>
      <c r="VIH177" s="206"/>
      <c r="VII177" s="207"/>
      <c r="VIJ177" s="207"/>
      <c r="VIK177" s="208"/>
      <c r="VIL177" s="209"/>
      <c r="VIM177" s="207"/>
      <c r="VIN177" s="210"/>
      <c r="VIO177" s="209"/>
      <c r="VIP177" s="204"/>
      <c r="VIQ177" s="204"/>
      <c r="VIR177" s="204"/>
      <c r="VIS177" s="199"/>
      <c r="VIT177" s="167"/>
      <c r="VIU177" s="199"/>
      <c r="VIV177" s="200"/>
      <c r="VIW177" s="201"/>
      <c r="VIX177" s="202"/>
      <c r="VIY177" s="202"/>
      <c r="VIZ177" s="202"/>
      <c r="VJA177" s="202"/>
      <c r="VJB177" s="203"/>
      <c r="VJC177" s="204"/>
      <c r="VJD177" s="204"/>
      <c r="VJE177" s="204"/>
      <c r="VJF177" s="205"/>
      <c r="VJG177" s="206"/>
      <c r="VJH177" s="207"/>
      <c r="VJI177" s="207"/>
      <c r="VJJ177" s="208"/>
      <c r="VJK177" s="209"/>
      <c r="VJL177" s="207"/>
      <c r="VJM177" s="210"/>
      <c r="VJN177" s="209"/>
      <c r="VJO177" s="204"/>
      <c r="VJP177" s="204"/>
      <c r="VJQ177" s="204"/>
      <c r="VJR177" s="199"/>
      <c r="VJS177" s="167"/>
      <c r="VJT177" s="199"/>
      <c r="VJU177" s="200"/>
      <c r="VJV177" s="201"/>
      <c r="VJW177" s="202"/>
      <c r="VJX177" s="202"/>
      <c r="VJY177" s="202"/>
      <c r="VJZ177" s="202"/>
      <c r="VKA177" s="203"/>
      <c r="VKB177" s="204"/>
      <c r="VKC177" s="204"/>
      <c r="VKD177" s="204"/>
      <c r="VKE177" s="205"/>
      <c r="VKF177" s="206"/>
      <c r="VKG177" s="207"/>
      <c r="VKH177" s="207"/>
      <c r="VKI177" s="208"/>
      <c r="VKJ177" s="209"/>
      <c r="VKK177" s="207"/>
      <c r="VKL177" s="210"/>
      <c r="VKM177" s="209"/>
      <c r="VKN177" s="204"/>
      <c r="VKO177" s="204"/>
      <c r="VKP177" s="204"/>
      <c r="VKQ177" s="199"/>
      <c r="VKR177" s="167"/>
      <c r="VKS177" s="199"/>
      <c r="VKT177" s="200"/>
      <c r="VKU177" s="201"/>
      <c r="VKV177" s="202"/>
      <c r="VKW177" s="202"/>
      <c r="VKX177" s="202"/>
      <c r="VKY177" s="202"/>
      <c r="VKZ177" s="203"/>
      <c r="VLA177" s="204"/>
      <c r="VLB177" s="204"/>
      <c r="VLC177" s="204"/>
      <c r="VLD177" s="205"/>
      <c r="VLE177" s="206"/>
      <c r="VLF177" s="207"/>
      <c r="VLG177" s="207"/>
      <c r="VLH177" s="208"/>
      <c r="VLI177" s="209"/>
      <c r="VLJ177" s="207"/>
      <c r="VLK177" s="210"/>
      <c r="VLL177" s="209"/>
      <c r="VLM177" s="204"/>
      <c r="VLN177" s="204"/>
      <c r="VLO177" s="204"/>
      <c r="VLP177" s="199"/>
      <c r="VLQ177" s="167"/>
      <c r="VLR177" s="199"/>
      <c r="VLS177" s="200"/>
      <c r="VLT177" s="201"/>
      <c r="VLU177" s="202"/>
      <c r="VLV177" s="202"/>
      <c r="VLW177" s="202"/>
      <c r="VLX177" s="202"/>
      <c r="VLY177" s="203"/>
      <c r="VLZ177" s="204"/>
      <c r="VMA177" s="204"/>
      <c r="VMB177" s="204"/>
      <c r="VMC177" s="205"/>
      <c r="VMD177" s="206"/>
      <c r="VME177" s="207"/>
      <c r="VMF177" s="207"/>
      <c r="VMG177" s="208"/>
      <c r="VMH177" s="209"/>
      <c r="VMI177" s="207"/>
      <c r="VMJ177" s="210"/>
      <c r="VMK177" s="209"/>
      <c r="VML177" s="204"/>
      <c r="VMM177" s="204"/>
      <c r="VMN177" s="204"/>
      <c r="VMO177" s="199"/>
      <c r="VMP177" s="167"/>
      <c r="VMQ177" s="199"/>
      <c r="VMR177" s="200"/>
      <c r="VMS177" s="201"/>
      <c r="VMT177" s="202"/>
      <c r="VMU177" s="202"/>
      <c r="VMV177" s="202"/>
      <c r="VMW177" s="202"/>
      <c r="VMX177" s="203"/>
      <c r="VMY177" s="204"/>
      <c r="VMZ177" s="204"/>
      <c r="VNA177" s="204"/>
      <c r="VNB177" s="205"/>
      <c r="VNC177" s="206"/>
      <c r="VND177" s="207"/>
      <c r="VNE177" s="207"/>
      <c r="VNF177" s="208"/>
      <c r="VNG177" s="209"/>
      <c r="VNH177" s="207"/>
      <c r="VNI177" s="210"/>
      <c r="VNJ177" s="209"/>
      <c r="VNK177" s="204"/>
      <c r="VNL177" s="204"/>
      <c r="VNM177" s="204"/>
      <c r="VNN177" s="199"/>
      <c r="VNO177" s="167"/>
      <c r="VNP177" s="199"/>
      <c r="VNQ177" s="200"/>
      <c r="VNR177" s="201"/>
      <c r="VNS177" s="202"/>
      <c r="VNT177" s="202"/>
      <c r="VNU177" s="202"/>
      <c r="VNV177" s="202"/>
      <c r="VNW177" s="203"/>
      <c r="VNX177" s="204"/>
      <c r="VNY177" s="204"/>
      <c r="VNZ177" s="204"/>
      <c r="VOA177" s="205"/>
      <c r="VOB177" s="206"/>
      <c r="VOC177" s="207"/>
      <c r="VOD177" s="207"/>
      <c r="VOE177" s="208"/>
      <c r="VOF177" s="209"/>
      <c r="VOG177" s="207"/>
      <c r="VOH177" s="210"/>
      <c r="VOI177" s="209"/>
      <c r="VOJ177" s="204"/>
      <c r="VOK177" s="204"/>
      <c r="VOL177" s="204"/>
      <c r="VOM177" s="199"/>
      <c r="VON177" s="167"/>
      <c r="VOO177" s="199"/>
      <c r="VOP177" s="200"/>
      <c r="VOQ177" s="201"/>
      <c r="VOR177" s="202"/>
      <c r="VOS177" s="202"/>
      <c r="VOT177" s="202"/>
      <c r="VOU177" s="202"/>
      <c r="VOV177" s="203"/>
      <c r="VOW177" s="204"/>
      <c r="VOX177" s="204"/>
      <c r="VOY177" s="204"/>
      <c r="VOZ177" s="205"/>
      <c r="VPA177" s="206"/>
      <c r="VPB177" s="207"/>
      <c r="VPC177" s="207"/>
      <c r="VPD177" s="208"/>
      <c r="VPE177" s="209"/>
      <c r="VPF177" s="207"/>
      <c r="VPG177" s="210"/>
      <c r="VPH177" s="209"/>
      <c r="VPI177" s="204"/>
      <c r="VPJ177" s="204"/>
      <c r="VPK177" s="204"/>
      <c r="VPL177" s="199"/>
      <c r="VPM177" s="167"/>
      <c r="VPN177" s="199"/>
      <c r="VPO177" s="200"/>
      <c r="VPP177" s="201"/>
      <c r="VPQ177" s="202"/>
      <c r="VPR177" s="202"/>
      <c r="VPS177" s="202"/>
      <c r="VPT177" s="202"/>
      <c r="VPU177" s="203"/>
      <c r="VPV177" s="204"/>
      <c r="VPW177" s="204"/>
      <c r="VPX177" s="204"/>
      <c r="VPY177" s="205"/>
      <c r="VPZ177" s="206"/>
      <c r="VQA177" s="207"/>
      <c r="VQB177" s="207"/>
      <c r="VQC177" s="208"/>
      <c r="VQD177" s="209"/>
      <c r="VQE177" s="207"/>
      <c r="VQF177" s="210"/>
      <c r="VQG177" s="209"/>
      <c r="VQH177" s="204"/>
      <c r="VQI177" s="204"/>
      <c r="VQJ177" s="204"/>
      <c r="VQK177" s="199"/>
      <c r="VQL177" s="167"/>
      <c r="VQM177" s="199"/>
      <c r="VQN177" s="200"/>
      <c r="VQO177" s="201"/>
      <c r="VQP177" s="202"/>
      <c r="VQQ177" s="202"/>
      <c r="VQR177" s="202"/>
      <c r="VQS177" s="202"/>
      <c r="VQT177" s="203"/>
      <c r="VQU177" s="204"/>
      <c r="VQV177" s="204"/>
      <c r="VQW177" s="204"/>
      <c r="VQX177" s="205"/>
      <c r="VQY177" s="206"/>
      <c r="VQZ177" s="207"/>
      <c r="VRA177" s="207"/>
      <c r="VRB177" s="208"/>
      <c r="VRC177" s="209"/>
      <c r="VRD177" s="207"/>
      <c r="VRE177" s="210"/>
      <c r="VRF177" s="209"/>
      <c r="VRG177" s="204"/>
      <c r="VRH177" s="204"/>
      <c r="VRI177" s="204"/>
      <c r="VRJ177" s="199"/>
      <c r="VRK177" s="167"/>
      <c r="VRL177" s="199"/>
      <c r="VRM177" s="200"/>
      <c r="VRN177" s="201"/>
      <c r="VRO177" s="202"/>
      <c r="VRP177" s="202"/>
      <c r="VRQ177" s="202"/>
      <c r="VRR177" s="202"/>
      <c r="VRS177" s="203"/>
      <c r="VRT177" s="204"/>
      <c r="VRU177" s="204"/>
      <c r="VRV177" s="204"/>
      <c r="VRW177" s="205"/>
      <c r="VRX177" s="206"/>
      <c r="VRY177" s="207"/>
      <c r="VRZ177" s="207"/>
      <c r="VSA177" s="208"/>
      <c r="VSB177" s="209"/>
      <c r="VSC177" s="207"/>
      <c r="VSD177" s="210"/>
      <c r="VSE177" s="209"/>
      <c r="VSF177" s="204"/>
      <c r="VSG177" s="204"/>
      <c r="VSH177" s="204"/>
      <c r="VSI177" s="199"/>
      <c r="VSJ177" s="167"/>
      <c r="VSK177" s="199"/>
      <c r="VSL177" s="200"/>
      <c r="VSM177" s="201"/>
      <c r="VSN177" s="202"/>
      <c r="VSO177" s="202"/>
      <c r="VSP177" s="202"/>
      <c r="VSQ177" s="202"/>
      <c r="VSR177" s="203"/>
      <c r="VSS177" s="204"/>
      <c r="VST177" s="204"/>
      <c r="VSU177" s="204"/>
      <c r="VSV177" s="205"/>
      <c r="VSW177" s="206"/>
      <c r="VSX177" s="207"/>
      <c r="VSY177" s="207"/>
      <c r="VSZ177" s="208"/>
      <c r="VTA177" s="209"/>
      <c r="VTB177" s="207"/>
      <c r="VTC177" s="210"/>
      <c r="VTD177" s="209"/>
      <c r="VTE177" s="204"/>
      <c r="VTF177" s="204"/>
      <c r="VTG177" s="204"/>
      <c r="VTH177" s="199"/>
      <c r="VTI177" s="167"/>
      <c r="VTJ177" s="199"/>
      <c r="VTK177" s="200"/>
      <c r="VTL177" s="201"/>
      <c r="VTM177" s="202"/>
      <c r="VTN177" s="202"/>
      <c r="VTO177" s="202"/>
      <c r="VTP177" s="202"/>
      <c r="VTQ177" s="203"/>
      <c r="VTR177" s="204"/>
      <c r="VTS177" s="204"/>
      <c r="VTT177" s="204"/>
      <c r="VTU177" s="205"/>
      <c r="VTV177" s="206"/>
      <c r="VTW177" s="207"/>
      <c r="VTX177" s="207"/>
      <c r="VTY177" s="208"/>
      <c r="VTZ177" s="209"/>
      <c r="VUA177" s="207"/>
      <c r="VUB177" s="210"/>
      <c r="VUC177" s="209"/>
      <c r="VUD177" s="204"/>
      <c r="VUE177" s="204"/>
      <c r="VUF177" s="204"/>
      <c r="VUG177" s="199"/>
      <c r="VUH177" s="167"/>
      <c r="VUI177" s="199"/>
      <c r="VUJ177" s="200"/>
      <c r="VUK177" s="201"/>
      <c r="VUL177" s="202"/>
      <c r="VUM177" s="202"/>
      <c r="VUN177" s="202"/>
      <c r="VUO177" s="202"/>
      <c r="VUP177" s="203"/>
      <c r="VUQ177" s="204"/>
      <c r="VUR177" s="204"/>
      <c r="VUS177" s="204"/>
      <c r="VUT177" s="205"/>
      <c r="VUU177" s="206"/>
      <c r="VUV177" s="207"/>
      <c r="VUW177" s="207"/>
      <c r="VUX177" s="208"/>
      <c r="VUY177" s="209"/>
      <c r="VUZ177" s="207"/>
      <c r="VVA177" s="210"/>
      <c r="VVB177" s="209"/>
      <c r="VVC177" s="204"/>
      <c r="VVD177" s="204"/>
      <c r="VVE177" s="204"/>
      <c r="VVF177" s="199"/>
      <c r="VVG177" s="167"/>
      <c r="VVH177" s="199"/>
      <c r="VVI177" s="200"/>
      <c r="VVJ177" s="201"/>
      <c r="VVK177" s="202"/>
      <c r="VVL177" s="202"/>
      <c r="VVM177" s="202"/>
      <c r="VVN177" s="202"/>
      <c r="VVO177" s="203"/>
      <c r="VVP177" s="204"/>
      <c r="VVQ177" s="204"/>
      <c r="VVR177" s="204"/>
      <c r="VVS177" s="205"/>
      <c r="VVT177" s="206"/>
      <c r="VVU177" s="207"/>
      <c r="VVV177" s="207"/>
      <c r="VVW177" s="208"/>
      <c r="VVX177" s="209"/>
      <c r="VVY177" s="207"/>
      <c r="VVZ177" s="210"/>
      <c r="VWA177" s="209"/>
      <c r="VWB177" s="204"/>
      <c r="VWC177" s="204"/>
      <c r="VWD177" s="204"/>
      <c r="VWE177" s="199"/>
      <c r="VWF177" s="167"/>
      <c r="VWG177" s="199"/>
      <c r="VWH177" s="200"/>
      <c r="VWI177" s="201"/>
      <c r="VWJ177" s="202"/>
      <c r="VWK177" s="202"/>
      <c r="VWL177" s="202"/>
      <c r="VWM177" s="202"/>
      <c r="VWN177" s="203"/>
      <c r="VWO177" s="204"/>
      <c r="VWP177" s="204"/>
      <c r="VWQ177" s="204"/>
      <c r="VWR177" s="205"/>
      <c r="VWS177" s="206"/>
      <c r="VWT177" s="207"/>
      <c r="VWU177" s="207"/>
      <c r="VWV177" s="208"/>
      <c r="VWW177" s="209"/>
      <c r="VWX177" s="207"/>
      <c r="VWY177" s="210"/>
      <c r="VWZ177" s="209"/>
      <c r="VXA177" s="204"/>
      <c r="VXB177" s="204"/>
      <c r="VXC177" s="204"/>
      <c r="VXD177" s="199"/>
      <c r="VXE177" s="167"/>
      <c r="VXF177" s="199"/>
      <c r="VXG177" s="200"/>
      <c r="VXH177" s="201"/>
      <c r="VXI177" s="202"/>
      <c r="VXJ177" s="202"/>
      <c r="VXK177" s="202"/>
      <c r="VXL177" s="202"/>
      <c r="VXM177" s="203"/>
      <c r="VXN177" s="204"/>
      <c r="VXO177" s="204"/>
      <c r="VXP177" s="204"/>
      <c r="VXQ177" s="205"/>
      <c r="VXR177" s="206"/>
      <c r="VXS177" s="207"/>
      <c r="VXT177" s="207"/>
      <c r="VXU177" s="208"/>
      <c r="VXV177" s="209"/>
      <c r="VXW177" s="207"/>
      <c r="VXX177" s="210"/>
      <c r="VXY177" s="209"/>
      <c r="VXZ177" s="204"/>
      <c r="VYA177" s="204"/>
      <c r="VYB177" s="204"/>
      <c r="VYC177" s="199"/>
      <c r="VYD177" s="167"/>
      <c r="VYE177" s="199"/>
      <c r="VYF177" s="200"/>
      <c r="VYG177" s="201"/>
      <c r="VYH177" s="202"/>
      <c r="VYI177" s="202"/>
      <c r="VYJ177" s="202"/>
      <c r="VYK177" s="202"/>
      <c r="VYL177" s="203"/>
      <c r="VYM177" s="204"/>
      <c r="VYN177" s="204"/>
      <c r="VYO177" s="204"/>
      <c r="VYP177" s="205"/>
      <c r="VYQ177" s="206"/>
      <c r="VYR177" s="207"/>
      <c r="VYS177" s="207"/>
      <c r="VYT177" s="208"/>
      <c r="VYU177" s="209"/>
      <c r="VYV177" s="207"/>
      <c r="VYW177" s="210"/>
      <c r="VYX177" s="209"/>
      <c r="VYY177" s="204"/>
      <c r="VYZ177" s="204"/>
      <c r="VZA177" s="204"/>
      <c r="VZB177" s="199"/>
      <c r="VZC177" s="167"/>
      <c r="VZD177" s="199"/>
      <c r="VZE177" s="200"/>
      <c r="VZF177" s="201"/>
      <c r="VZG177" s="202"/>
      <c r="VZH177" s="202"/>
      <c r="VZI177" s="202"/>
      <c r="VZJ177" s="202"/>
      <c r="VZK177" s="203"/>
      <c r="VZL177" s="204"/>
      <c r="VZM177" s="204"/>
      <c r="VZN177" s="204"/>
      <c r="VZO177" s="205"/>
      <c r="VZP177" s="206"/>
      <c r="VZQ177" s="207"/>
      <c r="VZR177" s="207"/>
      <c r="VZS177" s="208"/>
      <c r="VZT177" s="209"/>
      <c r="VZU177" s="207"/>
      <c r="VZV177" s="210"/>
      <c r="VZW177" s="209"/>
      <c r="VZX177" s="204"/>
      <c r="VZY177" s="204"/>
      <c r="VZZ177" s="204"/>
      <c r="WAA177" s="199"/>
      <c r="WAB177" s="167"/>
      <c r="WAC177" s="199"/>
      <c r="WAD177" s="200"/>
      <c r="WAE177" s="201"/>
      <c r="WAF177" s="202"/>
      <c r="WAG177" s="202"/>
      <c r="WAH177" s="202"/>
      <c r="WAI177" s="202"/>
      <c r="WAJ177" s="203"/>
      <c r="WAK177" s="204"/>
      <c r="WAL177" s="204"/>
      <c r="WAM177" s="204"/>
      <c r="WAN177" s="205"/>
      <c r="WAO177" s="206"/>
      <c r="WAP177" s="207"/>
      <c r="WAQ177" s="207"/>
      <c r="WAR177" s="208"/>
      <c r="WAS177" s="209"/>
      <c r="WAT177" s="207"/>
      <c r="WAU177" s="210"/>
      <c r="WAV177" s="209"/>
      <c r="WAW177" s="204"/>
      <c r="WAX177" s="204"/>
      <c r="WAY177" s="204"/>
      <c r="WAZ177" s="199"/>
      <c r="WBA177" s="167"/>
      <c r="WBB177" s="199"/>
      <c r="WBC177" s="200"/>
      <c r="WBD177" s="201"/>
      <c r="WBE177" s="202"/>
      <c r="WBF177" s="202"/>
      <c r="WBG177" s="202"/>
      <c r="WBH177" s="202"/>
      <c r="WBI177" s="203"/>
      <c r="WBJ177" s="204"/>
      <c r="WBK177" s="204"/>
      <c r="WBL177" s="204"/>
      <c r="WBM177" s="205"/>
      <c r="WBN177" s="206"/>
      <c r="WBO177" s="207"/>
      <c r="WBP177" s="207"/>
      <c r="WBQ177" s="208"/>
      <c r="WBR177" s="209"/>
      <c r="WBS177" s="207"/>
      <c r="WBT177" s="210"/>
      <c r="WBU177" s="209"/>
      <c r="WBV177" s="204"/>
      <c r="WBW177" s="204"/>
      <c r="WBX177" s="204"/>
      <c r="WBY177" s="199"/>
      <c r="WBZ177" s="167"/>
      <c r="WCA177" s="199"/>
      <c r="WCB177" s="200"/>
      <c r="WCC177" s="201"/>
      <c r="WCD177" s="202"/>
      <c r="WCE177" s="202"/>
      <c r="WCF177" s="202"/>
      <c r="WCG177" s="202"/>
      <c r="WCH177" s="203"/>
      <c r="WCI177" s="204"/>
      <c r="WCJ177" s="204"/>
      <c r="WCK177" s="204"/>
      <c r="WCL177" s="205"/>
      <c r="WCM177" s="206"/>
      <c r="WCN177" s="207"/>
      <c r="WCO177" s="207"/>
      <c r="WCP177" s="208"/>
      <c r="WCQ177" s="209"/>
      <c r="WCR177" s="207"/>
      <c r="WCS177" s="210"/>
      <c r="WCT177" s="209"/>
      <c r="WCU177" s="204"/>
      <c r="WCV177" s="204"/>
      <c r="WCW177" s="204"/>
      <c r="WCX177" s="199"/>
      <c r="WCY177" s="167"/>
      <c r="WCZ177" s="199"/>
      <c r="WDA177" s="200"/>
      <c r="WDB177" s="201"/>
      <c r="WDC177" s="202"/>
      <c r="WDD177" s="202"/>
      <c r="WDE177" s="202"/>
      <c r="WDF177" s="202"/>
      <c r="WDG177" s="203"/>
      <c r="WDH177" s="204"/>
      <c r="WDI177" s="204"/>
      <c r="WDJ177" s="204"/>
      <c r="WDK177" s="205"/>
      <c r="WDL177" s="206"/>
      <c r="WDM177" s="207"/>
      <c r="WDN177" s="207"/>
      <c r="WDO177" s="208"/>
      <c r="WDP177" s="209"/>
      <c r="WDQ177" s="207"/>
      <c r="WDR177" s="210"/>
      <c r="WDS177" s="209"/>
      <c r="WDT177" s="204"/>
      <c r="WDU177" s="204"/>
      <c r="WDV177" s="204"/>
      <c r="WDW177" s="199"/>
      <c r="WDX177" s="167"/>
      <c r="WDY177" s="199"/>
      <c r="WDZ177" s="200"/>
      <c r="WEA177" s="201"/>
      <c r="WEB177" s="202"/>
      <c r="WEC177" s="202"/>
      <c r="WED177" s="202"/>
      <c r="WEE177" s="202"/>
      <c r="WEF177" s="203"/>
      <c r="WEG177" s="204"/>
      <c r="WEH177" s="204"/>
      <c r="WEI177" s="204"/>
      <c r="WEJ177" s="205"/>
      <c r="WEK177" s="206"/>
      <c r="WEL177" s="207"/>
      <c r="WEM177" s="207"/>
      <c r="WEN177" s="208"/>
      <c r="WEO177" s="209"/>
      <c r="WEP177" s="207"/>
      <c r="WEQ177" s="210"/>
      <c r="WER177" s="209"/>
      <c r="WES177" s="204"/>
      <c r="WET177" s="204"/>
      <c r="WEU177" s="204"/>
      <c r="WEV177" s="199"/>
      <c r="WEW177" s="167"/>
      <c r="WEX177" s="199"/>
      <c r="WEY177" s="200"/>
      <c r="WEZ177" s="201"/>
      <c r="WFA177" s="202"/>
      <c r="WFB177" s="202"/>
      <c r="WFC177" s="202"/>
      <c r="WFD177" s="202"/>
      <c r="WFE177" s="203"/>
      <c r="WFF177" s="204"/>
      <c r="WFG177" s="204"/>
      <c r="WFH177" s="204"/>
      <c r="WFI177" s="205"/>
      <c r="WFJ177" s="206"/>
      <c r="WFK177" s="207"/>
      <c r="WFL177" s="207"/>
      <c r="WFM177" s="208"/>
      <c r="WFN177" s="209"/>
      <c r="WFO177" s="207"/>
      <c r="WFP177" s="210"/>
      <c r="WFQ177" s="209"/>
      <c r="WFR177" s="204"/>
      <c r="WFS177" s="204"/>
      <c r="WFT177" s="204"/>
      <c r="WFU177" s="199"/>
      <c r="WFV177" s="167"/>
      <c r="WFW177" s="199"/>
      <c r="WFX177" s="200"/>
      <c r="WFY177" s="201"/>
      <c r="WFZ177" s="202"/>
      <c r="WGA177" s="202"/>
      <c r="WGB177" s="202"/>
      <c r="WGC177" s="202"/>
      <c r="WGD177" s="203"/>
      <c r="WGE177" s="204"/>
      <c r="WGF177" s="204"/>
      <c r="WGG177" s="204"/>
      <c r="WGH177" s="205"/>
      <c r="WGI177" s="206"/>
      <c r="WGJ177" s="207"/>
      <c r="WGK177" s="207"/>
      <c r="WGL177" s="208"/>
      <c r="WGM177" s="209"/>
      <c r="WGN177" s="207"/>
      <c r="WGO177" s="210"/>
      <c r="WGP177" s="209"/>
      <c r="WGQ177" s="204"/>
      <c r="WGR177" s="204"/>
      <c r="WGS177" s="204"/>
      <c r="WGT177" s="199"/>
      <c r="WGU177" s="167"/>
      <c r="WGV177" s="199"/>
      <c r="WGW177" s="200"/>
      <c r="WGX177" s="201"/>
      <c r="WGY177" s="202"/>
      <c r="WGZ177" s="202"/>
      <c r="WHA177" s="202"/>
      <c r="WHB177" s="202"/>
      <c r="WHC177" s="203"/>
      <c r="WHD177" s="204"/>
      <c r="WHE177" s="204"/>
      <c r="WHF177" s="204"/>
      <c r="WHG177" s="205"/>
      <c r="WHH177" s="206"/>
      <c r="WHI177" s="207"/>
      <c r="WHJ177" s="207"/>
      <c r="WHK177" s="208"/>
      <c r="WHL177" s="209"/>
      <c r="WHM177" s="207"/>
      <c r="WHN177" s="210"/>
      <c r="WHO177" s="209"/>
      <c r="WHP177" s="204"/>
      <c r="WHQ177" s="204"/>
      <c r="WHR177" s="204"/>
      <c r="WHS177" s="199"/>
      <c r="WHT177" s="167"/>
      <c r="WHU177" s="199"/>
      <c r="WHV177" s="200"/>
      <c r="WHW177" s="201"/>
      <c r="WHX177" s="202"/>
      <c r="WHY177" s="202"/>
      <c r="WHZ177" s="202"/>
      <c r="WIA177" s="202"/>
      <c r="WIB177" s="203"/>
      <c r="WIC177" s="204"/>
      <c r="WID177" s="204"/>
      <c r="WIE177" s="204"/>
      <c r="WIF177" s="205"/>
      <c r="WIG177" s="206"/>
      <c r="WIH177" s="207"/>
      <c r="WII177" s="207"/>
      <c r="WIJ177" s="208"/>
      <c r="WIK177" s="209"/>
      <c r="WIL177" s="207"/>
      <c r="WIM177" s="210"/>
      <c r="WIN177" s="209"/>
      <c r="WIO177" s="204"/>
      <c r="WIP177" s="204"/>
      <c r="WIQ177" s="204"/>
      <c r="WIR177" s="199"/>
      <c r="WIS177" s="167"/>
      <c r="WIT177" s="199"/>
      <c r="WIU177" s="200"/>
      <c r="WIV177" s="201"/>
      <c r="WIW177" s="202"/>
      <c r="WIX177" s="202"/>
      <c r="WIY177" s="202"/>
      <c r="WIZ177" s="202"/>
      <c r="WJA177" s="203"/>
      <c r="WJB177" s="204"/>
      <c r="WJC177" s="204"/>
      <c r="WJD177" s="204"/>
      <c r="WJE177" s="205"/>
      <c r="WJF177" s="206"/>
      <c r="WJG177" s="207"/>
      <c r="WJH177" s="207"/>
      <c r="WJI177" s="208"/>
      <c r="WJJ177" s="209"/>
      <c r="WJK177" s="207"/>
      <c r="WJL177" s="210"/>
      <c r="WJM177" s="209"/>
      <c r="WJN177" s="204"/>
      <c r="WJO177" s="204"/>
      <c r="WJP177" s="204"/>
      <c r="WJQ177" s="199"/>
      <c r="WJR177" s="167"/>
      <c r="WJS177" s="199"/>
      <c r="WJT177" s="200"/>
      <c r="WJU177" s="201"/>
      <c r="WJV177" s="202"/>
      <c r="WJW177" s="202"/>
      <c r="WJX177" s="202"/>
      <c r="WJY177" s="202"/>
      <c r="WJZ177" s="203"/>
      <c r="WKA177" s="204"/>
      <c r="WKB177" s="204"/>
      <c r="WKC177" s="204"/>
      <c r="WKD177" s="205"/>
      <c r="WKE177" s="206"/>
      <c r="WKF177" s="207"/>
      <c r="WKG177" s="207"/>
      <c r="WKH177" s="208"/>
      <c r="WKI177" s="209"/>
      <c r="WKJ177" s="207"/>
      <c r="WKK177" s="210"/>
      <c r="WKL177" s="209"/>
      <c r="WKM177" s="204"/>
      <c r="WKN177" s="204"/>
      <c r="WKO177" s="204"/>
      <c r="WKP177" s="199"/>
      <c r="WKQ177" s="167"/>
      <c r="WKR177" s="199"/>
      <c r="WKS177" s="200"/>
      <c r="WKT177" s="201"/>
      <c r="WKU177" s="202"/>
      <c r="WKV177" s="202"/>
      <c r="WKW177" s="202"/>
      <c r="WKX177" s="202"/>
      <c r="WKY177" s="203"/>
      <c r="WKZ177" s="204"/>
      <c r="WLA177" s="204"/>
      <c r="WLB177" s="204"/>
      <c r="WLC177" s="205"/>
      <c r="WLD177" s="206"/>
      <c r="WLE177" s="207"/>
      <c r="WLF177" s="207"/>
      <c r="WLG177" s="208"/>
      <c r="WLH177" s="209"/>
      <c r="WLI177" s="207"/>
      <c r="WLJ177" s="210"/>
      <c r="WLK177" s="209"/>
      <c r="WLL177" s="204"/>
      <c r="WLM177" s="204"/>
      <c r="WLN177" s="204"/>
      <c r="WLO177" s="199"/>
      <c r="WLP177" s="167"/>
      <c r="WLQ177" s="199"/>
      <c r="WLR177" s="200"/>
      <c r="WLS177" s="201"/>
      <c r="WLT177" s="202"/>
      <c r="WLU177" s="202"/>
      <c r="WLV177" s="202"/>
      <c r="WLW177" s="202"/>
      <c r="WLX177" s="203"/>
      <c r="WLY177" s="204"/>
      <c r="WLZ177" s="204"/>
      <c r="WMA177" s="204"/>
      <c r="WMB177" s="205"/>
      <c r="WMC177" s="206"/>
      <c r="WMD177" s="207"/>
      <c r="WME177" s="207"/>
      <c r="WMF177" s="208"/>
      <c r="WMG177" s="209"/>
      <c r="WMH177" s="207"/>
      <c r="WMI177" s="210"/>
      <c r="WMJ177" s="209"/>
      <c r="WMK177" s="204"/>
      <c r="WML177" s="204"/>
      <c r="WMM177" s="204"/>
      <c r="WMN177" s="199"/>
      <c r="WMO177" s="167"/>
      <c r="WMP177" s="199"/>
      <c r="WMQ177" s="200"/>
      <c r="WMR177" s="201"/>
      <c r="WMS177" s="202"/>
      <c r="WMT177" s="202"/>
      <c r="WMU177" s="202"/>
      <c r="WMV177" s="202"/>
      <c r="WMW177" s="203"/>
      <c r="WMX177" s="204"/>
      <c r="WMY177" s="204"/>
      <c r="WMZ177" s="204"/>
      <c r="WNA177" s="205"/>
      <c r="WNB177" s="206"/>
      <c r="WNC177" s="207"/>
      <c r="WND177" s="207"/>
      <c r="WNE177" s="208"/>
      <c r="WNF177" s="209"/>
      <c r="WNG177" s="207"/>
      <c r="WNH177" s="210"/>
      <c r="WNI177" s="209"/>
      <c r="WNJ177" s="204"/>
      <c r="WNK177" s="204"/>
      <c r="WNL177" s="204"/>
      <c r="WNM177" s="199"/>
      <c r="WNN177" s="167"/>
      <c r="WNO177" s="199"/>
      <c r="WNP177" s="200"/>
      <c r="WNQ177" s="201"/>
      <c r="WNR177" s="202"/>
      <c r="WNS177" s="202"/>
      <c r="WNT177" s="202"/>
      <c r="WNU177" s="202"/>
      <c r="WNV177" s="203"/>
      <c r="WNW177" s="204"/>
      <c r="WNX177" s="204"/>
      <c r="WNY177" s="204"/>
      <c r="WNZ177" s="205"/>
      <c r="WOA177" s="206"/>
      <c r="WOB177" s="207"/>
      <c r="WOC177" s="207"/>
      <c r="WOD177" s="208"/>
      <c r="WOE177" s="209"/>
      <c r="WOF177" s="207"/>
      <c r="WOG177" s="210"/>
      <c r="WOH177" s="209"/>
      <c r="WOI177" s="204"/>
      <c r="WOJ177" s="204"/>
      <c r="WOK177" s="204"/>
      <c r="WOL177" s="199"/>
      <c r="WOM177" s="167"/>
      <c r="WON177" s="199"/>
      <c r="WOO177" s="200"/>
      <c r="WOP177" s="201"/>
      <c r="WOQ177" s="202"/>
      <c r="WOR177" s="202"/>
      <c r="WOS177" s="202"/>
      <c r="WOT177" s="202"/>
      <c r="WOU177" s="203"/>
      <c r="WOV177" s="204"/>
      <c r="WOW177" s="204"/>
      <c r="WOX177" s="204"/>
      <c r="WOY177" s="205"/>
      <c r="WOZ177" s="206"/>
      <c r="WPA177" s="207"/>
      <c r="WPB177" s="207"/>
      <c r="WPC177" s="208"/>
      <c r="WPD177" s="209"/>
      <c r="WPE177" s="207"/>
      <c r="WPF177" s="210"/>
      <c r="WPG177" s="209"/>
      <c r="WPH177" s="204"/>
      <c r="WPI177" s="204"/>
      <c r="WPJ177" s="204"/>
      <c r="WPK177" s="199"/>
      <c r="WPL177" s="167"/>
      <c r="WPM177" s="199"/>
      <c r="WPN177" s="200"/>
      <c r="WPO177" s="201"/>
      <c r="WPP177" s="202"/>
      <c r="WPQ177" s="202"/>
      <c r="WPR177" s="202"/>
      <c r="WPS177" s="202"/>
      <c r="WPT177" s="203"/>
      <c r="WPU177" s="204"/>
      <c r="WPV177" s="204"/>
      <c r="WPW177" s="204"/>
      <c r="WPX177" s="205"/>
      <c r="WPY177" s="206"/>
      <c r="WPZ177" s="207"/>
      <c r="WQA177" s="207"/>
      <c r="WQB177" s="208"/>
      <c r="WQC177" s="209"/>
      <c r="WQD177" s="207"/>
      <c r="WQE177" s="210"/>
      <c r="WQF177" s="209"/>
      <c r="WQG177" s="204"/>
      <c r="WQH177" s="204"/>
      <c r="WQI177" s="204"/>
      <c r="WQJ177" s="199"/>
      <c r="WQK177" s="167"/>
      <c r="WQL177" s="199"/>
      <c r="WQM177" s="200"/>
      <c r="WQN177" s="201"/>
      <c r="WQO177" s="202"/>
      <c r="WQP177" s="202"/>
      <c r="WQQ177" s="202"/>
      <c r="WQR177" s="202"/>
      <c r="WQS177" s="203"/>
      <c r="WQT177" s="204"/>
      <c r="WQU177" s="204"/>
      <c r="WQV177" s="204"/>
      <c r="WQW177" s="205"/>
      <c r="WQX177" s="206"/>
      <c r="WQY177" s="207"/>
      <c r="WQZ177" s="207"/>
      <c r="WRA177" s="208"/>
      <c r="WRB177" s="209"/>
      <c r="WRC177" s="207"/>
      <c r="WRD177" s="210"/>
      <c r="WRE177" s="209"/>
      <c r="WRF177" s="204"/>
      <c r="WRG177" s="204"/>
      <c r="WRH177" s="204"/>
      <c r="WRI177" s="199"/>
      <c r="WRJ177" s="167"/>
      <c r="WRK177" s="199"/>
      <c r="WRL177" s="200"/>
      <c r="WRM177" s="201"/>
      <c r="WRN177" s="202"/>
      <c r="WRO177" s="202"/>
      <c r="WRP177" s="202"/>
      <c r="WRQ177" s="202"/>
      <c r="WRR177" s="203"/>
      <c r="WRS177" s="204"/>
      <c r="WRT177" s="204"/>
      <c r="WRU177" s="204"/>
      <c r="WRV177" s="205"/>
      <c r="WRW177" s="206"/>
      <c r="WRX177" s="207"/>
      <c r="WRY177" s="207"/>
      <c r="WRZ177" s="208"/>
      <c r="WSA177" s="209"/>
      <c r="WSB177" s="207"/>
      <c r="WSC177" s="210"/>
      <c r="WSD177" s="209"/>
      <c r="WSE177" s="204"/>
      <c r="WSF177" s="204"/>
      <c r="WSG177" s="204"/>
      <c r="WSH177" s="199"/>
      <c r="WSI177" s="167"/>
      <c r="WSJ177" s="199"/>
      <c r="WSK177" s="200"/>
      <c r="WSL177" s="201"/>
      <c r="WSM177" s="202"/>
      <c r="WSN177" s="202"/>
      <c r="WSO177" s="202"/>
      <c r="WSP177" s="202"/>
      <c r="WSQ177" s="203"/>
      <c r="WSR177" s="204"/>
      <c r="WSS177" s="204"/>
      <c r="WST177" s="204"/>
      <c r="WSU177" s="205"/>
      <c r="WSV177" s="206"/>
      <c r="WSW177" s="207"/>
      <c r="WSX177" s="207"/>
      <c r="WSY177" s="208"/>
      <c r="WSZ177" s="209"/>
      <c r="WTA177" s="207"/>
      <c r="WTB177" s="210"/>
      <c r="WTC177" s="209"/>
      <c r="WTD177" s="204"/>
      <c r="WTE177" s="204"/>
      <c r="WTF177" s="204"/>
      <c r="WTG177" s="199"/>
      <c r="WTH177" s="167"/>
      <c r="WTI177" s="199"/>
      <c r="WTJ177" s="200"/>
      <c r="WTK177" s="201"/>
      <c r="WTL177" s="202"/>
      <c r="WTM177" s="202"/>
      <c r="WTN177" s="202"/>
      <c r="WTO177" s="202"/>
      <c r="WTP177" s="203"/>
      <c r="WTQ177" s="204"/>
      <c r="WTR177" s="204"/>
      <c r="WTS177" s="204"/>
      <c r="WTT177" s="205"/>
      <c r="WTU177" s="206"/>
      <c r="WTV177" s="207"/>
      <c r="WTW177" s="207"/>
      <c r="WTX177" s="208"/>
      <c r="WTY177" s="209"/>
      <c r="WTZ177" s="207"/>
      <c r="WUA177" s="210"/>
      <c r="WUB177" s="209"/>
      <c r="WUC177" s="204"/>
      <c r="WUD177" s="204"/>
      <c r="WUE177" s="204"/>
      <c r="WUF177" s="199"/>
      <c r="WUG177" s="167"/>
      <c r="WUH177" s="199"/>
      <c r="WUI177" s="200"/>
      <c r="WUJ177" s="201"/>
      <c r="WUK177" s="202"/>
      <c r="WUL177" s="202"/>
      <c r="WUM177" s="202"/>
      <c r="WUN177" s="202"/>
      <c r="WUO177" s="203"/>
      <c r="WUP177" s="204"/>
      <c r="WUQ177" s="204"/>
      <c r="WUR177" s="204"/>
      <c r="WUS177" s="205"/>
      <c r="WUT177" s="206"/>
      <c r="WUU177" s="207"/>
      <c r="WUV177" s="207"/>
      <c r="WUW177" s="208"/>
      <c r="WUX177" s="209"/>
      <c r="WUY177" s="207"/>
      <c r="WUZ177" s="210"/>
      <c r="WVA177" s="209"/>
      <c r="WVB177" s="204"/>
      <c r="WVC177" s="204"/>
      <c r="WVD177" s="204"/>
      <c r="WVE177" s="199"/>
      <c r="WVF177" s="167"/>
      <c r="WVG177" s="199"/>
      <c r="WVH177" s="200"/>
      <c r="WVI177" s="201"/>
      <c r="WVJ177" s="202"/>
      <c r="WVK177" s="202"/>
      <c r="WVL177" s="202"/>
      <c r="WVM177" s="202"/>
      <c r="WVN177" s="203"/>
      <c r="WVO177" s="204"/>
      <c r="WVP177" s="204"/>
      <c r="WVQ177" s="204"/>
      <c r="WVR177" s="205"/>
      <c r="WVS177" s="206"/>
      <c r="WVT177" s="207"/>
      <c r="WVU177" s="207"/>
      <c r="WVV177" s="208"/>
      <c r="WVW177" s="209"/>
      <c r="WVX177" s="207"/>
      <c r="WVY177" s="210"/>
      <c r="WVZ177" s="209"/>
      <c r="WWA177" s="204"/>
      <c r="WWB177" s="204"/>
      <c r="WWC177" s="204"/>
      <c r="WWD177" s="199"/>
      <c r="WWE177" s="167"/>
      <c r="WWF177" s="199"/>
      <c r="WWG177" s="200"/>
      <c r="WWH177" s="201"/>
      <c r="WWI177" s="202"/>
      <c r="WWJ177" s="202"/>
      <c r="WWK177" s="202"/>
      <c r="WWL177" s="202"/>
      <c r="WWM177" s="203"/>
      <c r="WWN177" s="204"/>
      <c r="WWO177" s="204"/>
      <c r="WWP177" s="204"/>
      <c r="WWQ177" s="205"/>
      <c r="WWR177" s="206"/>
      <c r="WWS177" s="207"/>
      <c r="WWT177" s="207"/>
      <c r="WWU177" s="208"/>
      <c r="WWV177" s="209"/>
      <c r="WWW177" s="207"/>
      <c r="WWX177" s="210"/>
      <c r="WWY177" s="209"/>
      <c r="WWZ177" s="204"/>
      <c r="WXA177" s="204"/>
      <c r="WXB177" s="204"/>
      <c r="WXC177" s="199"/>
      <c r="WXD177" s="167"/>
      <c r="WXE177" s="199"/>
      <c r="WXF177" s="200"/>
      <c r="WXG177" s="201"/>
      <c r="WXH177" s="202"/>
      <c r="WXI177" s="202"/>
      <c r="WXJ177" s="202"/>
      <c r="WXK177" s="202"/>
      <c r="WXL177" s="203"/>
      <c r="WXM177" s="204"/>
      <c r="WXN177" s="204"/>
      <c r="WXO177" s="204"/>
      <c r="WXP177" s="205"/>
      <c r="WXQ177" s="206"/>
      <c r="WXR177" s="207"/>
      <c r="WXS177" s="207"/>
      <c r="WXT177" s="208"/>
      <c r="WXU177" s="209"/>
      <c r="WXV177" s="207"/>
      <c r="WXW177" s="210"/>
      <c r="WXX177" s="209"/>
      <c r="WXY177" s="204"/>
      <c r="WXZ177" s="204"/>
      <c r="WYA177" s="204"/>
      <c r="WYB177" s="199"/>
      <c r="WYC177" s="167"/>
      <c r="WYD177" s="199"/>
      <c r="WYE177" s="200"/>
      <c r="WYF177" s="201"/>
      <c r="WYG177" s="202"/>
      <c r="WYH177" s="202"/>
      <c r="WYI177" s="202"/>
      <c r="WYJ177" s="202"/>
      <c r="WYK177" s="203"/>
      <c r="WYL177" s="204"/>
      <c r="WYM177" s="204"/>
      <c r="WYN177" s="204"/>
      <c r="WYO177" s="205"/>
      <c r="WYP177" s="206"/>
      <c r="WYQ177" s="207"/>
      <c r="WYR177" s="207"/>
      <c r="WYS177" s="208"/>
      <c r="WYT177" s="209"/>
      <c r="WYU177" s="207"/>
      <c r="WYV177" s="210"/>
      <c r="WYW177" s="209"/>
      <c r="WYX177" s="204"/>
      <c r="WYY177" s="204"/>
      <c r="WYZ177" s="204"/>
      <c r="WZA177" s="199"/>
      <c r="WZB177" s="167"/>
      <c r="WZC177" s="199"/>
      <c r="WZD177" s="200"/>
      <c r="WZE177" s="201"/>
      <c r="WZF177" s="202"/>
      <c r="WZG177" s="202"/>
      <c r="WZH177" s="202"/>
      <c r="WZI177" s="202"/>
      <c r="WZJ177" s="203"/>
      <c r="WZK177" s="204"/>
      <c r="WZL177" s="204"/>
      <c r="WZM177" s="204"/>
      <c r="WZN177" s="205"/>
      <c r="WZO177" s="206"/>
      <c r="WZP177" s="207"/>
      <c r="WZQ177" s="207"/>
      <c r="WZR177" s="208"/>
      <c r="WZS177" s="209"/>
      <c r="WZT177" s="207"/>
      <c r="WZU177" s="210"/>
      <c r="WZV177" s="209"/>
      <c r="WZW177" s="204"/>
      <c r="WZX177" s="204"/>
      <c r="WZY177" s="204"/>
      <c r="WZZ177" s="199"/>
      <c r="XAA177" s="167"/>
      <c r="XAB177" s="199"/>
      <c r="XAC177" s="200"/>
      <c r="XAD177" s="201"/>
      <c r="XAE177" s="202"/>
      <c r="XAF177" s="202"/>
      <c r="XAG177" s="202"/>
      <c r="XAH177" s="202"/>
      <c r="XAI177" s="203"/>
      <c r="XAJ177" s="204"/>
      <c r="XAK177" s="204"/>
      <c r="XAL177" s="204"/>
      <c r="XAM177" s="205"/>
      <c r="XAN177" s="206"/>
      <c r="XAO177" s="207"/>
      <c r="XAP177" s="207"/>
      <c r="XAQ177" s="208"/>
      <c r="XAR177" s="209"/>
      <c r="XAS177" s="207"/>
      <c r="XAT177" s="210"/>
      <c r="XAU177" s="209"/>
      <c r="XAV177" s="204"/>
      <c r="XAW177" s="204"/>
      <c r="XAX177" s="204"/>
      <c r="XAY177" s="199"/>
      <c r="XAZ177" s="167"/>
      <c r="XBA177" s="199"/>
      <c r="XBB177" s="200"/>
      <c r="XBC177" s="201"/>
      <c r="XBD177" s="202"/>
      <c r="XBE177" s="202"/>
      <c r="XBF177" s="202"/>
      <c r="XBG177" s="202"/>
      <c r="XBH177" s="203"/>
      <c r="XBI177" s="204"/>
      <c r="XBJ177" s="204"/>
      <c r="XBK177" s="204"/>
      <c r="XBL177" s="205"/>
      <c r="XBM177" s="206"/>
      <c r="XBN177" s="207"/>
      <c r="XBO177" s="207"/>
      <c r="XBP177" s="208"/>
      <c r="XBQ177" s="209"/>
      <c r="XBR177" s="207"/>
      <c r="XBS177" s="210"/>
      <c r="XBT177" s="209"/>
      <c r="XBU177" s="204"/>
      <c r="XBV177" s="204"/>
      <c r="XBW177" s="204"/>
      <c r="XBX177" s="199"/>
      <c r="XBY177" s="167"/>
      <c r="XBZ177" s="199"/>
      <c r="XCA177" s="200"/>
      <c r="XCB177" s="201"/>
      <c r="XCC177" s="202"/>
      <c r="XCD177" s="202"/>
      <c r="XCE177" s="202"/>
      <c r="XCF177" s="202"/>
      <c r="XCG177" s="203"/>
      <c r="XCH177" s="204"/>
      <c r="XCI177" s="204"/>
      <c r="XCJ177" s="204"/>
      <c r="XCK177" s="205"/>
      <c r="XCL177" s="206"/>
      <c r="XCM177" s="207"/>
      <c r="XCN177" s="207"/>
      <c r="XCO177" s="208"/>
      <c r="XCP177" s="209"/>
      <c r="XCQ177" s="207"/>
      <c r="XCR177" s="210"/>
      <c r="XCS177" s="209"/>
      <c r="XCT177" s="204"/>
      <c r="XCU177" s="204"/>
      <c r="XCV177" s="204"/>
      <c r="XCW177" s="199"/>
      <c r="XCX177" s="167"/>
      <c r="XCY177" s="199"/>
      <c r="XCZ177" s="200"/>
      <c r="XDA177" s="201"/>
      <c r="XDB177" s="202"/>
      <c r="XDC177" s="202"/>
      <c r="XDD177" s="202"/>
      <c r="XDE177" s="202"/>
      <c r="XDF177" s="203"/>
      <c r="XDG177" s="204"/>
      <c r="XDH177" s="204"/>
      <c r="XDI177" s="204"/>
      <c r="XDJ177" s="205"/>
      <c r="XDK177" s="206"/>
      <c r="XDL177" s="207"/>
      <c r="XDM177" s="207"/>
      <c r="XDN177" s="208"/>
      <c r="XDO177" s="209"/>
      <c r="XDP177" s="207"/>
      <c r="XDQ177" s="210"/>
      <c r="XDR177" s="209"/>
      <c r="XDS177" s="204"/>
      <c r="XDT177" s="204"/>
      <c r="XDU177" s="204"/>
      <c r="XDV177" s="199"/>
      <c r="XDW177" s="167"/>
      <c r="XDX177" s="199"/>
      <c r="XDY177" s="200"/>
      <c r="XDZ177" s="201"/>
      <c r="XEA177" s="202"/>
      <c r="XEB177" s="202"/>
      <c r="XEC177" s="202"/>
      <c r="XED177" s="202"/>
      <c r="XEE177" s="203"/>
      <c r="XEF177" s="204"/>
      <c r="XEG177" s="204"/>
      <c r="XEH177" s="204"/>
      <c r="XEI177" s="205"/>
      <c r="XEJ177" s="206"/>
      <c r="XEK177" s="207"/>
      <c r="XEL177" s="207"/>
      <c r="XEM177" s="208"/>
      <c r="XEN177" s="209"/>
      <c r="XEO177" s="207"/>
      <c r="XEP177" s="210"/>
      <c r="XEQ177" s="209"/>
      <c r="XER177" s="204"/>
      <c r="XES177" s="204"/>
      <c r="XET177" s="204"/>
      <c r="XEU177" s="199"/>
      <c r="XEV177" s="167"/>
      <c r="XEW177" s="199"/>
      <c r="XEX177" s="200"/>
      <c r="XEY177" s="201"/>
      <c r="XEZ177" s="202"/>
      <c r="XFA177" s="202"/>
      <c r="XFB177" s="202"/>
      <c r="XFC177" s="202"/>
    </row>
    <row r="178" spans="1:16383" ht="150" x14ac:dyDescent="0.2">
      <c r="A178" s="38" t="s">
        <v>20</v>
      </c>
      <c r="B178" s="66">
        <f t="shared" si="137"/>
        <v>1</v>
      </c>
      <c r="C178" s="66">
        <v>154</v>
      </c>
      <c r="D178" s="70">
        <v>160</v>
      </c>
      <c r="E178" s="51" t="s">
        <v>380</v>
      </c>
      <c r="F178" s="7" t="s">
        <v>381</v>
      </c>
      <c r="G178" s="15">
        <v>2</v>
      </c>
      <c r="H178" s="28" t="s">
        <v>23</v>
      </c>
      <c r="I178" s="10">
        <v>4</v>
      </c>
      <c r="J178" s="11" t="s">
        <v>24</v>
      </c>
      <c r="K178" s="105">
        <v>5860001</v>
      </c>
      <c r="L178" s="106">
        <f>+K178*G178*I178</f>
        <v>46880008</v>
      </c>
      <c r="M178" s="122"/>
      <c r="N178" s="123"/>
      <c r="O178" s="122"/>
      <c r="P178" s="123"/>
      <c r="Q178" s="165">
        <f>+AVERAGE(K178,M178,O178)</f>
        <v>5860001</v>
      </c>
      <c r="R178" s="166">
        <f>+Q178*G178*I178</f>
        <v>46880008</v>
      </c>
      <c r="S178" s="222">
        <f>_xlfn.STDEV.P(K178,M178,O178)</f>
        <v>0</v>
      </c>
      <c r="T178" s="223">
        <f t="shared" ref="T178:T185" si="192">+S178/Q178</f>
        <v>0</v>
      </c>
      <c r="U178" s="224">
        <f>+MEDIAN(K178,M178,O178)</f>
        <v>5860001</v>
      </c>
      <c r="V178" s="225">
        <f>+U178*G178*I178</f>
        <v>46880008</v>
      </c>
      <c r="W178" s="149">
        <f t="shared" ref="W178:W185" si="193">+S178/U178</f>
        <v>0</v>
      </c>
      <c r="X178" s="316" t="s">
        <v>819</v>
      </c>
      <c r="Y178" s="137"/>
      <c r="Z178" s="138"/>
    </row>
    <row r="179" spans="1:16383" ht="90" x14ac:dyDescent="0.2">
      <c r="A179" s="38" t="s">
        <v>20</v>
      </c>
      <c r="B179" s="66">
        <f t="shared" si="137"/>
        <v>1</v>
      </c>
      <c r="C179" s="66">
        <v>155</v>
      </c>
      <c r="D179" s="70">
        <v>161</v>
      </c>
      <c r="E179" s="51" t="s">
        <v>78</v>
      </c>
      <c r="F179" s="398" t="s">
        <v>79</v>
      </c>
      <c r="G179" s="15">
        <v>2</v>
      </c>
      <c r="H179" s="28" t="s">
        <v>23</v>
      </c>
      <c r="I179" s="10">
        <v>4</v>
      </c>
      <c r="J179" s="11" t="s">
        <v>24</v>
      </c>
      <c r="K179" s="105">
        <v>1602000</v>
      </c>
      <c r="L179" s="106">
        <f>+K179*G179*I179</f>
        <v>12816000</v>
      </c>
      <c r="M179" s="122"/>
      <c r="N179" s="123"/>
      <c r="O179" s="122"/>
      <c r="P179" s="123"/>
      <c r="Q179" s="165">
        <f>+AVERAGE(K179,M179,O179)</f>
        <v>1602000</v>
      </c>
      <c r="R179" s="166">
        <f>+Q179*G179*I179</f>
        <v>12816000</v>
      </c>
      <c r="S179" s="222">
        <f>_xlfn.STDEV.P(K179,M179,O179)</f>
        <v>0</v>
      </c>
      <c r="T179" s="223">
        <f t="shared" si="192"/>
        <v>0</v>
      </c>
      <c r="U179" s="224">
        <f>+MEDIAN(K179,M179,O179)</f>
        <v>1602000</v>
      </c>
      <c r="V179" s="225">
        <f>+U179*G179*I179</f>
        <v>12816000</v>
      </c>
      <c r="W179" s="149">
        <f t="shared" si="193"/>
        <v>0</v>
      </c>
      <c r="X179" s="316" t="s">
        <v>819</v>
      </c>
      <c r="Y179" s="137"/>
      <c r="Z179" s="138"/>
    </row>
    <row r="180" spans="1:16383" ht="60" x14ac:dyDescent="0.2">
      <c r="A180" s="38" t="s">
        <v>54</v>
      </c>
      <c r="B180" s="66">
        <f t="shared" si="137"/>
        <v>3</v>
      </c>
      <c r="C180" s="66">
        <v>156</v>
      </c>
      <c r="D180" s="70">
        <v>162</v>
      </c>
      <c r="E180" s="51" t="s">
        <v>61</v>
      </c>
      <c r="F180" s="395" t="s">
        <v>722</v>
      </c>
      <c r="G180" s="15">
        <v>1</v>
      </c>
      <c r="H180" s="12" t="s">
        <v>271</v>
      </c>
      <c r="I180" s="10">
        <v>3</v>
      </c>
      <c r="J180" s="11" t="s">
        <v>24</v>
      </c>
      <c r="K180" s="105">
        <v>0</v>
      </c>
      <c r="L180" s="146">
        <f t="shared" ref="L180" si="194">+K180*G180*I180</f>
        <v>0</v>
      </c>
      <c r="M180" s="105">
        <v>1300000</v>
      </c>
      <c r="N180" s="148">
        <f>+M180*I180*G180</f>
        <v>3900000</v>
      </c>
      <c r="O180" s="105">
        <v>750000</v>
      </c>
      <c r="P180" s="148">
        <f>+O180*I180*G180</f>
        <v>2250000</v>
      </c>
      <c r="Q180" s="165">
        <f>+AVERAGE(M180,O180)</f>
        <v>1025000</v>
      </c>
      <c r="R180" s="166">
        <f t="shared" ref="R180" si="195">+Q180*G180*I180</f>
        <v>3075000</v>
      </c>
      <c r="S180" s="222">
        <f>_xlfn.STDEV.P(M180,O180)</f>
        <v>275000</v>
      </c>
      <c r="T180" s="223">
        <f t="shared" si="192"/>
        <v>0.26829268292682928</v>
      </c>
      <c r="U180" s="224">
        <f>+MEDIAN(M180,O180)</f>
        <v>1025000</v>
      </c>
      <c r="V180" s="225">
        <f>+U180*G180*I180</f>
        <v>3075000</v>
      </c>
      <c r="W180" s="149">
        <f t="shared" si="193"/>
        <v>0.26829268292682928</v>
      </c>
      <c r="X180" s="139"/>
      <c r="Y180" s="137" t="s">
        <v>759</v>
      </c>
      <c r="Z180" s="138" t="s">
        <v>752</v>
      </c>
    </row>
    <row r="181" spans="1:16383" ht="75" x14ac:dyDescent="0.2">
      <c r="A181" s="38" t="s">
        <v>54</v>
      </c>
      <c r="B181" s="66">
        <f t="shared" si="137"/>
        <v>3</v>
      </c>
      <c r="C181" s="66">
        <v>157</v>
      </c>
      <c r="D181" s="70">
        <v>163</v>
      </c>
      <c r="E181" s="51" t="s">
        <v>382</v>
      </c>
      <c r="F181" s="7" t="s">
        <v>383</v>
      </c>
      <c r="G181" s="15">
        <v>50</v>
      </c>
      <c r="H181" s="14" t="s">
        <v>57</v>
      </c>
      <c r="I181" s="10"/>
      <c r="J181" s="11"/>
      <c r="K181" s="105">
        <f>+(89900*100)/119</f>
        <v>75546.218487394959</v>
      </c>
      <c r="L181" s="121">
        <f>K181*G181</f>
        <v>3777310.9243697478</v>
      </c>
      <c r="M181" s="105">
        <f>+(89900*100)/119</f>
        <v>75546.218487394959</v>
      </c>
      <c r="N181" s="121">
        <f>G181*M181</f>
        <v>3777310.9243697478</v>
      </c>
      <c r="O181" s="105">
        <f>+(129000*100)/119</f>
        <v>108403.36134453781</v>
      </c>
      <c r="P181" s="121">
        <f>G181*O181</f>
        <v>5420168.0672268905</v>
      </c>
      <c r="Q181" s="165">
        <f t="shared" ref="Q181:Q185" si="196">+AVERAGE(K181,M181,O181)</f>
        <v>86498.599439775906</v>
      </c>
      <c r="R181" s="166">
        <f>+Q181*G181</f>
        <v>4324929.9719887953</v>
      </c>
      <c r="S181" s="222">
        <f t="shared" ref="S181:S185" si="197">_xlfn.STDEV.P(K181,M181,O181)</f>
        <v>15489.005683133882</v>
      </c>
      <c r="T181" s="223">
        <f t="shared" si="192"/>
        <v>0.17906654886265533</v>
      </c>
      <c r="U181" s="224">
        <f t="shared" ref="U181:U185" si="198">+MEDIAN(K181,M181,O181)</f>
        <v>75546.218487394959</v>
      </c>
      <c r="V181" s="225">
        <f>+U181*G181</f>
        <v>3777310.9243697478</v>
      </c>
      <c r="W181" s="149">
        <f t="shared" si="193"/>
        <v>0.2050268827912049</v>
      </c>
      <c r="X181" s="139" t="s">
        <v>755</v>
      </c>
      <c r="Y181" s="137" t="s">
        <v>103</v>
      </c>
      <c r="Z181" s="138" t="s">
        <v>756</v>
      </c>
    </row>
    <row r="182" spans="1:16383" ht="34" x14ac:dyDescent="0.2">
      <c r="A182" s="38" t="s">
        <v>54</v>
      </c>
      <c r="B182" s="66">
        <f t="shared" si="137"/>
        <v>3</v>
      </c>
      <c r="C182" s="66">
        <v>158</v>
      </c>
      <c r="D182" s="70">
        <v>164</v>
      </c>
      <c r="E182" s="51" t="s">
        <v>384</v>
      </c>
      <c r="F182" s="7" t="s">
        <v>385</v>
      </c>
      <c r="G182" s="15">
        <v>50</v>
      </c>
      <c r="H182" s="14" t="s">
        <v>57</v>
      </c>
      <c r="I182" s="10"/>
      <c r="J182" s="11"/>
      <c r="K182" s="105">
        <f>+(30198*100)/119</f>
        <v>25376.470588235294</v>
      </c>
      <c r="L182" s="121">
        <f>K182*G182</f>
        <v>1268823.5294117646</v>
      </c>
      <c r="M182" s="105">
        <f>+(20000*100)/119</f>
        <v>16806.722689075632</v>
      </c>
      <c r="N182" s="121">
        <f>G182*M182</f>
        <v>840336.13445378165</v>
      </c>
      <c r="O182" s="105">
        <f>+(31000*100)/119</f>
        <v>26050.420168067227</v>
      </c>
      <c r="P182" s="121">
        <f>G182*O182</f>
        <v>1302521.0084033613</v>
      </c>
      <c r="Q182" s="165">
        <f t="shared" si="196"/>
        <v>22744.537815126052</v>
      </c>
      <c r="R182" s="166">
        <f>+Q182*G182</f>
        <v>1137226.8907563025</v>
      </c>
      <c r="S182" s="222">
        <f t="shared" si="197"/>
        <v>4207.6746042126179</v>
      </c>
      <c r="T182" s="223">
        <f t="shared" si="192"/>
        <v>0.18499714693759753</v>
      </c>
      <c r="U182" s="224">
        <f t="shared" si="198"/>
        <v>25376.470588235294</v>
      </c>
      <c r="V182" s="225">
        <f>+U182*G182</f>
        <v>1268823.5294117646</v>
      </c>
      <c r="W182" s="149">
        <f t="shared" si="193"/>
        <v>0.16581007944277817</v>
      </c>
      <c r="X182" s="139" t="s">
        <v>755</v>
      </c>
      <c r="Y182" s="137" t="s">
        <v>103</v>
      </c>
      <c r="Z182" s="138" t="s">
        <v>757</v>
      </c>
    </row>
    <row r="183" spans="1:16383" ht="105" x14ac:dyDescent="0.2">
      <c r="A183" s="38" t="s">
        <v>54</v>
      </c>
      <c r="B183" s="66">
        <f t="shared" si="137"/>
        <v>3</v>
      </c>
      <c r="C183" s="66">
        <v>159</v>
      </c>
      <c r="D183" s="70">
        <v>165</v>
      </c>
      <c r="E183" s="51" t="s">
        <v>252</v>
      </c>
      <c r="F183" s="7" t="s">
        <v>344</v>
      </c>
      <c r="G183" s="15">
        <v>50</v>
      </c>
      <c r="H183" s="14" t="s">
        <v>57</v>
      </c>
      <c r="I183" s="10"/>
      <c r="J183" s="11"/>
      <c r="K183" s="105">
        <v>28000</v>
      </c>
      <c r="L183" s="121">
        <f>K183*G183</f>
        <v>1400000</v>
      </c>
      <c r="M183" s="105">
        <f>+(25000*5.35%)+25000</f>
        <v>26337.5</v>
      </c>
      <c r="N183" s="121">
        <f>G183*M183</f>
        <v>1316875</v>
      </c>
      <c r="O183" s="105">
        <v>10000</v>
      </c>
      <c r="P183" s="121">
        <f>G183*O183</f>
        <v>500000</v>
      </c>
      <c r="Q183" s="165">
        <f t="shared" si="196"/>
        <v>21445.833333333332</v>
      </c>
      <c r="R183" s="166">
        <f>+Q183*G183</f>
        <v>1072291.6666666665</v>
      </c>
      <c r="S183" s="222">
        <f t="shared" si="197"/>
        <v>8121.8348535838186</v>
      </c>
      <c r="T183" s="223">
        <f t="shared" si="192"/>
        <v>0.37871388476007706</v>
      </c>
      <c r="U183" s="224">
        <f t="shared" si="198"/>
        <v>26337.5</v>
      </c>
      <c r="V183" s="225">
        <f>+U183*G183</f>
        <v>1316875</v>
      </c>
      <c r="W183" s="149">
        <f t="shared" si="193"/>
        <v>0.3083753148014739</v>
      </c>
      <c r="X183" s="139" t="s">
        <v>729</v>
      </c>
      <c r="Y183" s="572" t="s">
        <v>732</v>
      </c>
      <c r="Z183" s="573" t="s">
        <v>733</v>
      </c>
    </row>
    <row r="184" spans="1:16383" ht="60" x14ac:dyDescent="0.2">
      <c r="A184" s="38" t="s">
        <v>54</v>
      </c>
      <c r="B184" s="66">
        <f t="shared" si="137"/>
        <v>3</v>
      </c>
      <c r="C184" s="66">
        <v>160</v>
      </c>
      <c r="D184" s="70">
        <v>166</v>
      </c>
      <c r="E184" s="51" t="s">
        <v>351</v>
      </c>
      <c r="F184" s="7" t="s">
        <v>352</v>
      </c>
      <c r="G184" s="15">
        <v>50</v>
      </c>
      <c r="H184" s="14" t="s">
        <v>57</v>
      </c>
      <c r="I184" s="10"/>
      <c r="J184" s="11"/>
      <c r="K184" s="105">
        <v>36000</v>
      </c>
      <c r="L184" s="121">
        <f>K184*G184</f>
        <v>1800000</v>
      </c>
      <c r="M184" s="105">
        <v>25000</v>
      </c>
      <c r="N184" s="121">
        <f>G184*M184</f>
        <v>1250000</v>
      </c>
      <c r="O184" s="105">
        <v>25000</v>
      </c>
      <c r="P184" s="121">
        <f>G184*O184</f>
        <v>1250000</v>
      </c>
      <c r="Q184" s="165">
        <f t="shared" si="196"/>
        <v>28666.666666666668</v>
      </c>
      <c r="R184" s="166">
        <f t="shared" ref="R184:R185" si="199">+Q184*G184</f>
        <v>1433333.3333333335</v>
      </c>
      <c r="S184" s="222">
        <f t="shared" si="197"/>
        <v>5185.4497287013482</v>
      </c>
      <c r="T184" s="223">
        <f t="shared" si="192"/>
        <v>0.18088778123376795</v>
      </c>
      <c r="U184" s="224">
        <f t="shared" si="198"/>
        <v>25000</v>
      </c>
      <c r="V184" s="225">
        <f t="shared" ref="V184:V185" si="200">+U184*G184</f>
        <v>1250000</v>
      </c>
      <c r="W184" s="149">
        <f t="shared" si="193"/>
        <v>0.20741798914805393</v>
      </c>
      <c r="X184" s="139" t="s">
        <v>353</v>
      </c>
      <c r="Y184" s="137" t="s">
        <v>759</v>
      </c>
      <c r="Z184" s="138" t="s">
        <v>752</v>
      </c>
    </row>
    <row r="185" spans="1:16383" ht="52" thickBot="1" x14ac:dyDescent="0.25">
      <c r="A185" s="91" t="s">
        <v>54</v>
      </c>
      <c r="B185" s="66">
        <f t="shared" si="137"/>
        <v>3</v>
      </c>
      <c r="C185" s="66">
        <v>161</v>
      </c>
      <c r="D185" s="92">
        <v>167</v>
      </c>
      <c r="E185" s="93" t="s">
        <v>386</v>
      </c>
      <c r="F185" s="87" t="s">
        <v>387</v>
      </c>
      <c r="G185" s="417">
        <v>50</v>
      </c>
      <c r="H185" s="94" t="s">
        <v>57</v>
      </c>
      <c r="I185" s="89"/>
      <c r="J185" s="90"/>
      <c r="K185" s="107">
        <v>2500</v>
      </c>
      <c r="L185" s="150">
        <f>K185*G185</f>
        <v>125000</v>
      </c>
      <c r="M185" s="107">
        <v>3000</v>
      </c>
      <c r="N185" s="150">
        <f>G185*M185</f>
        <v>150000</v>
      </c>
      <c r="O185" s="107">
        <f>+(2500*100)/119</f>
        <v>2100.840336134454</v>
      </c>
      <c r="P185" s="150">
        <f>G185*O185</f>
        <v>105042.01680672271</v>
      </c>
      <c r="Q185" s="318">
        <f t="shared" si="196"/>
        <v>2533.613445378151</v>
      </c>
      <c r="R185" s="310">
        <f t="shared" si="199"/>
        <v>126680.67226890755</v>
      </c>
      <c r="S185" s="311">
        <f t="shared" si="197"/>
        <v>367.84908414850781</v>
      </c>
      <c r="T185" s="312">
        <f t="shared" si="192"/>
        <v>0.1451875323836565</v>
      </c>
      <c r="U185" s="313">
        <f t="shared" si="198"/>
        <v>2500</v>
      </c>
      <c r="V185" s="314">
        <f t="shared" si="200"/>
        <v>125000</v>
      </c>
      <c r="W185" s="315">
        <f t="shared" si="193"/>
        <v>0.14713963365940314</v>
      </c>
      <c r="X185" s="141" t="s">
        <v>813</v>
      </c>
      <c r="Y185" s="153" t="s">
        <v>759</v>
      </c>
      <c r="Z185" s="154" t="s">
        <v>813</v>
      </c>
    </row>
    <row r="186" spans="1:16383" s="211" customFormat="1" ht="58" thickBot="1" x14ac:dyDescent="0.25">
      <c r="A186" s="503">
        <v>1</v>
      </c>
      <c r="B186" s="213"/>
      <c r="C186" s="213"/>
      <c r="D186" s="213"/>
      <c r="E186" s="213"/>
      <c r="F186" s="401" t="s">
        <v>862</v>
      </c>
      <c r="G186" s="213"/>
      <c r="H186" s="213"/>
      <c r="I186" s="213"/>
      <c r="J186" s="213"/>
      <c r="K186" s="111"/>
      <c r="L186" s="214"/>
      <c r="M186" s="214"/>
      <c r="N186" s="214"/>
      <c r="O186" s="214"/>
      <c r="P186" s="214"/>
      <c r="Q186" s="216"/>
      <c r="R186" s="216"/>
      <c r="S186" s="217"/>
      <c r="T186" s="218"/>
      <c r="U186" s="216"/>
      <c r="V186" s="219"/>
      <c r="W186" s="218"/>
      <c r="X186" s="595"/>
      <c r="Y186" s="595"/>
      <c r="Z186" s="596"/>
    </row>
    <row r="187" spans="1:16383" s="211" customFormat="1" ht="58" thickBot="1" x14ac:dyDescent="0.25">
      <c r="A187" s="503">
        <v>1</v>
      </c>
      <c r="B187" s="213"/>
      <c r="C187" s="213"/>
      <c r="D187" s="213"/>
      <c r="E187" s="213"/>
      <c r="F187" s="401" t="s">
        <v>388</v>
      </c>
      <c r="G187" s="213"/>
      <c r="H187" s="213"/>
      <c r="I187" s="213"/>
      <c r="J187" s="213"/>
      <c r="K187" s="111"/>
      <c r="L187" s="214"/>
      <c r="M187" s="214"/>
      <c r="N187" s="214"/>
      <c r="O187" s="214"/>
      <c r="P187" s="214"/>
      <c r="Q187" s="216"/>
      <c r="R187" s="216"/>
      <c r="S187" s="217"/>
      <c r="T187" s="218"/>
      <c r="U187" s="216"/>
      <c r="V187" s="219"/>
      <c r="W187" s="218"/>
      <c r="X187" s="595"/>
      <c r="Y187" s="595"/>
      <c r="Z187" s="596"/>
    </row>
    <row r="188" spans="1:16383" ht="195" x14ac:dyDescent="0.2">
      <c r="A188" s="226" t="s">
        <v>20</v>
      </c>
      <c r="B188" s="192">
        <f t="shared" si="137"/>
        <v>1</v>
      </c>
      <c r="C188" s="192">
        <v>162</v>
      </c>
      <c r="D188" s="227">
        <v>171</v>
      </c>
      <c r="E188" s="215" t="s">
        <v>389</v>
      </c>
      <c r="F188" s="95" t="s">
        <v>390</v>
      </c>
      <c r="G188" s="418">
        <v>2</v>
      </c>
      <c r="H188" s="83" t="s">
        <v>23</v>
      </c>
      <c r="I188" s="97">
        <v>1</v>
      </c>
      <c r="J188" s="98" t="s">
        <v>116</v>
      </c>
      <c r="K188" s="108">
        <f>5114001/30</f>
        <v>170466.7</v>
      </c>
      <c r="L188" s="151">
        <f>+K188*G188*I188</f>
        <v>340933.4</v>
      </c>
      <c r="M188" s="126"/>
      <c r="N188" s="127"/>
      <c r="O188" s="126"/>
      <c r="P188" s="127"/>
      <c r="Q188" s="319">
        <f>+AVERAGE(K188,M188,O188)</f>
        <v>170466.7</v>
      </c>
      <c r="R188" s="320">
        <f>+Q188*G188*I188</f>
        <v>340933.4</v>
      </c>
      <c r="S188" s="222">
        <f>_xlfn.STDEV.P(K188,M188,O188)</f>
        <v>0</v>
      </c>
      <c r="T188" s="321">
        <f t="shared" ref="T188:T202" si="201">+S188/Q188</f>
        <v>0</v>
      </c>
      <c r="U188" s="322">
        <f>+MEDIAN(K188,M188,O188)</f>
        <v>170466.7</v>
      </c>
      <c r="V188" s="323">
        <f>+U188*G188*I188</f>
        <v>340933.4</v>
      </c>
      <c r="W188" s="324">
        <f t="shared" ref="W188:W202" si="202">+S188/U188</f>
        <v>0</v>
      </c>
      <c r="X188" s="326" t="s">
        <v>819</v>
      </c>
      <c r="Y188" s="231"/>
      <c r="Z188" s="327"/>
    </row>
    <row r="189" spans="1:16383" ht="90" x14ac:dyDescent="0.2">
      <c r="A189" s="39" t="s">
        <v>20</v>
      </c>
      <c r="B189" s="66">
        <f t="shared" si="137"/>
        <v>1</v>
      </c>
      <c r="C189" s="66">
        <v>163</v>
      </c>
      <c r="D189" s="71">
        <v>172</v>
      </c>
      <c r="E189" s="52" t="s">
        <v>78</v>
      </c>
      <c r="F189" s="398" t="s">
        <v>79</v>
      </c>
      <c r="G189" s="15">
        <v>2</v>
      </c>
      <c r="H189" s="28" t="s">
        <v>23</v>
      </c>
      <c r="I189" s="10">
        <v>1</v>
      </c>
      <c r="J189" s="11" t="s">
        <v>116</v>
      </c>
      <c r="K189" s="105">
        <f>1602000/30</f>
        <v>53400</v>
      </c>
      <c r="L189" s="106">
        <f>+K189*G189*I189</f>
        <v>106800</v>
      </c>
      <c r="M189" s="122"/>
      <c r="N189" s="123"/>
      <c r="O189" s="122"/>
      <c r="P189" s="123"/>
      <c r="Q189" s="165">
        <f>+AVERAGE(K189,M189,O189)</f>
        <v>53400</v>
      </c>
      <c r="R189" s="166">
        <f>+Q189*G189*I189</f>
        <v>106800</v>
      </c>
      <c r="S189" s="222">
        <f>_xlfn.STDEV.P(K189,M189,O189)</f>
        <v>0</v>
      </c>
      <c r="T189" s="223">
        <f t="shared" si="201"/>
        <v>0</v>
      </c>
      <c r="U189" s="224">
        <f>+MEDIAN(K189,M189,O189)</f>
        <v>53400</v>
      </c>
      <c r="V189" s="225">
        <f>+U189*G189*I189</f>
        <v>106800</v>
      </c>
      <c r="W189" s="149">
        <f t="shared" si="202"/>
        <v>0</v>
      </c>
      <c r="X189" s="316" t="s">
        <v>819</v>
      </c>
      <c r="Y189" s="137"/>
      <c r="Z189" s="138"/>
    </row>
    <row r="190" spans="1:16383" ht="135" x14ac:dyDescent="0.2">
      <c r="A190" s="39" t="s">
        <v>54</v>
      </c>
      <c r="B190" s="66">
        <f t="shared" si="137"/>
        <v>2</v>
      </c>
      <c r="C190" s="192">
        <v>164</v>
      </c>
      <c r="D190" s="71">
        <v>173</v>
      </c>
      <c r="E190" s="52" t="s">
        <v>391</v>
      </c>
      <c r="F190" s="7" t="s">
        <v>896</v>
      </c>
      <c r="G190" s="15">
        <v>1</v>
      </c>
      <c r="H190" s="12" t="s">
        <v>392</v>
      </c>
      <c r="I190" s="10">
        <v>1</v>
      </c>
      <c r="J190" s="11" t="s">
        <v>116</v>
      </c>
      <c r="K190" s="105"/>
      <c r="L190" s="146"/>
      <c r="M190" s="105">
        <v>2500000</v>
      </c>
      <c r="N190" s="148">
        <f>+M190*I190*G190</f>
        <v>2500000</v>
      </c>
      <c r="O190" s="105">
        <v>2000000</v>
      </c>
      <c r="P190" s="148">
        <f>+O190*I190*G190</f>
        <v>2000000</v>
      </c>
      <c r="Q190" s="165">
        <f>+AVERAGE(M190,O190)</f>
        <v>2250000</v>
      </c>
      <c r="R190" s="166">
        <f t="shared" ref="R190" si="203">+Q190*G190*I190</f>
        <v>2250000</v>
      </c>
      <c r="S190" s="222">
        <f>_xlfn.STDEV.P(M190,O190)</f>
        <v>250000</v>
      </c>
      <c r="T190" s="223">
        <f t="shared" si="201"/>
        <v>0.1111111111111111</v>
      </c>
      <c r="U190" s="224">
        <f>+MEDIAN(M190,O190)</f>
        <v>2250000</v>
      </c>
      <c r="V190" s="225">
        <f>+U190*G190*I190</f>
        <v>2250000</v>
      </c>
      <c r="W190" s="149">
        <f>+S190/U190</f>
        <v>0.1111111111111111</v>
      </c>
      <c r="X190" s="139"/>
      <c r="Y190" s="137" t="s">
        <v>759</v>
      </c>
      <c r="Z190" s="138" t="s">
        <v>752</v>
      </c>
    </row>
    <row r="191" spans="1:16383" ht="90" x14ac:dyDescent="0.2">
      <c r="A191" s="39" t="s">
        <v>54</v>
      </c>
      <c r="B191" s="66">
        <f t="shared" si="137"/>
        <v>3</v>
      </c>
      <c r="C191" s="66">
        <v>165</v>
      </c>
      <c r="D191" s="71">
        <v>174</v>
      </c>
      <c r="E191" s="52" t="s">
        <v>393</v>
      </c>
      <c r="F191" s="7" t="s">
        <v>394</v>
      </c>
      <c r="G191" s="15">
        <v>100</v>
      </c>
      <c r="H191" s="12" t="s">
        <v>392</v>
      </c>
      <c r="I191" s="10"/>
      <c r="J191" s="11"/>
      <c r="K191" s="105">
        <f>+(7021*100)/119</f>
        <v>5900</v>
      </c>
      <c r="L191" s="121">
        <f t="shared" ref="L191:L202" si="204">K191*G191</f>
        <v>590000</v>
      </c>
      <c r="M191" s="105">
        <v>7500</v>
      </c>
      <c r="N191" s="121">
        <f t="shared" ref="N191:N202" si="205">G191*M191</f>
        <v>750000</v>
      </c>
      <c r="O191" s="105">
        <f>+(5377*100)/119</f>
        <v>4518.4873949579833</v>
      </c>
      <c r="P191" s="121">
        <f t="shared" ref="P191:P202" si="206">G191*O191</f>
        <v>451848.73949579831</v>
      </c>
      <c r="Q191" s="165">
        <f t="shared" ref="Q191:Q202" si="207">+AVERAGE(K191,M191,O191)</f>
        <v>5972.829131652662</v>
      </c>
      <c r="R191" s="166">
        <f>+Q191*G191</f>
        <v>597282.91316526616</v>
      </c>
      <c r="S191" s="222">
        <f t="shared" ref="S191:S202" si="208">_xlfn.STDEV.P(K191,M191,O191)</f>
        <v>1218.2863416343071</v>
      </c>
      <c r="T191" s="223">
        <f t="shared" si="201"/>
        <v>0.20397140363150004</v>
      </c>
      <c r="U191" s="224">
        <f t="shared" ref="U191:U202" si="209">+MEDIAN(K191,M191,O191)</f>
        <v>5900</v>
      </c>
      <c r="V191" s="225">
        <f>+U191*G191</f>
        <v>590000</v>
      </c>
      <c r="W191" s="149">
        <f t="shared" si="202"/>
        <v>0.20648921044649271</v>
      </c>
      <c r="X191" s="139" t="s">
        <v>729</v>
      </c>
      <c r="Y191" s="138" t="s">
        <v>759</v>
      </c>
      <c r="Z191" s="138" t="s">
        <v>824</v>
      </c>
    </row>
    <row r="192" spans="1:16383" ht="34" x14ac:dyDescent="0.2">
      <c r="A192" s="39" t="s">
        <v>54</v>
      </c>
      <c r="B192" s="66">
        <f t="shared" si="137"/>
        <v>3</v>
      </c>
      <c r="C192" s="192">
        <v>166</v>
      </c>
      <c r="D192" s="71">
        <v>175</v>
      </c>
      <c r="E192" s="53" t="s">
        <v>395</v>
      </c>
      <c r="F192" s="7" t="s">
        <v>396</v>
      </c>
      <c r="G192" s="15">
        <v>200</v>
      </c>
      <c r="H192" s="12" t="s">
        <v>392</v>
      </c>
      <c r="I192" s="10"/>
      <c r="J192" s="11"/>
      <c r="K192" s="105">
        <f>+(600*100)/119</f>
        <v>504.20168067226894</v>
      </c>
      <c r="L192" s="121">
        <f t="shared" si="204"/>
        <v>100840.33613445378</v>
      </c>
      <c r="M192" s="105">
        <f>+(420*100)/119</f>
        <v>352.94117647058823</v>
      </c>
      <c r="N192" s="121">
        <f t="shared" si="205"/>
        <v>70588.23529411765</v>
      </c>
      <c r="O192" s="105">
        <f>+(750*100)/119</f>
        <v>630.25210084033608</v>
      </c>
      <c r="P192" s="121">
        <f t="shared" si="206"/>
        <v>126050.42016806721</v>
      </c>
      <c r="Q192" s="165">
        <f t="shared" si="207"/>
        <v>495.79831932773112</v>
      </c>
      <c r="R192" s="166">
        <f t="shared" ref="R192:R193" si="210">+Q192*G192</f>
        <v>99159.66386554623</v>
      </c>
      <c r="S192" s="222">
        <f t="shared" si="208"/>
        <v>113.36754254816823</v>
      </c>
      <c r="T192" s="223">
        <f t="shared" si="201"/>
        <v>0.22865656886833929</v>
      </c>
      <c r="U192" s="224">
        <f t="shared" si="209"/>
        <v>504.20168067226894</v>
      </c>
      <c r="V192" s="225">
        <f t="shared" ref="V192:V193" si="211">+U192*G192</f>
        <v>100840.33613445378</v>
      </c>
      <c r="W192" s="149">
        <f t="shared" ref="W192:W193" si="212">+S192/U192</f>
        <v>0.22484562605386699</v>
      </c>
      <c r="X192" s="139" t="s">
        <v>882</v>
      </c>
      <c r="Y192" s="137" t="s">
        <v>883</v>
      </c>
      <c r="Z192" s="138" t="s">
        <v>884</v>
      </c>
    </row>
    <row r="193" spans="1:26" ht="17" x14ac:dyDescent="0.2">
      <c r="A193" s="39" t="s">
        <v>54</v>
      </c>
      <c r="B193" s="66">
        <f t="shared" si="137"/>
        <v>3</v>
      </c>
      <c r="C193" s="66">
        <v>167</v>
      </c>
      <c r="D193" s="71">
        <v>176</v>
      </c>
      <c r="E193" s="53" t="s">
        <v>395</v>
      </c>
      <c r="F193" s="7" t="s">
        <v>398</v>
      </c>
      <c r="G193" s="15">
        <v>30</v>
      </c>
      <c r="H193" s="12" t="s">
        <v>392</v>
      </c>
      <c r="I193" s="10"/>
      <c r="J193" s="11"/>
      <c r="K193" s="105">
        <f>+(9350*100)/119</f>
        <v>7857.1428571428569</v>
      </c>
      <c r="L193" s="121">
        <f t="shared" si="204"/>
        <v>235714.28571428571</v>
      </c>
      <c r="M193" s="105">
        <f>+(6500*100)/119</f>
        <v>5462.1848739495799</v>
      </c>
      <c r="N193" s="121">
        <f t="shared" si="205"/>
        <v>163865.5462184874</v>
      </c>
      <c r="O193" s="105">
        <f>+(5236*100)/119</f>
        <v>4400</v>
      </c>
      <c r="P193" s="121">
        <f t="shared" si="206"/>
        <v>132000</v>
      </c>
      <c r="Q193" s="165">
        <f t="shared" si="207"/>
        <v>5906.4425770308126</v>
      </c>
      <c r="R193" s="166">
        <f t="shared" si="210"/>
        <v>177193.27731092437</v>
      </c>
      <c r="S193" s="222">
        <f t="shared" si="208"/>
        <v>1445.9098320743053</v>
      </c>
      <c r="T193" s="223">
        <f t="shared" si="201"/>
        <v>0.24480214836883571</v>
      </c>
      <c r="U193" s="224">
        <f t="shared" si="209"/>
        <v>5462.1848739495799</v>
      </c>
      <c r="V193" s="225">
        <f t="shared" si="211"/>
        <v>163865.5462184874</v>
      </c>
      <c r="W193" s="149">
        <f t="shared" si="212"/>
        <v>0.26471272310283434</v>
      </c>
      <c r="X193" s="139" t="s">
        <v>885</v>
      </c>
      <c r="Y193" s="137" t="s">
        <v>886</v>
      </c>
      <c r="Z193" s="138" t="s">
        <v>781</v>
      </c>
    </row>
    <row r="194" spans="1:26" ht="30" x14ac:dyDescent="0.2">
      <c r="A194" s="39" t="s">
        <v>54</v>
      </c>
      <c r="B194" s="66">
        <f t="shared" si="137"/>
        <v>3</v>
      </c>
      <c r="C194" s="192">
        <v>168</v>
      </c>
      <c r="D194" s="71">
        <v>177</v>
      </c>
      <c r="E194" s="53" t="s">
        <v>395</v>
      </c>
      <c r="F194" s="7" t="s">
        <v>748</v>
      </c>
      <c r="G194" s="15">
        <v>70</v>
      </c>
      <c r="H194" s="12" t="s">
        <v>392</v>
      </c>
      <c r="I194" s="10"/>
      <c r="J194" s="11"/>
      <c r="K194" s="105">
        <f>+(12500*100)/119</f>
        <v>10504.20168067227</v>
      </c>
      <c r="L194" s="121">
        <f t="shared" si="204"/>
        <v>735294.11764705891</v>
      </c>
      <c r="M194" s="105">
        <f>+(11200*100)/119</f>
        <v>9411.7647058823532</v>
      </c>
      <c r="N194" s="121">
        <f t="shared" si="205"/>
        <v>658823.5294117647</v>
      </c>
      <c r="O194" s="105">
        <f>+(12000*100)/119</f>
        <v>10084.033613445377</v>
      </c>
      <c r="P194" s="121">
        <f t="shared" si="206"/>
        <v>705882.35294117639</v>
      </c>
      <c r="Q194" s="165">
        <f t="shared" si="207"/>
        <v>10000</v>
      </c>
      <c r="R194" s="166">
        <f t="shared" ref="R194:R198" si="213">+Q194*G194</f>
        <v>700000</v>
      </c>
      <c r="S194" s="222">
        <f t="shared" si="208"/>
        <v>449.92656594423005</v>
      </c>
      <c r="T194" s="223">
        <f t="shared" si="201"/>
        <v>4.4992656594423003E-2</v>
      </c>
      <c r="U194" s="224">
        <f t="shared" si="209"/>
        <v>10084.033613445377</v>
      </c>
      <c r="V194" s="225">
        <f t="shared" ref="V194:V198" si="214">+U194*G194</f>
        <v>705882.35294117639</v>
      </c>
      <c r="W194" s="149">
        <f t="shared" si="202"/>
        <v>4.4617717789469484E-2</v>
      </c>
      <c r="X194" s="607" t="s">
        <v>222</v>
      </c>
      <c r="Y194" s="571" t="s">
        <v>399</v>
      </c>
      <c r="Z194" s="571" t="s">
        <v>400</v>
      </c>
    </row>
    <row r="195" spans="1:26" ht="17" x14ac:dyDescent="0.2">
      <c r="A195" s="39" t="s">
        <v>54</v>
      </c>
      <c r="B195" s="66">
        <f t="shared" si="137"/>
        <v>3</v>
      </c>
      <c r="C195" s="66">
        <v>169</v>
      </c>
      <c r="D195" s="71">
        <v>178</v>
      </c>
      <c r="E195" s="53" t="s">
        <v>395</v>
      </c>
      <c r="F195" s="7" t="s">
        <v>401</v>
      </c>
      <c r="G195" s="15">
        <v>30</v>
      </c>
      <c r="H195" s="12" t="s">
        <v>392</v>
      </c>
      <c r="I195" s="10"/>
      <c r="J195" s="11"/>
      <c r="K195" s="105">
        <f>+(1500*100)/119</f>
        <v>1260.5042016806722</v>
      </c>
      <c r="L195" s="121">
        <f t="shared" si="204"/>
        <v>37815.126050420164</v>
      </c>
      <c r="M195" s="105">
        <f>+(1000*100)/119</f>
        <v>840.33613445378148</v>
      </c>
      <c r="N195" s="121">
        <f t="shared" si="205"/>
        <v>25210.084033613446</v>
      </c>
      <c r="O195" s="105">
        <f>+(900*100)/119</f>
        <v>756.30252100840335</v>
      </c>
      <c r="P195" s="121">
        <f t="shared" si="206"/>
        <v>22689.0756302521</v>
      </c>
      <c r="Q195" s="165">
        <f t="shared" si="207"/>
        <v>952.38095238095229</v>
      </c>
      <c r="R195" s="166">
        <f t="shared" si="213"/>
        <v>28571.428571428569</v>
      </c>
      <c r="S195" s="222">
        <f t="shared" si="208"/>
        <v>220.56044465019133</v>
      </c>
      <c r="T195" s="223">
        <f t="shared" si="201"/>
        <v>0.23158846688270091</v>
      </c>
      <c r="U195" s="224">
        <f t="shared" si="209"/>
        <v>840.33613445378148</v>
      </c>
      <c r="V195" s="225">
        <f t="shared" si="214"/>
        <v>25210.084033613446</v>
      </c>
      <c r="W195" s="149">
        <f t="shared" si="202"/>
        <v>0.26246692913372771</v>
      </c>
      <c r="X195" s="139" t="s">
        <v>744</v>
      </c>
      <c r="Y195" s="137" t="s">
        <v>745</v>
      </c>
      <c r="Z195" s="138" t="s">
        <v>746</v>
      </c>
    </row>
    <row r="196" spans="1:26" ht="17" x14ac:dyDescent="0.2">
      <c r="A196" s="39" t="s">
        <v>54</v>
      </c>
      <c r="B196" s="66">
        <f t="shared" si="137"/>
        <v>3</v>
      </c>
      <c r="C196" s="192">
        <v>170</v>
      </c>
      <c r="D196" s="71">
        <v>179</v>
      </c>
      <c r="E196" s="53" t="s">
        <v>395</v>
      </c>
      <c r="F196" s="7" t="s">
        <v>826</v>
      </c>
      <c r="G196" s="15">
        <v>4</v>
      </c>
      <c r="H196" s="12" t="s">
        <v>827</v>
      </c>
      <c r="I196" s="10"/>
      <c r="J196" s="11"/>
      <c r="K196" s="105">
        <f>+(7900*100)/119</f>
        <v>6638.6554621848736</v>
      </c>
      <c r="L196" s="121">
        <f t="shared" si="204"/>
        <v>26554.621848739494</v>
      </c>
      <c r="M196" s="105">
        <f>+(8900*100)/119</f>
        <v>7478.9915966386552</v>
      </c>
      <c r="N196" s="121">
        <f t="shared" si="205"/>
        <v>29915.966386554621</v>
      </c>
      <c r="O196" s="105">
        <f>+(8900*100)/119</f>
        <v>7478.9915966386552</v>
      </c>
      <c r="P196" s="121">
        <f t="shared" si="206"/>
        <v>29915.966386554621</v>
      </c>
      <c r="Q196" s="165">
        <f t="shared" si="207"/>
        <v>7198.8795518207271</v>
      </c>
      <c r="R196" s="166">
        <f t="shared" si="213"/>
        <v>28795.518207282908</v>
      </c>
      <c r="S196" s="222">
        <f t="shared" si="208"/>
        <v>396.13825276557287</v>
      </c>
      <c r="T196" s="223">
        <f t="shared" si="201"/>
        <v>5.5027765072883088E-2</v>
      </c>
      <c r="U196" s="224">
        <f t="shared" si="209"/>
        <v>7478.9915966386552</v>
      </c>
      <c r="V196" s="225">
        <f t="shared" si="214"/>
        <v>29915.966386554621</v>
      </c>
      <c r="W196" s="328">
        <f t="shared" si="202"/>
        <v>5.2966800088879967E-2</v>
      </c>
      <c r="X196" s="608" t="s">
        <v>575</v>
      </c>
      <c r="Y196" s="582" t="s">
        <v>222</v>
      </c>
      <c r="Z196" s="609" t="s">
        <v>747</v>
      </c>
    </row>
    <row r="197" spans="1:26" ht="17" x14ac:dyDescent="0.2">
      <c r="A197" s="39" t="s">
        <v>54</v>
      </c>
      <c r="B197" s="66">
        <f t="shared" si="137"/>
        <v>3</v>
      </c>
      <c r="C197" s="66">
        <v>171</v>
      </c>
      <c r="D197" s="71">
        <v>180</v>
      </c>
      <c r="E197" s="53" t="s">
        <v>395</v>
      </c>
      <c r="F197" s="7" t="s">
        <v>402</v>
      </c>
      <c r="G197" s="15">
        <v>6</v>
      </c>
      <c r="H197" s="12" t="s">
        <v>392</v>
      </c>
      <c r="I197" s="10"/>
      <c r="J197" s="11"/>
      <c r="K197" s="105">
        <f>+(41000*100)/119</f>
        <v>34453.781512605041</v>
      </c>
      <c r="L197" s="121">
        <f t="shared" si="204"/>
        <v>206722.68907563025</v>
      </c>
      <c r="M197" s="105">
        <f>+(43400*100)/119</f>
        <v>36470.588235294119</v>
      </c>
      <c r="N197" s="121">
        <f t="shared" si="205"/>
        <v>218823.5294117647</v>
      </c>
      <c r="O197" s="105">
        <f>+(44550*100)/119</f>
        <v>37436.974789915963</v>
      </c>
      <c r="P197" s="121">
        <f t="shared" si="206"/>
        <v>224621.84873949579</v>
      </c>
      <c r="Q197" s="165">
        <f t="shared" si="207"/>
        <v>36120.448179271705</v>
      </c>
      <c r="R197" s="166">
        <f t="shared" si="213"/>
        <v>216722.68907563022</v>
      </c>
      <c r="S197" s="222">
        <f t="shared" si="208"/>
        <v>1242.7949888783755</v>
      </c>
      <c r="T197" s="223">
        <f t="shared" si="201"/>
        <v>3.4406964794849178E-2</v>
      </c>
      <c r="U197" s="224">
        <f t="shared" si="209"/>
        <v>36470.588235294119</v>
      </c>
      <c r="V197" s="225">
        <f t="shared" si="214"/>
        <v>218823.5294117647</v>
      </c>
      <c r="W197" s="328">
        <f t="shared" si="202"/>
        <v>3.4076636791826424E-2</v>
      </c>
      <c r="X197" s="576" t="s">
        <v>403</v>
      </c>
      <c r="Y197" s="610" t="s">
        <v>222</v>
      </c>
      <c r="Z197" s="571" t="s">
        <v>399</v>
      </c>
    </row>
    <row r="198" spans="1:26" ht="17" x14ac:dyDescent="0.2">
      <c r="A198" s="39" t="s">
        <v>54</v>
      </c>
      <c r="B198" s="66">
        <f t="shared" ref="B198:B261" si="215">+COUNT(K198,M198,O198)</f>
        <v>3</v>
      </c>
      <c r="C198" s="192">
        <v>172</v>
      </c>
      <c r="D198" s="71">
        <v>181</v>
      </c>
      <c r="E198" s="53" t="s">
        <v>395</v>
      </c>
      <c r="F198" s="7" t="s">
        <v>828</v>
      </c>
      <c r="G198" s="15">
        <v>2</v>
      </c>
      <c r="H198" s="12" t="s">
        <v>392</v>
      </c>
      <c r="I198" s="10"/>
      <c r="J198" s="11"/>
      <c r="K198" s="105">
        <f>+(15500*100)/119</f>
        <v>13025.210084033613</v>
      </c>
      <c r="L198" s="121">
        <f t="shared" si="204"/>
        <v>26050.420168067227</v>
      </c>
      <c r="M198" s="105">
        <f>+(14000*100)/119</f>
        <v>11764.705882352941</v>
      </c>
      <c r="N198" s="121">
        <f t="shared" si="205"/>
        <v>23529.411764705881</v>
      </c>
      <c r="O198" s="105">
        <f>+(16800*100)/119</f>
        <v>14117.64705882353</v>
      </c>
      <c r="P198" s="121">
        <f t="shared" si="206"/>
        <v>28235.294117647059</v>
      </c>
      <c r="Q198" s="165">
        <f t="shared" si="207"/>
        <v>12969.187675070027</v>
      </c>
      <c r="R198" s="166">
        <f t="shared" si="213"/>
        <v>25938.375350140053</v>
      </c>
      <c r="S198" s="222">
        <f t="shared" si="208"/>
        <v>961.40068917257827</v>
      </c>
      <c r="T198" s="223">
        <f t="shared" si="201"/>
        <v>7.4129599575509825E-2</v>
      </c>
      <c r="U198" s="224">
        <f t="shared" si="209"/>
        <v>13025.210084033613</v>
      </c>
      <c r="V198" s="225">
        <f t="shared" si="214"/>
        <v>26050.420168067227</v>
      </c>
      <c r="W198" s="328">
        <f t="shared" si="202"/>
        <v>7.3810762588088261E-2</v>
      </c>
      <c r="X198" s="611" t="s">
        <v>749</v>
      </c>
      <c r="Y198" s="137" t="s">
        <v>399</v>
      </c>
      <c r="Z198" s="138" t="s">
        <v>746</v>
      </c>
    </row>
    <row r="199" spans="1:26" ht="75" x14ac:dyDescent="0.2">
      <c r="A199" s="39" t="s">
        <v>54</v>
      </c>
      <c r="B199" s="66">
        <f t="shared" si="215"/>
        <v>3</v>
      </c>
      <c r="C199" s="66">
        <v>173</v>
      </c>
      <c r="D199" s="71">
        <v>182</v>
      </c>
      <c r="E199" s="53" t="s">
        <v>404</v>
      </c>
      <c r="F199" s="7" t="s">
        <v>405</v>
      </c>
      <c r="G199" s="15">
        <v>2</v>
      </c>
      <c r="H199" s="12" t="s">
        <v>392</v>
      </c>
      <c r="I199" s="10"/>
      <c r="J199" s="11"/>
      <c r="K199" s="105">
        <f>+(105882*100)/119</f>
        <v>88976.470588235301</v>
      </c>
      <c r="L199" s="121">
        <f t="shared" si="204"/>
        <v>177952.9411764706</v>
      </c>
      <c r="M199" s="105">
        <v>32500</v>
      </c>
      <c r="N199" s="121">
        <f t="shared" si="205"/>
        <v>65000</v>
      </c>
      <c r="O199" s="105">
        <v>60000</v>
      </c>
      <c r="P199" s="121">
        <f t="shared" si="206"/>
        <v>120000</v>
      </c>
      <c r="Q199" s="165">
        <f t="shared" si="207"/>
        <v>60492.156862745098</v>
      </c>
      <c r="R199" s="166">
        <f t="shared" ref="R199:R201" si="216">+Q199*G199</f>
        <v>120984.3137254902</v>
      </c>
      <c r="S199" s="222">
        <f t="shared" si="208"/>
        <v>23059.048785080908</v>
      </c>
      <c r="T199" s="223">
        <f t="shared" si="201"/>
        <v>0.38119071927623943</v>
      </c>
      <c r="U199" s="224">
        <f t="shared" si="209"/>
        <v>60000</v>
      </c>
      <c r="V199" s="225">
        <f t="shared" ref="V199:V201" si="217">+U199*G199</f>
        <v>120000</v>
      </c>
      <c r="W199" s="149">
        <f t="shared" si="202"/>
        <v>0.38431747975134845</v>
      </c>
      <c r="X199" s="139" t="s">
        <v>758</v>
      </c>
      <c r="Y199" s="137" t="s">
        <v>759</v>
      </c>
      <c r="Z199" s="138" t="s">
        <v>752</v>
      </c>
    </row>
    <row r="200" spans="1:26" ht="51" x14ac:dyDescent="0.2">
      <c r="A200" s="39" t="s">
        <v>54</v>
      </c>
      <c r="B200" s="66">
        <f t="shared" si="215"/>
        <v>3</v>
      </c>
      <c r="C200" s="192">
        <v>174</v>
      </c>
      <c r="D200" s="71">
        <v>183</v>
      </c>
      <c r="E200" s="53" t="s">
        <v>404</v>
      </c>
      <c r="F200" s="7" t="s">
        <v>406</v>
      </c>
      <c r="G200" s="15">
        <v>2</v>
      </c>
      <c r="H200" s="12" t="s">
        <v>392</v>
      </c>
      <c r="I200" s="10"/>
      <c r="J200" s="11"/>
      <c r="K200" s="105">
        <f>+(126000*100)/119</f>
        <v>105882.35294117648</v>
      </c>
      <c r="L200" s="121">
        <f t="shared" si="204"/>
        <v>211764.70588235295</v>
      </c>
      <c r="M200" s="105">
        <f>+(214000*100)/119</f>
        <v>179831.93277310923</v>
      </c>
      <c r="N200" s="121">
        <f t="shared" si="205"/>
        <v>359663.86554621847</v>
      </c>
      <c r="O200" s="105">
        <v>120000</v>
      </c>
      <c r="P200" s="121">
        <f t="shared" si="206"/>
        <v>240000</v>
      </c>
      <c r="Q200" s="165">
        <f t="shared" si="207"/>
        <v>135238.09523809524</v>
      </c>
      <c r="R200" s="166">
        <f t="shared" si="216"/>
        <v>270476.19047619047</v>
      </c>
      <c r="S200" s="222">
        <f t="shared" si="208"/>
        <v>32055.002201360054</v>
      </c>
      <c r="T200" s="223">
        <f t="shared" si="201"/>
        <v>0.2370264247283666</v>
      </c>
      <c r="U200" s="224">
        <f t="shared" si="209"/>
        <v>120000</v>
      </c>
      <c r="V200" s="225">
        <f t="shared" si="217"/>
        <v>240000</v>
      </c>
      <c r="W200" s="149">
        <f t="shared" si="202"/>
        <v>0.26712501834466712</v>
      </c>
      <c r="X200" s="139" t="s">
        <v>758</v>
      </c>
      <c r="Y200" s="137" t="s">
        <v>759</v>
      </c>
      <c r="Z200" s="138" t="s">
        <v>752</v>
      </c>
    </row>
    <row r="201" spans="1:26" ht="255" x14ac:dyDescent="0.2">
      <c r="A201" s="39" t="s">
        <v>54</v>
      </c>
      <c r="B201" s="66">
        <f t="shared" si="215"/>
        <v>3</v>
      </c>
      <c r="C201" s="66">
        <v>175</v>
      </c>
      <c r="D201" s="71">
        <v>184</v>
      </c>
      <c r="E201" s="52" t="s">
        <v>77</v>
      </c>
      <c r="F201" s="7" t="s">
        <v>848</v>
      </c>
      <c r="G201" s="15">
        <v>70</v>
      </c>
      <c r="H201" s="12" t="s">
        <v>392</v>
      </c>
      <c r="I201" s="10"/>
      <c r="J201" s="11"/>
      <c r="K201" s="105">
        <f>+(18000*100)/119</f>
        <v>15126.050420168067</v>
      </c>
      <c r="L201" s="121">
        <f t="shared" si="204"/>
        <v>1058823.5294117646</v>
      </c>
      <c r="M201" s="105">
        <f>+(19500*100)/119</f>
        <v>16386.55462184874</v>
      </c>
      <c r="N201" s="121">
        <f t="shared" si="205"/>
        <v>1147058.8235294118</v>
      </c>
      <c r="O201" s="105">
        <f>+(18500*100)/119</f>
        <v>15546.218487394957</v>
      </c>
      <c r="P201" s="121">
        <f t="shared" si="206"/>
        <v>1088235.294117647</v>
      </c>
      <c r="Q201" s="165">
        <f t="shared" si="207"/>
        <v>15686.274509803921</v>
      </c>
      <c r="R201" s="166">
        <f t="shared" si="216"/>
        <v>1098039.2156862745</v>
      </c>
      <c r="S201" s="222">
        <f t="shared" si="208"/>
        <v>524.04165080867563</v>
      </c>
      <c r="T201" s="223">
        <f t="shared" si="201"/>
        <v>3.340765523905307E-2</v>
      </c>
      <c r="U201" s="224">
        <f t="shared" si="209"/>
        <v>15546.218487394957</v>
      </c>
      <c r="V201" s="225">
        <f t="shared" si="217"/>
        <v>1088235.294117647</v>
      </c>
      <c r="W201" s="149">
        <f t="shared" si="202"/>
        <v>3.3708625106071567E-2</v>
      </c>
      <c r="X201" s="139" t="s">
        <v>772</v>
      </c>
      <c r="Y201" s="137" t="s">
        <v>773</v>
      </c>
      <c r="Z201" s="138" t="s">
        <v>774</v>
      </c>
    </row>
    <row r="202" spans="1:26" ht="61" thickBot="1" x14ac:dyDescent="0.25">
      <c r="A202" s="99" t="s">
        <v>54</v>
      </c>
      <c r="B202" s="82">
        <f t="shared" si="215"/>
        <v>3</v>
      </c>
      <c r="C202" s="192">
        <v>176</v>
      </c>
      <c r="D202" s="100">
        <v>185</v>
      </c>
      <c r="E202" s="101" t="s">
        <v>407</v>
      </c>
      <c r="F202" s="87" t="s">
        <v>408</v>
      </c>
      <c r="G202" s="417">
        <v>1</v>
      </c>
      <c r="H202" s="88" t="s">
        <v>392</v>
      </c>
      <c r="I202" s="89"/>
      <c r="J202" s="90"/>
      <c r="K202" s="107">
        <f>+(167900*100)/119</f>
        <v>141092.43697478992</v>
      </c>
      <c r="L202" s="150">
        <f t="shared" si="204"/>
        <v>141092.43697478992</v>
      </c>
      <c r="M202" s="107">
        <f>+(218700*100)/119</f>
        <v>183781.51260504202</v>
      </c>
      <c r="N202" s="150">
        <f t="shared" si="205"/>
        <v>183781.51260504202</v>
      </c>
      <c r="O202" s="107">
        <v>190000</v>
      </c>
      <c r="P202" s="150">
        <f t="shared" si="206"/>
        <v>190000</v>
      </c>
      <c r="Q202" s="318">
        <f t="shared" si="207"/>
        <v>171624.64985994398</v>
      </c>
      <c r="R202" s="310">
        <f>+Q202*G202</f>
        <v>171624.64985994398</v>
      </c>
      <c r="S202" s="311">
        <f t="shared" si="208"/>
        <v>21738.282884021242</v>
      </c>
      <c r="T202" s="312">
        <f t="shared" si="201"/>
        <v>0.12666177557688238</v>
      </c>
      <c r="U202" s="313">
        <f t="shared" si="209"/>
        <v>183781.51260504202</v>
      </c>
      <c r="V202" s="314">
        <f>+U202*G202</f>
        <v>183781.51260504202</v>
      </c>
      <c r="W202" s="315">
        <f t="shared" si="202"/>
        <v>0.11828329507080602</v>
      </c>
      <c r="X202" s="141" t="s">
        <v>261</v>
      </c>
      <c r="Y202" s="153" t="s">
        <v>767</v>
      </c>
      <c r="Z202" s="154" t="s">
        <v>752</v>
      </c>
    </row>
    <row r="203" spans="1:26" s="211" customFormat="1" ht="38" x14ac:dyDescent="0.2">
      <c r="A203" s="244">
        <v>1</v>
      </c>
      <c r="B203" s="245"/>
      <c r="C203" s="245"/>
      <c r="D203" s="246"/>
      <c r="E203" s="247"/>
      <c r="F203" s="402" t="s">
        <v>409</v>
      </c>
      <c r="G203" s="248"/>
      <c r="H203" s="248"/>
      <c r="I203" s="248"/>
      <c r="J203" s="248"/>
      <c r="K203" s="249"/>
      <c r="L203" s="250"/>
      <c r="M203" s="250"/>
      <c r="N203" s="250"/>
      <c r="O203" s="250"/>
      <c r="P203" s="250"/>
      <c r="Q203" s="251"/>
      <c r="R203" s="251"/>
      <c r="S203" s="252"/>
      <c r="T203" s="253"/>
      <c r="U203" s="251"/>
      <c r="V203" s="254"/>
      <c r="W203" s="253"/>
      <c r="X203" s="597"/>
      <c r="Y203" s="597"/>
      <c r="Z203" s="598"/>
    </row>
    <row r="204" spans="1:26" s="211" customFormat="1" ht="20" thickBot="1" x14ac:dyDescent="0.25">
      <c r="A204" s="255">
        <v>1</v>
      </c>
      <c r="B204" s="256"/>
      <c r="C204" s="256"/>
      <c r="D204" s="257"/>
      <c r="E204" s="258"/>
      <c r="F204" s="403" t="s">
        <v>410</v>
      </c>
      <c r="G204" s="259"/>
      <c r="H204" s="259"/>
      <c r="I204" s="259"/>
      <c r="J204" s="259"/>
      <c r="K204" s="260"/>
      <c r="L204" s="261"/>
      <c r="M204" s="261"/>
      <c r="N204" s="261"/>
      <c r="O204" s="261"/>
      <c r="P204" s="261"/>
      <c r="Q204" s="262"/>
      <c r="R204" s="262"/>
      <c r="S204" s="263"/>
      <c r="T204" s="264"/>
      <c r="U204" s="262"/>
      <c r="V204" s="265"/>
      <c r="W204" s="264"/>
      <c r="X204" s="599"/>
      <c r="Y204" s="599"/>
      <c r="Z204" s="600"/>
    </row>
    <row r="205" spans="1:26" ht="90" x14ac:dyDescent="0.2">
      <c r="A205" s="226" t="s">
        <v>20</v>
      </c>
      <c r="B205" s="192">
        <f t="shared" si="215"/>
        <v>1</v>
      </c>
      <c r="C205" s="192">
        <v>177</v>
      </c>
      <c r="D205" s="227">
        <v>186</v>
      </c>
      <c r="E205" s="215" t="s">
        <v>78</v>
      </c>
      <c r="F205" s="404" t="s">
        <v>79</v>
      </c>
      <c r="G205" s="418">
        <v>3</v>
      </c>
      <c r="H205" s="83" t="s">
        <v>23</v>
      </c>
      <c r="I205" s="97">
        <v>1</v>
      </c>
      <c r="J205" s="98" t="s">
        <v>116</v>
      </c>
      <c r="K205" s="108">
        <f>1602000/30</f>
        <v>53400</v>
      </c>
      <c r="L205" s="151">
        <f>+K205*G205*I205</f>
        <v>160200</v>
      </c>
      <c r="M205" s="126"/>
      <c r="N205" s="127"/>
      <c r="O205" s="126"/>
      <c r="P205" s="127"/>
      <c r="Q205" s="319">
        <f>+AVERAGE(K205,M205,O205)</f>
        <v>53400</v>
      </c>
      <c r="R205" s="320">
        <f>+Q205*G205*I205</f>
        <v>160200</v>
      </c>
      <c r="S205" s="222">
        <f>_xlfn.STDEV.P(K205,M205,O205)</f>
        <v>0</v>
      </c>
      <c r="T205" s="321">
        <f t="shared" ref="T205:T217" si="218">+S205/Q205</f>
        <v>0</v>
      </c>
      <c r="U205" s="322">
        <f>+MEDIAN(K205,M205,O205)</f>
        <v>53400</v>
      </c>
      <c r="V205" s="323">
        <f>+U205*G205*I205</f>
        <v>160200</v>
      </c>
      <c r="W205" s="324">
        <f t="shared" ref="W205:W217" si="219">+S205/U205</f>
        <v>0</v>
      </c>
      <c r="X205" s="326" t="s">
        <v>819</v>
      </c>
      <c r="Y205" s="231"/>
      <c r="Z205" s="327"/>
    </row>
    <row r="206" spans="1:26" ht="165" x14ac:dyDescent="0.2">
      <c r="A206" s="39" t="s">
        <v>20</v>
      </c>
      <c r="B206" s="66">
        <f t="shared" si="215"/>
        <v>1</v>
      </c>
      <c r="C206" s="66">
        <v>178</v>
      </c>
      <c r="D206" s="71">
        <v>187</v>
      </c>
      <c r="E206" s="52" t="s">
        <v>74</v>
      </c>
      <c r="F206" s="7" t="s">
        <v>411</v>
      </c>
      <c r="G206" s="15">
        <v>1</v>
      </c>
      <c r="H206" s="12" t="s">
        <v>23</v>
      </c>
      <c r="I206" s="10">
        <v>1</v>
      </c>
      <c r="J206" s="11" t="s">
        <v>116</v>
      </c>
      <c r="K206" s="105">
        <f>1602000/30</f>
        <v>53400</v>
      </c>
      <c r="L206" s="106">
        <f>+K206*G206*I206</f>
        <v>53400</v>
      </c>
      <c r="M206" s="122"/>
      <c r="N206" s="123"/>
      <c r="O206" s="122"/>
      <c r="P206" s="123"/>
      <c r="Q206" s="165">
        <f>+AVERAGE(K206,M206,O206)</f>
        <v>53400</v>
      </c>
      <c r="R206" s="166">
        <f>+Q206*G206*I206</f>
        <v>53400</v>
      </c>
      <c r="S206" s="222">
        <f>_xlfn.STDEV.P(K206,M206,O206)</f>
        <v>0</v>
      </c>
      <c r="T206" s="223">
        <f t="shared" si="218"/>
        <v>0</v>
      </c>
      <c r="U206" s="224">
        <f>+MEDIAN(K206,M206,O206)</f>
        <v>53400</v>
      </c>
      <c r="V206" s="225">
        <f>+U206*G206*I206</f>
        <v>53400</v>
      </c>
      <c r="W206" s="149">
        <f t="shared" si="219"/>
        <v>0</v>
      </c>
      <c r="X206" s="316" t="s">
        <v>819</v>
      </c>
      <c r="Y206" s="137"/>
      <c r="Z206" s="138"/>
    </row>
    <row r="207" spans="1:26" ht="60" x14ac:dyDescent="0.2">
      <c r="A207" s="39" t="s">
        <v>20</v>
      </c>
      <c r="B207" s="66">
        <f t="shared" si="215"/>
        <v>3</v>
      </c>
      <c r="C207" s="192">
        <v>179</v>
      </c>
      <c r="D207" s="71">
        <v>188</v>
      </c>
      <c r="E207" s="52" t="s">
        <v>412</v>
      </c>
      <c r="F207" s="7" t="s">
        <v>849</v>
      </c>
      <c r="G207" s="15">
        <v>1</v>
      </c>
      <c r="H207" s="12" t="s">
        <v>23</v>
      </c>
      <c r="I207" s="10">
        <v>1</v>
      </c>
      <c r="J207" s="11" t="s">
        <v>116</v>
      </c>
      <c r="K207" s="105">
        <f>+(3570000*100)/119</f>
        <v>3000000</v>
      </c>
      <c r="L207" s="106">
        <f>K207*G207</f>
        <v>3000000</v>
      </c>
      <c r="M207" s="122">
        <f>+(3570000*100)/119</f>
        <v>3000000</v>
      </c>
      <c r="N207" s="123">
        <f>+M207*I207*G207</f>
        <v>3000000</v>
      </c>
      <c r="O207" s="122">
        <f>+(3570000*100)/119</f>
        <v>3000000</v>
      </c>
      <c r="P207" s="123">
        <f>+O207*I207*G207</f>
        <v>3000000</v>
      </c>
      <c r="Q207" s="165">
        <f t="shared" ref="Q207" si="220">+AVERAGE(K207,M207,O207)</f>
        <v>3000000</v>
      </c>
      <c r="R207" s="166">
        <f t="shared" ref="R207" si="221">+Q207*G207</f>
        <v>3000000</v>
      </c>
      <c r="S207" s="222">
        <f t="shared" ref="S207" si="222">_xlfn.STDEV.P(K207,M207,O207)</f>
        <v>0</v>
      </c>
      <c r="T207" s="223">
        <v>0</v>
      </c>
      <c r="U207" s="224">
        <f t="shared" ref="U207" si="223">+MEDIAN(K207,M207,O207)</f>
        <v>3000000</v>
      </c>
      <c r="V207" s="225">
        <f t="shared" ref="V207" si="224">+U207*G207</f>
        <v>3000000</v>
      </c>
      <c r="W207" s="149">
        <v>0</v>
      </c>
      <c r="X207" s="316"/>
      <c r="Y207" s="137"/>
      <c r="Z207" s="138"/>
    </row>
    <row r="208" spans="1:26" ht="150" x14ac:dyDescent="0.2">
      <c r="A208" s="39" t="s">
        <v>20</v>
      </c>
      <c r="B208" s="66">
        <f t="shared" si="215"/>
        <v>1</v>
      </c>
      <c r="C208" s="66">
        <v>180</v>
      </c>
      <c r="D208" s="71">
        <v>189</v>
      </c>
      <c r="E208" s="52" t="s">
        <v>413</v>
      </c>
      <c r="F208" s="7" t="s">
        <v>414</v>
      </c>
      <c r="G208" s="15">
        <v>1</v>
      </c>
      <c r="H208" s="12" t="s">
        <v>131</v>
      </c>
      <c r="I208" s="10">
        <v>1</v>
      </c>
      <c r="J208" s="11" t="s">
        <v>116</v>
      </c>
      <c r="K208" s="105">
        <f>3224001/30</f>
        <v>107466.7</v>
      </c>
      <c r="L208" s="106">
        <f t="shared" ref="L208:L216" si="225">+K208*G208*I208</f>
        <v>107466.7</v>
      </c>
      <c r="M208" s="122"/>
      <c r="N208" s="123"/>
      <c r="O208" s="122"/>
      <c r="P208" s="123"/>
      <c r="Q208" s="165">
        <f>+AVERAGE(K208,M208,O208)</f>
        <v>107466.7</v>
      </c>
      <c r="R208" s="166">
        <f>+Q208*G208*I208</f>
        <v>107466.7</v>
      </c>
      <c r="S208" s="222">
        <f>_xlfn.STDEV.P(K208,M208,O208)</f>
        <v>0</v>
      </c>
      <c r="T208" s="223">
        <f t="shared" si="218"/>
        <v>0</v>
      </c>
      <c r="U208" s="224">
        <f>+MEDIAN(K208,M208,O208)</f>
        <v>107466.7</v>
      </c>
      <c r="V208" s="225">
        <f>+U208*G208*I208</f>
        <v>107466.7</v>
      </c>
      <c r="W208" s="149">
        <f t="shared" si="219"/>
        <v>0</v>
      </c>
      <c r="X208" s="316" t="s">
        <v>819</v>
      </c>
      <c r="Y208" s="137"/>
      <c r="Z208" s="138"/>
    </row>
    <row r="209" spans="1:28" ht="90" x14ac:dyDescent="0.2">
      <c r="A209" s="39" t="s">
        <v>54</v>
      </c>
      <c r="B209" s="66">
        <f t="shared" si="215"/>
        <v>3</v>
      </c>
      <c r="C209" s="192">
        <v>181</v>
      </c>
      <c r="D209" s="71">
        <v>190</v>
      </c>
      <c r="E209" s="52" t="s">
        <v>85</v>
      </c>
      <c r="F209" s="7" t="s">
        <v>415</v>
      </c>
      <c r="G209" s="15">
        <v>6</v>
      </c>
      <c r="H209" s="12" t="s">
        <v>392</v>
      </c>
      <c r="I209" s="10">
        <v>1</v>
      </c>
      <c r="J209" s="11" t="s">
        <v>116</v>
      </c>
      <c r="K209" s="105">
        <f>+(285600*100)/119</f>
        <v>240000</v>
      </c>
      <c r="L209" s="121">
        <f t="shared" si="225"/>
        <v>1440000</v>
      </c>
      <c r="M209" s="105">
        <f>+(184873*5.35%)+184873</f>
        <v>194763.70550000001</v>
      </c>
      <c r="N209" s="148">
        <f t="shared" ref="N209:N213" si="226">+M209*I209*G209</f>
        <v>1168582.233</v>
      </c>
      <c r="O209" s="105">
        <f>+(210084*5.35%)+210084</f>
        <v>221323.49400000001</v>
      </c>
      <c r="P209" s="148">
        <f t="shared" ref="P209:P213" si="227">+O209*I209*G209</f>
        <v>1327940.9640000002</v>
      </c>
      <c r="Q209" s="165">
        <f t="shared" ref="Q209:Q217" si="228">+AVERAGE(K209,M209,O209)</f>
        <v>218695.7331666667</v>
      </c>
      <c r="R209" s="166">
        <f t="shared" ref="R209:R216" si="229">+Q209*G209*I209</f>
        <v>1312174.3990000002</v>
      </c>
      <c r="S209" s="222">
        <f t="shared" ref="S209:S217" si="230">_xlfn.STDEV.P(K209,M209,O209)</f>
        <v>18560.880551500115</v>
      </c>
      <c r="T209" s="223">
        <f t="shared" si="218"/>
        <v>8.4870794151959875E-2</v>
      </c>
      <c r="U209" s="224">
        <f t="shared" ref="U209:U217" si="231">+MEDIAN(K209,M209,O209)</f>
        <v>221323.49400000001</v>
      </c>
      <c r="V209" s="225">
        <f t="shared" ref="V209:V216" si="232">+U209*G209*I209</f>
        <v>1327940.9640000002</v>
      </c>
      <c r="W209" s="149">
        <f t="shared" si="219"/>
        <v>8.3863128202287071E-2</v>
      </c>
      <c r="X209" s="570" t="s">
        <v>88</v>
      </c>
      <c r="Y209" s="576" t="s">
        <v>87</v>
      </c>
      <c r="Z209" s="571" t="s">
        <v>416</v>
      </c>
    </row>
    <row r="210" spans="1:28" ht="60" x14ac:dyDescent="0.2">
      <c r="A210" s="39" t="s">
        <v>54</v>
      </c>
      <c r="B210" s="66">
        <f t="shared" si="215"/>
        <v>3</v>
      </c>
      <c r="C210" s="66">
        <v>182</v>
      </c>
      <c r="D210" s="71">
        <v>191</v>
      </c>
      <c r="E210" s="52" t="s">
        <v>417</v>
      </c>
      <c r="F210" s="7" t="s">
        <v>418</v>
      </c>
      <c r="G210" s="15">
        <v>1</v>
      </c>
      <c r="H210" s="12" t="s">
        <v>392</v>
      </c>
      <c r="I210" s="10">
        <v>1</v>
      </c>
      <c r="J210" s="11" t="s">
        <v>116</v>
      </c>
      <c r="K210" s="329">
        <f>+(1523200*100)/119</f>
        <v>1280000</v>
      </c>
      <c r="L210" s="121">
        <f t="shared" si="225"/>
        <v>1280000</v>
      </c>
      <c r="M210" s="329">
        <f>+(2046800*100)/119</f>
        <v>1720000</v>
      </c>
      <c r="N210" s="148">
        <f t="shared" si="226"/>
        <v>1720000</v>
      </c>
      <c r="O210" s="329">
        <f>+(3272500*100)/119</f>
        <v>2750000</v>
      </c>
      <c r="P210" s="148">
        <f t="shared" si="227"/>
        <v>2750000</v>
      </c>
      <c r="Q210" s="165">
        <f t="shared" si="228"/>
        <v>1916666.6666666667</v>
      </c>
      <c r="R210" s="166">
        <f t="shared" si="229"/>
        <v>1916666.6666666667</v>
      </c>
      <c r="S210" s="222">
        <f t="shared" si="230"/>
        <v>616026.69494826999</v>
      </c>
      <c r="T210" s="223">
        <f t="shared" si="218"/>
        <v>0.32140523214692346</v>
      </c>
      <c r="U210" s="224">
        <f t="shared" si="231"/>
        <v>1720000</v>
      </c>
      <c r="V210" s="225">
        <f t="shared" si="232"/>
        <v>1720000</v>
      </c>
      <c r="W210" s="149">
        <f t="shared" si="219"/>
        <v>0.35815505520248253</v>
      </c>
      <c r="X210" s="570" t="s">
        <v>416</v>
      </c>
      <c r="Y210" s="576" t="s">
        <v>419</v>
      </c>
      <c r="Z210" s="571" t="s">
        <v>759</v>
      </c>
    </row>
    <row r="211" spans="1:28" ht="153" x14ac:dyDescent="0.2">
      <c r="A211" s="39" t="s">
        <v>54</v>
      </c>
      <c r="B211" s="66">
        <f t="shared" si="215"/>
        <v>3</v>
      </c>
      <c r="C211" s="192">
        <v>183</v>
      </c>
      <c r="D211" s="71">
        <v>192</v>
      </c>
      <c r="E211" s="52" t="s">
        <v>90</v>
      </c>
      <c r="F211" s="397" t="s">
        <v>91</v>
      </c>
      <c r="G211" s="15">
        <v>70</v>
      </c>
      <c r="H211" s="12" t="s">
        <v>392</v>
      </c>
      <c r="I211" s="10">
        <v>1</v>
      </c>
      <c r="J211" s="11" t="s">
        <v>116</v>
      </c>
      <c r="K211" s="105">
        <f>+(2142*100)/119</f>
        <v>1800</v>
      </c>
      <c r="L211" s="121">
        <f t="shared" si="225"/>
        <v>126000</v>
      </c>
      <c r="M211" s="105">
        <f>+(1700.51*100)/119</f>
        <v>1429</v>
      </c>
      <c r="N211" s="148">
        <f t="shared" si="226"/>
        <v>100030</v>
      </c>
      <c r="O211" s="105">
        <f>+(2975*100)/119</f>
        <v>2500</v>
      </c>
      <c r="P211" s="148">
        <f t="shared" si="227"/>
        <v>175000</v>
      </c>
      <c r="Q211" s="165">
        <f t="shared" si="228"/>
        <v>1909.6666666666667</v>
      </c>
      <c r="R211" s="166">
        <f t="shared" si="229"/>
        <v>133676.66666666669</v>
      </c>
      <c r="S211" s="222">
        <f t="shared" si="230"/>
        <v>444.05730360944284</v>
      </c>
      <c r="T211" s="223">
        <f t="shared" si="218"/>
        <v>0.23253131625559931</v>
      </c>
      <c r="U211" s="224">
        <f t="shared" si="231"/>
        <v>1800</v>
      </c>
      <c r="V211" s="225">
        <f t="shared" si="232"/>
        <v>126000</v>
      </c>
      <c r="W211" s="149">
        <f t="shared" si="219"/>
        <v>0.24669850200524601</v>
      </c>
      <c r="X211" s="139" t="s">
        <v>92</v>
      </c>
      <c r="Y211" s="137" t="s">
        <v>93</v>
      </c>
      <c r="Z211" s="138" t="s">
        <v>94</v>
      </c>
    </row>
    <row r="212" spans="1:28" ht="150" x14ac:dyDescent="0.2">
      <c r="A212" s="39" t="s">
        <v>54</v>
      </c>
      <c r="B212" s="66">
        <f t="shared" si="215"/>
        <v>3</v>
      </c>
      <c r="C212" s="66">
        <v>184</v>
      </c>
      <c r="D212" s="71">
        <v>193</v>
      </c>
      <c r="E212" s="52" t="s">
        <v>420</v>
      </c>
      <c r="F212" s="7" t="s">
        <v>421</v>
      </c>
      <c r="G212" s="15">
        <v>1</v>
      </c>
      <c r="H212" s="12" t="s">
        <v>392</v>
      </c>
      <c r="I212" s="10">
        <v>1</v>
      </c>
      <c r="J212" s="11" t="s">
        <v>116</v>
      </c>
      <c r="K212" s="105">
        <f>+(3451000*100)/119</f>
        <v>2900000</v>
      </c>
      <c r="L212" s="121">
        <f t="shared" si="225"/>
        <v>2900000</v>
      </c>
      <c r="M212" s="105">
        <f>+(2499000*100)/119</f>
        <v>2100000</v>
      </c>
      <c r="N212" s="148">
        <f t="shared" si="226"/>
        <v>2100000</v>
      </c>
      <c r="O212" s="105">
        <f>+(3808000*100)/119</f>
        <v>3200000</v>
      </c>
      <c r="P212" s="148">
        <f t="shared" si="227"/>
        <v>3200000</v>
      </c>
      <c r="Q212" s="165">
        <f t="shared" si="228"/>
        <v>2733333.3333333335</v>
      </c>
      <c r="R212" s="166">
        <f t="shared" si="229"/>
        <v>2733333.3333333335</v>
      </c>
      <c r="S212" s="222">
        <f t="shared" si="230"/>
        <v>464279.60923947062</v>
      </c>
      <c r="T212" s="223">
        <f t="shared" si="218"/>
        <v>0.16985839362419655</v>
      </c>
      <c r="U212" s="224">
        <f t="shared" si="231"/>
        <v>2900000</v>
      </c>
      <c r="V212" s="225">
        <f t="shared" si="232"/>
        <v>2900000</v>
      </c>
      <c r="W212" s="149">
        <f t="shared" si="219"/>
        <v>0.1600964169791278</v>
      </c>
      <c r="X212" s="570" t="s">
        <v>100</v>
      </c>
      <c r="Y212" s="576" t="s">
        <v>88</v>
      </c>
      <c r="Z212" s="571" t="s">
        <v>89</v>
      </c>
    </row>
    <row r="213" spans="1:28" ht="45" x14ac:dyDescent="0.2">
      <c r="A213" s="39" t="s">
        <v>54</v>
      </c>
      <c r="B213" s="66">
        <f t="shared" si="215"/>
        <v>3</v>
      </c>
      <c r="C213" s="192">
        <v>185</v>
      </c>
      <c r="D213" s="71">
        <v>194</v>
      </c>
      <c r="E213" s="52" t="s">
        <v>422</v>
      </c>
      <c r="F213" s="7" t="s">
        <v>423</v>
      </c>
      <c r="G213" s="15">
        <v>1</v>
      </c>
      <c r="H213" s="12" t="s">
        <v>392</v>
      </c>
      <c r="I213" s="10">
        <v>1</v>
      </c>
      <c r="J213" s="11" t="s">
        <v>116</v>
      </c>
      <c r="K213" s="105">
        <f>+(4046000*100)/119</f>
        <v>3400000</v>
      </c>
      <c r="L213" s="121">
        <f t="shared" si="225"/>
        <v>3400000</v>
      </c>
      <c r="M213" s="105">
        <f>+(3570000*100)/119</f>
        <v>3000000</v>
      </c>
      <c r="N213" s="148">
        <f t="shared" si="226"/>
        <v>3000000</v>
      </c>
      <c r="O213" s="105">
        <v>3650000</v>
      </c>
      <c r="P213" s="148">
        <f t="shared" si="227"/>
        <v>3650000</v>
      </c>
      <c r="Q213" s="165">
        <f t="shared" si="228"/>
        <v>3350000</v>
      </c>
      <c r="R213" s="166">
        <f t="shared" si="229"/>
        <v>3350000</v>
      </c>
      <c r="S213" s="222">
        <f t="shared" si="230"/>
        <v>267706.30673681683</v>
      </c>
      <c r="T213" s="223">
        <f t="shared" si="218"/>
        <v>7.991233036919905E-2</v>
      </c>
      <c r="U213" s="224">
        <f t="shared" si="231"/>
        <v>3400000</v>
      </c>
      <c r="V213" s="225">
        <f t="shared" si="232"/>
        <v>3400000</v>
      </c>
      <c r="W213" s="149">
        <f t="shared" si="219"/>
        <v>7.8737149040240248E-2</v>
      </c>
      <c r="X213" s="588" t="s">
        <v>424</v>
      </c>
      <c r="Y213" s="140" t="s">
        <v>425</v>
      </c>
      <c r="Z213" s="504" t="s">
        <v>752</v>
      </c>
      <c r="AA213" s="37"/>
      <c r="AB213" s="37"/>
    </row>
    <row r="214" spans="1:28" ht="255" x14ac:dyDescent="0.2">
      <c r="A214" s="39" t="s">
        <v>54</v>
      </c>
      <c r="B214" s="66">
        <f t="shared" si="215"/>
        <v>3</v>
      </c>
      <c r="C214" s="66">
        <v>186</v>
      </c>
      <c r="D214" s="71">
        <v>195</v>
      </c>
      <c r="E214" s="52" t="s">
        <v>77</v>
      </c>
      <c r="F214" s="7" t="s">
        <v>848</v>
      </c>
      <c r="G214" s="15">
        <v>70</v>
      </c>
      <c r="H214" s="12" t="s">
        <v>392</v>
      </c>
      <c r="I214" s="10"/>
      <c r="J214" s="11"/>
      <c r="K214" s="105">
        <f>+(18000*100)/119</f>
        <v>15126.050420168067</v>
      </c>
      <c r="L214" s="121">
        <f>K214*G214</f>
        <v>1058823.5294117646</v>
      </c>
      <c r="M214" s="105">
        <f>+(19500*100)/119</f>
        <v>16386.55462184874</v>
      </c>
      <c r="N214" s="121">
        <f>G214*M214</f>
        <v>1147058.8235294118</v>
      </c>
      <c r="O214" s="105">
        <f>+(18500*100)/119</f>
        <v>15546.218487394957</v>
      </c>
      <c r="P214" s="121">
        <f>G214*O214</f>
        <v>1088235.294117647</v>
      </c>
      <c r="Q214" s="165">
        <f t="shared" si="228"/>
        <v>15686.274509803921</v>
      </c>
      <c r="R214" s="166">
        <f>+Q214*G214</f>
        <v>1098039.2156862745</v>
      </c>
      <c r="S214" s="222">
        <f t="shared" si="230"/>
        <v>524.04165080867563</v>
      </c>
      <c r="T214" s="223">
        <f t="shared" si="218"/>
        <v>3.340765523905307E-2</v>
      </c>
      <c r="U214" s="224">
        <f t="shared" si="231"/>
        <v>15546.218487394957</v>
      </c>
      <c r="V214" s="225">
        <f>+U214*G214</f>
        <v>1088235.294117647</v>
      </c>
      <c r="W214" s="149">
        <f t="shared" si="219"/>
        <v>3.3708625106071567E-2</v>
      </c>
      <c r="X214" s="139" t="s">
        <v>772</v>
      </c>
      <c r="Y214" s="137" t="s">
        <v>773</v>
      </c>
      <c r="Z214" s="138" t="s">
        <v>774</v>
      </c>
      <c r="AA214" s="37"/>
      <c r="AB214" s="37"/>
    </row>
    <row r="215" spans="1:28" ht="51" x14ac:dyDescent="0.2">
      <c r="A215" s="39" t="s">
        <v>54</v>
      </c>
      <c r="B215" s="66">
        <f t="shared" si="215"/>
        <v>3</v>
      </c>
      <c r="C215" s="192">
        <v>187</v>
      </c>
      <c r="D215" s="71">
        <v>196</v>
      </c>
      <c r="E215" s="52" t="s">
        <v>426</v>
      </c>
      <c r="F215" s="7" t="s">
        <v>427</v>
      </c>
      <c r="G215" s="15">
        <v>15</v>
      </c>
      <c r="H215" s="12" t="s">
        <v>392</v>
      </c>
      <c r="I215" s="10">
        <v>1</v>
      </c>
      <c r="J215" s="11" t="s">
        <v>116</v>
      </c>
      <c r="K215" s="105">
        <v>142000</v>
      </c>
      <c r="L215" s="121">
        <f t="shared" si="225"/>
        <v>2130000</v>
      </c>
      <c r="M215" s="105">
        <f>+(116620*100)/119</f>
        <v>98000</v>
      </c>
      <c r="N215" s="148">
        <f t="shared" ref="N215:N216" si="233">+M215*I215*G215</f>
        <v>1470000</v>
      </c>
      <c r="O215" s="105">
        <v>50000</v>
      </c>
      <c r="P215" s="148">
        <f t="shared" ref="P215:P216" si="234">+O215*I215*G215</f>
        <v>750000</v>
      </c>
      <c r="Q215" s="165">
        <f t="shared" si="228"/>
        <v>96666.666666666672</v>
      </c>
      <c r="R215" s="166">
        <f t="shared" si="229"/>
        <v>1450000</v>
      </c>
      <c r="S215" s="222">
        <f t="shared" si="230"/>
        <v>37570.674142947653</v>
      </c>
      <c r="T215" s="223">
        <f t="shared" si="218"/>
        <v>0.38866214630635504</v>
      </c>
      <c r="U215" s="224">
        <f t="shared" si="231"/>
        <v>98000</v>
      </c>
      <c r="V215" s="225">
        <f t="shared" si="232"/>
        <v>1470000</v>
      </c>
      <c r="W215" s="149">
        <f t="shared" si="219"/>
        <v>0.38337422594844545</v>
      </c>
      <c r="X215" s="137" t="s">
        <v>759</v>
      </c>
      <c r="Y215" s="140" t="s">
        <v>737</v>
      </c>
      <c r="Z215" s="504" t="s">
        <v>752</v>
      </c>
      <c r="AA215" s="37"/>
      <c r="AB215" s="37"/>
    </row>
    <row r="216" spans="1:28" ht="105" x14ac:dyDescent="0.2">
      <c r="A216" s="39" t="s">
        <v>54</v>
      </c>
      <c r="B216" s="66">
        <f t="shared" si="215"/>
        <v>3</v>
      </c>
      <c r="C216" s="66">
        <v>188</v>
      </c>
      <c r="D216" s="71">
        <v>197</v>
      </c>
      <c r="E216" s="52" t="s">
        <v>428</v>
      </c>
      <c r="F216" s="7" t="s">
        <v>429</v>
      </c>
      <c r="G216" s="15">
        <v>15</v>
      </c>
      <c r="H216" s="12" t="s">
        <v>392</v>
      </c>
      <c r="I216" s="10">
        <v>1</v>
      </c>
      <c r="J216" s="11" t="s">
        <v>116</v>
      </c>
      <c r="K216" s="105">
        <f>+(498655*100)/119</f>
        <v>419037.81512605044</v>
      </c>
      <c r="L216" s="121">
        <f t="shared" si="225"/>
        <v>6285567.2268907567</v>
      </c>
      <c r="M216" s="105">
        <v>470000</v>
      </c>
      <c r="N216" s="148">
        <f t="shared" si="233"/>
        <v>7050000</v>
      </c>
      <c r="O216" s="105">
        <v>344800</v>
      </c>
      <c r="P216" s="148">
        <f t="shared" si="234"/>
        <v>5172000</v>
      </c>
      <c r="Q216" s="165">
        <f t="shared" si="228"/>
        <v>411279.27170868352</v>
      </c>
      <c r="R216" s="166">
        <f t="shared" si="229"/>
        <v>6169189.0756302532</v>
      </c>
      <c r="S216" s="222">
        <f t="shared" si="230"/>
        <v>51406.265811146412</v>
      </c>
      <c r="T216" s="223">
        <f t="shared" si="218"/>
        <v>0.12499114190116148</v>
      </c>
      <c r="U216" s="224">
        <f t="shared" si="231"/>
        <v>419037.81512605044</v>
      </c>
      <c r="V216" s="225">
        <f t="shared" si="232"/>
        <v>6285567.2268907567</v>
      </c>
      <c r="W216" s="149">
        <f t="shared" si="219"/>
        <v>0.12267691352791855</v>
      </c>
      <c r="X216" s="588" t="s">
        <v>843</v>
      </c>
      <c r="Y216" s="137" t="s">
        <v>759</v>
      </c>
      <c r="Z216" s="138" t="s">
        <v>752</v>
      </c>
      <c r="AA216" s="37"/>
      <c r="AB216" s="37"/>
    </row>
    <row r="217" spans="1:28" ht="61" thickBot="1" x14ac:dyDescent="0.25">
      <c r="A217" s="99" t="s">
        <v>54</v>
      </c>
      <c r="B217" s="82">
        <f t="shared" si="215"/>
        <v>3</v>
      </c>
      <c r="C217" s="192">
        <v>189</v>
      </c>
      <c r="D217" s="100">
        <v>198</v>
      </c>
      <c r="E217" s="101" t="s">
        <v>407</v>
      </c>
      <c r="F217" s="87" t="s">
        <v>408</v>
      </c>
      <c r="G217" s="417">
        <v>1</v>
      </c>
      <c r="H217" s="88" t="s">
        <v>392</v>
      </c>
      <c r="I217" s="89"/>
      <c r="J217" s="90"/>
      <c r="K217" s="107">
        <f>+(167900*100)/119</f>
        <v>141092.43697478992</v>
      </c>
      <c r="L217" s="150">
        <f>K217*G217</f>
        <v>141092.43697478992</v>
      </c>
      <c r="M217" s="107">
        <f>+(218700*100)/119</f>
        <v>183781.51260504202</v>
      </c>
      <c r="N217" s="150">
        <f>G217*M217</f>
        <v>183781.51260504202</v>
      </c>
      <c r="O217" s="107">
        <v>200000</v>
      </c>
      <c r="P217" s="150">
        <f>G217*O217</f>
        <v>200000</v>
      </c>
      <c r="Q217" s="318">
        <f t="shared" si="228"/>
        <v>174957.98319327729</v>
      </c>
      <c r="R217" s="310">
        <f>+Q217*G217</f>
        <v>174957.98319327729</v>
      </c>
      <c r="S217" s="311">
        <f t="shared" si="230"/>
        <v>24845.069918094257</v>
      </c>
      <c r="T217" s="312">
        <f t="shared" si="218"/>
        <v>0.14200592316297872</v>
      </c>
      <c r="U217" s="313">
        <f t="shared" si="231"/>
        <v>183781.51260504202</v>
      </c>
      <c r="V217" s="314">
        <f>+U217*G217</f>
        <v>183781.51260504202</v>
      </c>
      <c r="W217" s="315">
        <f t="shared" si="219"/>
        <v>0.13518808048711553</v>
      </c>
      <c r="X217" s="141" t="s">
        <v>261</v>
      </c>
      <c r="Y217" s="153" t="s">
        <v>767</v>
      </c>
      <c r="Z217" s="154" t="s">
        <v>752</v>
      </c>
      <c r="AA217" s="37"/>
      <c r="AB217" s="37"/>
    </row>
    <row r="218" spans="1:28" s="211" customFormat="1" ht="20" thickBot="1" x14ac:dyDescent="0.25">
      <c r="A218" s="220">
        <v>1</v>
      </c>
      <c r="B218" s="266"/>
      <c r="C218" s="266"/>
      <c r="D218" s="221"/>
      <c r="E218" s="212"/>
      <c r="F218" s="401" t="s">
        <v>430</v>
      </c>
      <c r="G218" s="213"/>
      <c r="H218" s="213"/>
      <c r="I218" s="213"/>
      <c r="J218" s="213"/>
      <c r="K218" s="216"/>
      <c r="L218" s="216"/>
      <c r="M218" s="216"/>
      <c r="N218" s="216"/>
      <c r="O218" s="216"/>
      <c r="P218" s="216"/>
      <c r="Q218" s="216"/>
      <c r="R218" s="216"/>
      <c r="S218" s="217"/>
      <c r="T218" s="218"/>
      <c r="U218" s="216"/>
      <c r="V218" s="219"/>
      <c r="W218" s="218"/>
      <c r="X218" s="595"/>
      <c r="Y218" s="595"/>
      <c r="Z218" s="596"/>
    </row>
    <row r="219" spans="1:28" ht="165" x14ac:dyDescent="0.2">
      <c r="A219" s="226" t="s">
        <v>20</v>
      </c>
      <c r="B219" s="192">
        <f t="shared" si="215"/>
        <v>1</v>
      </c>
      <c r="C219" s="192">
        <v>190</v>
      </c>
      <c r="D219" s="227">
        <v>199</v>
      </c>
      <c r="E219" s="215" t="s">
        <v>74</v>
      </c>
      <c r="F219" s="95" t="s">
        <v>431</v>
      </c>
      <c r="G219" s="418">
        <v>1</v>
      </c>
      <c r="H219" s="96" t="s">
        <v>23</v>
      </c>
      <c r="I219" s="97">
        <v>1</v>
      </c>
      <c r="J219" s="98" t="s">
        <v>116</v>
      </c>
      <c r="K219" s="108">
        <f>3224001/30</f>
        <v>107466.7</v>
      </c>
      <c r="L219" s="228">
        <f t="shared" ref="L219:L224" si="235">+K219*G219*I219</f>
        <v>107466.7</v>
      </c>
      <c r="M219" s="108"/>
      <c r="N219" s="228"/>
      <c r="O219" s="108"/>
      <c r="P219" s="228"/>
      <c r="Q219" s="319">
        <f>+AVERAGE(K219,M219,O219)</f>
        <v>107466.7</v>
      </c>
      <c r="R219" s="320">
        <f>+Q219*G219*I219</f>
        <v>107466.7</v>
      </c>
      <c r="S219" s="222">
        <f>_xlfn.STDEV.P(K219,M219,O219)</f>
        <v>0</v>
      </c>
      <c r="T219" s="321">
        <f t="shared" ref="T219:T227" si="236">+S219/Q219</f>
        <v>0</v>
      </c>
      <c r="U219" s="322">
        <f>+MEDIAN(K219,M219,O219)</f>
        <v>107466.7</v>
      </c>
      <c r="V219" s="323">
        <f>+U219*G219*I219</f>
        <v>107466.7</v>
      </c>
      <c r="W219" s="324">
        <f t="shared" ref="W219:W227" si="237">+S219/U219</f>
        <v>0</v>
      </c>
      <c r="X219" s="326" t="s">
        <v>819</v>
      </c>
      <c r="Y219" s="612"/>
      <c r="Z219" s="504"/>
      <c r="AA219" s="37"/>
      <c r="AB219" s="37"/>
    </row>
    <row r="220" spans="1:28" ht="165" x14ac:dyDescent="0.2">
      <c r="A220" s="39" t="s">
        <v>20</v>
      </c>
      <c r="B220" s="66">
        <f t="shared" si="215"/>
        <v>1</v>
      </c>
      <c r="C220" s="66">
        <v>191</v>
      </c>
      <c r="D220" s="71">
        <v>200</v>
      </c>
      <c r="E220" s="52" t="s">
        <v>432</v>
      </c>
      <c r="F220" s="7" t="s">
        <v>433</v>
      </c>
      <c r="G220" s="15">
        <v>2</v>
      </c>
      <c r="H220" s="12" t="s">
        <v>131</v>
      </c>
      <c r="I220" s="10">
        <v>1</v>
      </c>
      <c r="J220" s="11" t="s">
        <v>73</v>
      </c>
      <c r="K220" s="105">
        <f>5114001/30</f>
        <v>170466.7</v>
      </c>
      <c r="L220" s="121">
        <f t="shared" si="235"/>
        <v>340933.4</v>
      </c>
      <c r="M220" s="105"/>
      <c r="N220" s="121"/>
      <c r="O220" s="105"/>
      <c r="P220" s="121"/>
      <c r="Q220" s="165">
        <f>+AVERAGE(K220,M220,O220)</f>
        <v>170466.7</v>
      </c>
      <c r="R220" s="166">
        <f>+Q220*G220*I220</f>
        <v>340933.4</v>
      </c>
      <c r="S220" s="222">
        <f>_xlfn.STDEV.P(K220,M220,O220)</f>
        <v>0</v>
      </c>
      <c r="T220" s="223">
        <f t="shared" si="236"/>
        <v>0</v>
      </c>
      <c r="U220" s="224">
        <f>+MEDIAN(K220,M220,O220)</f>
        <v>170466.7</v>
      </c>
      <c r="V220" s="225">
        <f>+U220*G220*I220</f>
        <v>340933.4</v>
      </c>
      <c r="W220" s="149">
        <f t="shared" si="237"/>
        <v>0</v>
      </c>
      <c r="X220" s="316" t="s">
        <v>819</v>
      </c>
      <c r="Y220" s="140"/>
      <c r="Z220" s="504"/>
      <c r="AA220" s="37"/>
      <c r="AB220" s="37"/>
    </row>
    <row r="221" spans="1:28" ht="90" x14ac:dyDescent="0.2">
      <c r="A221" s="39" t="s">
        <v>20</v>
      </c>
      <c r="B221" s="66">
        <f t="shared" si="215"/>
        <v>1</v>
      </c>
      <c r="C221" s="192">
        <v>192</v>
      </c>
      <c r="D221" s="71">
        <v>201</v>
      </c>
      <c r="E221" s="52" t="s">
        <v>78</v>
      </c>
      <c r="F221" s="398" t="s">
        <v>79</v>
      </c>
      <c r="G221" s="15">
        <v>2</v>
      </c>
      <c r="H221" s="12" t="s">
        <v>131</v>
      </c>
      <c r="I221" s="10">
        <v>1</v>
      </c>
      <c r="J221" s="11" t="s">
        <v>73</v>
      </c>
      <c r="K221" s="105">
        <f>1602000/30</f>
        <v>53400</v>
      </c>
      <c r="L221" s="121">
        <f t="shared" si="235"/>
        <v>106800</v>
      </c>
      <c r="M221" s="105"/>
      <c r="N221" s="121"/>
      <c r="O221" s="105"/>
      <c r="P221" s="121"/>
      <c r="Q221" s="165">
        <f>+AVERAGE(K221,M221,O221)</f>
        <v>53400</v>
      </c>
      <c r="R221" s="166">
        <f>+Q221*G221*I221</f>
        <v>106800</v>
      </c>
      <c r="S221" s="222">
        <f>_xlfn.STDEV.P(K221,M221,O221)</f>
        <v>0</v>
      </c>
      <c r="T221" s="223">
        <f t="shared" si="236"/>
        <v>0</v>
      </c>
      <c r="U221" s="224">
        <f>+MEDIAN(K221,M221,O221)</f>
        <v>53400</v>
      </c>
      <c r="V221" s="225">
        <f>+U221*G221*I221</f>
        <v>106800</v>
      </c>
      <c r="W221" s="149">
        <f t="shared" si="237"/>
        <v>0</v>
      </c>
      <c r="X221" s="316" t="s">
        <v>819</v>
      </c>
      <c r="Y221" s="140"/>
      <c r="Z221" s="504"/>
      <c r="AA221" s="37"/>
      <c r="AB221" s="37"/>
    </row>
    <row r="222" spans="1:28" ht="34" x14ac:dyDescent="0.2">
      <c r="A222" s="39" t="s">
        <v>54</v>
      </c>
      <c r="B222" s="66">
        <f t="shared" si="215"/>
        <v>3</v>
      </c>
      <c r="C222" s="66">
        <v>193</v>
      </c>
      <c r="D222" s="71">
        <v>202</v>
      </c>
      <c r="E222" s="52" t="s">
        <v>434</v>
      </c>
      <c r="F222" s="7" t="s">
        <v>435</v>
      </c>
      <c r="G222" s="15">
        <v>1</v>
      </c>
      <c r="H222" s="12" t="s">
        <v>392</v>
      </c>
      <c r="I222" s="10">
        <v>1</v>
      </c>
      <c r="J222" s="11" t="s">
        <v>116</v>
      </c>
      <c r="K222" s="105">
        <f>+(238000*100)/119</f>
        <v>200000</v>
      </c>
      <c r="L222" s="121">
        <f t="shared" si="235"/>
        <v>200000</v>
      </c>
      <c r="M222" s="105">
        <f>+(120000*100)/119</f>
        <v>100840.33613445378</v>
      </c>
      <c r="N222" s="148">
        <f t="shared" ref="N222:N224" si="238">+M222*I222*G222</f>
        <v>100840.33613445378</v>
      </c>
      <c r="O222" s="105">
        <v>250000</v>
      </c>
      <c r="P222" s="148">
        <f t="shared" ref="P222:P224" si="239">+O222*I222*G222</f>
        <v>250000</v>
      </c>
      <c r="Q222" s="165">
        <f t="shared" ref="Q222:Q227" si="240">+AVERAGE(K222,M222,O222)</f>
        <v>183613.44537815126</v>
      </c>
      <c r="R222" s="166">
        <f t="shared" ref="R222:R227" si="241">+Q222*G222*I222</f>
        <v>183613.44537815126</v>
      </c>
      <c r="S222" s="222">
        <f t="shared" ref="S222:S227" si="242">_xlfn.STDEV.P(K222,M222,O222)</f>
        <v>61986.776602765931</v>
      </c>
      <c r="T222" s="223">
        <f t="shared" si="236"/>
        <v>0.33759388630339343</v>
      </c>
      <c r="U222" s="224">
        <f t="shared" ref="U222:U227" si="243">+MEDIAN(K222,M222,O222)</f>
        <v>200000</v>
      </c>
      <c r="V222" s="225">
        <f t="shared" ref="V222:V227" si="244">+U222*G222*I222</f>
        <v>200000</v>
      </c>
      <c r="W222" s="149">
        <f t="shared" si="237"/>
        <v>0.30993388301382968</v>
      </c>
      <c r="X222" s="588" t="s">
        <v>785</v>
      </c>
      <c r="Y222" s="140" t="s">
        <v>416</v>
      </c>
      <c r="Z222" s="504" t="s">
        <v>752</v>
      </c>
      <c r="AA222" s="37"/>
      <c r="AB222" s="37"/>
    </row>
    <row r="223" spans="1:28" ht="51" x14ac:dyDescent="0.2">
      <c r="A223" s="39" t="s">
        <v>54</v>
      </c>
      <c r="B223" s="66">
        <f t="shared" si="215"/>
        <v>3</v>
      </c>
      <c r="C223" s="192">
        <v>194</v>
      </c>
      <c r="D223" s="71">
        <v>203</v>
      </c>
      <c r="E223" s="52" t="s">
        <v>436</v>
      </c>
      <c r="F223" s="7" t="s">
        <v>437</v>
      </c>
      <c r="G223" s="15">
        <v>1</v>
      </c>
      <c r="H223" s="12" t="s">
        <v>392</v>
      </c>
      <c r="I223" s="10">
        <v>1</v>
      </c>
      <c r="J223" s="11" t="s">
        <v>116</v>
      </c>
      <c r="K223" s="105">
        <v>2412397</v>
      </c>
      <c r="L223" s="121">
        <f t="shared" si="235"/>
        <v>2412397</v>
      </c>
      <c r="M223" s="105">
        <v>1000000</v>
      </c>
      <c r="N223" s="148">
        <f t="shared" si="238"/>
        <v>1000000</v>
      </c>
      <c r="O223" s="105">
        <v>1500000</v>
      </c>
      <c r="P223" s="148">
        <f t="shared" si="239"/>
        <v>1500000</v>
      </c>
      <c r="Q223" s="165">
        <f t="shared" si="240"/>
        <v>1637465.6666666667</v>
      </c>
      <c r="R223" s="166">
        <f t="shared" si="241"/>
        <v>1637465.6666666667</v>
      </c>
      <c r="S223" s="222">
        <f t="shared" si="242"/>
        <v>584744.34786285495</v>
      </c>
      <c r="T223" s="223">
        <f t="shared" si="236"/>
        <v>0.35710327231055733</v>
      </c>
      <c r="U223" s="224">
        <f t="shared" si="243"/>
        <v>1500000</v>
      </c>
      <c r="V223" s="225">
        <f t="shared" si="244"/>
        <v>1500000</v>
      </c>
      <c r="W223" s="149">
        <f t="shared" si="237"/>
        <v>0.38982956524190332</v>
      </c>
      <c r="X223" s="139" t="s">
        <v>832</v>
      </c>
      <c r="Y223" s="137" t="s">
        <v>759</v>
      </c>
      <c r="Z223" s="138" t="s">
        <v>752</v>
      </c>
    </row>
    <row r="224" spans="1:28" ht="180" x14ac:dyDescent="0.2">
      <c r="A224" s="39" t="s">
        <v>54</v>
      </c>
      <c r="B224" s="66">
        <f t="shared" si="215"/>
        <v>3</v>
      </c>
      <c r="C224" s="66">
        <v>195</v>
      </c>
      <c r="D224" s="71">
        <v>204</v>
      </c>
      <c r="E224" s="52" t="s">
        <v>438</v>
      </c>
      <c r="F224" s="7" t="s">
        <v>439</v>
      </c>
      <c r="G224" s="15">
        <v>1</v>
      </c>
      <c r="H224" s="12" t="s">
        <v>392</v>
      </c>
      <c r="I224" s="10">
        <v>1</v>
      </c>
      <c r="J224" s="13" t="s">
        <v>73</v>
      </c>
      <c r="K224" s="105">
        <f>+(416500*100)/119</f>
        <v>350000</v>
      </c>
      <c r="L224" s="121">
        <f t="shared" si="235"/>
        <v>350000</v>
      </c>
      <c r="M224" s="105">
        <f>+(571200*100)/119</f>
        <v>480000</v>
      </c>
      <c r="N224" s="148">
        <f t="shared" si="238"/>
        <v>480000</v>
      </c>
      <c r="O224" s="105">
        <f>+(416500*100)/119</f>
        <v>350000</v>
      </c>
      <c r="P224" s="148">
        <f t="shared" si="239"/>
        <v>350000</v>
      </c>
      <c r="Q224" s="165">
        <f t="shared" si="240"/>
        <v>393333.33333333331</v>
      </c>
      <c r="R224" s="166">
        <f t="shared" si="241"/>
        <v>393333.33333333331</v>
      </c>
      <c r="S224" s="222">
        <f t="shared" si="242"/>
        <v>61282.58770283412</v>
      </c>
      <c r="T224" s="223">
        <f t="shared" si="236"/>
        <v>0.15580318907500201</v>
      </c>
      <c r="U224" s="224">
        <f t="shared" si="243"/>
        <v>350000</v>
      </c>
      <c r="V224" s="225">
        <f t="shared" si="244"/>
        <v>350000</v>
      </c>
      <c r="W224" s="149">
        <f t="shared" si="237"/>
        <v>0.17509310772238321</v>
      </c>
      <c r="X224" s="570" t="s">
        <v>100</v>
      </c>
      <c r="Y224" s="576" t="s">
        <v>88</v>
      </c>
      <c r="Z224" s="571" t="s">
        <v>89</v>
      </c>
    </row>
    <row r="225" spans="1:34" ht="256" thickBot="1" x14ac:dyDescent="0.25">
      <c r="A225" s="99" t="s">
        <v>54</v>
      </c>
      <c r="B225" s="82">
        <f t="shared" si="215"/>
        <v>3</v>
      </c>
      <c r="C225" s="192">
        <v>196</v>
      </c>
      <c r="D225" s="100">
        <v>205</v>
      </c>
      <c r="E225" s="101" t="s">
        <v>77</v>
      </c>
      <c r="F225" s="87" t="s">
        <v>848</v>
      </c>
      <c r="G225" s="417">
        <v>70</v>
      </c>
      <c r="H225" s="88" t="s">
        <v>392</v>
      </c>
      <c r="I225" s="89"/>
      <c r="J225" s="90"/>
      <c r="K225" s="107">
        <f>+(18000*100)/119</f>
        <v>15126.050420168067</v>
      </c>
      <c r="L225" s="150">
        <f>K225*G225</f>
        <v>1058823.5294117646</v>
      </c>
      <c r="M225" s="107">
        <f>+(19500*100)/119</f>
        <v>16386.55462184874</v>
      </c>
      <c r="N225" s="150">
        <f>G225*M225</f>
        <v>1147058.8235294118</v>
      </c>
      <c r="O225" s="107">
        <f>+(18500*100)/119</f>
        <v>15546.218487394957</v>
      </c>
      <c r="P225" s="150">
        <f>G225*O225</f>
        <v>1088235.294117647</v>
      </c>
      <c r="Q225" s="318">
        <f t="shared" si="240"/>
        <v>15686.274509803921</v>
      </c>
      <c r="R225" s="310">
        <f>+Q225*G225</f>
        <v>1098039.2156862745</v>
      </c>
      <c r="S225" s="311">
        <f t="shared" si="242"/>
        <v>524.04165080867563</v>
      </c>
      <c r="T225" s="312">
        <f t="shared" si="236"/>
        <v>3.340765523905307E-2</v>
      </c>
      <c r="U225" s="313">
        <f t="shared" si="243"/>
        <v>15546.218487394957</v>
      </c>
      <c r="V225" s="314">
        <f>+U225*G225</f>
        <v>1088235.294117647</v>
      </c>
      <c r="W225" s="315">
        <f t="shared" si="237"/>
        <v>3.3708625106071567E-2</v>
      </c>
      <c r="X225" s="141" t="s">
        <v>772</v>
      </c>
      <c r="Y225" s="153" t="s">
        <v>773</v>
      </c>
      <c r="Z225" s="154" t="s">
        <v>774</v>
      </c>
    </row>
    <row r="226" spans="1:34" s="211" customFormat="1" ht="58" thickBot="1" x14ac:dyDescent="0.25">
      <c r="A226" s="220">
        <v>1</v>
      </c>
      <c r="B226" s="266"/>
      <c r="C226" s="266"/>
      <c r="D226" s="221"/>
      <c r="E226" s="212"/>
      <c r="F226" s="401" t="s">
        <v>440</v>
      </c>
      <c r="G226" s="213"/>
      <c r="H226" s="213"/>
      <c r="I226" s="213"/>
      <c r="J226" s="213"/>
      <c r="K226" s="111"/>
      <c r="L226" s="214"/>
      <c r="M226" s="214"/>
      <c r="N226" s="214"/>
      <c r="O226" s="214"/>
      <c r="P226" s="214"/>
      <c r="Q226" s="216"/>
      <c r="R226" s="216"/>
      <c r="S226" s="217"/>
      <c r="T226" s="218"/>
      <c r="U226" s="216"/>
      <c r="V226" s="219"/>
      <c r="W226" s="218"/>
      <c r="X226" s="595"/>
      <c r="Y226" s="595"/>
      <c r="Z226" s="596"/>
      <c r="AD226" s="198"/>
      <c r="AE226" s="198"/>
      <c r="AF226" s="198"/>
      <c r="AG226" s="198"/>
      <c r="AH226" s="198"/>
    </row>
    <row r="227" spans="1:34" ht="150" x14ac:dyDescent="0.2">
      <c r="A227" s="226" t="s">
        <v>20</v>
      </c>
      <c r="B227" s="192">
        <f t="shared" si="215"/>
        <v>3</v>
      </c>
      <c r="C227" s="192">
        <v>197</v>
      </c>
      <c r="D227" s="227">
        <v>206</v>
      </c>
      <c r="E227" s="215" t="s">
        <v>441</v>
      </c>
      <c r="F227" s="95" t="s">
        <v>442</v>
      </c>
      <c r="G227" s="418">
        <v>1</v>
      </c>
      <c r="H227" s="96" t="s">
        <v>443</v>
      </c>
      <c r="I227" s="97">
        <v>1</v>
      </c>
      <c r="J227" s="98" t="s">
        <v>444</v>
      </c>
      <c r="K227" s="108">
        <f>+(1000000*100)/119</f>
        <v>840336.13445378153</v>
      </c>
      <c r="L227" s="228">
        <f t="shared" ref="L227" si="245">+K227*G227*I227</f>
        <v>840336.13445378153</v>
      </c>
      <c r="M227" s="108">
        <f>+(800000*100)/119</f>
        <v>672268.90756302525</v>
      </c>
      <c r="N227" s="229">
        <f>+M227*I227*G227</f>
        <v>672268.90756302525</v>
      </c>
      <c r="O227" s="108">
        <f>+(850000*100)/119</f>
        <v>714285.71428571432</v>
      </c>
      <c r="P227" s="229">
        <f>+O227*I227*G227</f>
        <v>714285.71428571432</v>
      </c>
      <c r="Q227" s="319">
        <f t="shared" si="240"/>
        <v>742296.91876750707</v>
      </c>
      <c r="R227" s="320">
        <f t="shared" si="241"/>
        <v>742296.91876750707</v>
      </c>
      <c r="S227" s="222">
        <f t="shared" si="242"/>
        <v>71414.839125949366</v>
      </c>
      <c r="T227" s="321">
        <f t="shared" si="236"/>
        <v>9.6207915350807249E-2</v>
      </c>
      <c r="U227" s="322">
        <f t="shared" si="243"/>
        <v>714285.71428571432</v>
      </c>
      <c r="V227" s="323">
        <f t="shared" si="244"/>
        <v>714285.71428571432</v>
      </c>
      <c r="W227" s="324">
        <f t="shared" si="237"/>
        <v>9.9980774776329107E-2</v>
      </c>
      <c r="X227" s="230" t="s">
        <v>798</v>
      </c>
      <c r="Y227" s="231" t="s">
        <v>799</v>
      </c>
      <c r="Z227" s="327" t="s">
        <v>800</v>
      </c>
    </row>
    <row r="228" spans="1:34" ht="90" x14ac:dyDescent="0.2">
      <c r="A228" s="39" t="s">
        <v>20</v>
      </c>
      <c r="B228" s="66">
        <f t="shared" si="215"/>
        <v>1</v>
      </c>
      <c r="C228" s="66">
        <v>198</v>
      </c>
      <c r="D228" s="71">
        <v>207</v>
      </c>
      <c r="E228" s="52" t="s">
        <v>78</v>
      </c>
      <c r="F228" s="398" t="s">
        <v>79</v>
      </c>
      <c r="G228" s="15">
        <v>2</v>
      </c>
      <c r="H228" s="12" t="s">
        <v>23</v>
      </c>
      <c r="I228" s="10">
        <v>4</v>
      </c>
      <c r="J228" s="11" t="s">
        <v>64</v>
      </c>
      <c r="K228" s="105">
        <f>1602000/30</f>
        <v>53400</v>
      </c>
      <c r="L228" s="106">
        <f>+K228*G228*I228</f>
        <v>427200</v>
      </c>
      <c r="M228" s="122"/>
      <c r="N228" s="123"/>
      <c r="O228" s="122"/>
      <c r="P228" s="123"/>
      <c r="Q228" s="165">
        <f>+AVERAGE(K228,M228,O228)</f>
        <v>53400</v>
      </c>
      <c r="R228" s="166">
        <f>+Q228*G228*I228</f>
        <v>427200</v>
      </c>
      <c r="S228" s="222">
        <f>_xlfn.STDEV.P(K228,M228,O228)</f>
        <v>0</v>
      </c>
      <c r="T228" s="223">
        <f t="shared" ref="T228:T235" si="246">+S228/Q228</f>
        <v>0</v>
      </c>
      <c r="U228" s="224">
        <f>+MEDIAN(K228,M228,O228)</f>
        <v>53400</v>
      </c>
      <c r="V228" s="225">
        <f>+U228*G228*I228</f>
        <v>427200</v>
      </c>
      <c r="W228" s="149">
        <f t="shared" ref="W228:W235" si="247">+S228/U228</f>
        <v>0</v>
      </c>
      <c r="X228" s="316" t="s">
        <v>819</v>
      </c>
      <c r="Y228" s="137"/>
      <c r="Z228" s="138"/>
    </row>
    <row r="229" spans="1:34" ht="75" x14ac:dyDescent="0.2">
      <c r="A229" s="39" t="s">
        <v>54</v>
      </c>
      <c r="B229" s="66">
        <f t="shared" si="215"/>
        <v>2</v>
      </c>
      <c r="C229" s="192">
        <v>199</v>
      </c>
      <c r="D229" s="71">
        <v>208</v>
      </c>
      <c r="E229" s="52" t="s">
        <v>377</v>
      </c>
      <c r="F229" s="7" t="s">
        <v>445</v>
      </c>
      <c r="G229" s="15">
        <v>1</v>
      </c>
      <c r="H229" s="14" t="s">
        <v>57</v>
      </c>
      <c r="I229" s="10">
        <v>1</v>
      </c>
      <c r="J229" s="11" t="s">
        <v>73</v>
      </c>
      <c r="K229" s="105"/>
      <c r="L229" s="121"/>
      <c r="M229" s="105">
        <v>2500000</v>
      </c>
      <c r="N229" s="148">
        <f>+M229*I229*G229</f>
        <v>2500000</v>
      </c>
      <c r="O229" s="105">
        <v>2200000</v>
      </c>
      <c r="P229" s="148">
        <f>+O229*I229*G229</f>
        <v>2200000</v>
      </c>
      <c r="Q229" s="165">
        <f>+AVERAGE(M229,O229)</f>
        <v>2350000</v>
      </c>
      <c r="R229" s="166">
        <f t="shared" ref="R229:R233" si="248">+Q229*G229*I229</f>
        <v>2350000</v>
      </c>
      <c r="S229" s="222">
        <f>_xlfn.STDEV.P(M229,O229)</f>
        <v>150000</v>
      </c>
      <c r="T229" s="223">
        <f t="shared" si="246"/>
        <v>6.3829787234042548E-2</v>
      </c>
      <c r="U229" s="224">
        <f>+MEDIAN(M229,O229)</f>
        <v>2350000</v>
      </c>
      <c r="V229" s="225">
        <f t="shared" ref="V229:V233" si="249">+U229*G229*I229</f>
        <v>2350000</v>
      </c>
      <c r="W229" s="149">
        <f t="shared" si="247"/>
        <v>6.3829787234042548E-2</v>
      </c>
      <c r="X229" s="139"/>
      <c r="Y229" s="137" t="s">
        <v>759</v>
      </c>
      <c r="Z229" s="138" t="s">
        <v>752</v>
      </c>
    </row>
    <row r="230" spans="1:34" ht="51" x14ac:dyDescent="0.2">
      <c r="A230" s="39" t="s">
        <v>54</v>
      </c>
      <c r="B230" s="66">
        <f t="shared" si="215"/>
        <v>3</v>
      </c>
      <c r="C230" s="66">
        <v>200</v>
      </c>
      <c r="D230" s="71">
        <v>209</v>
      </c>
      <c r="E230" s="52" t="s">
        <v>446</v>
      </c>
      <c r="F230" s="7" t="s">
        <v>447</v>
      </c>
      <c r="G230" s="15">
        <v>100</v>
      </c>
      <c r="H230" s="12" t="s">
        <v>392</v>
      </c>
      <c r="I230" s="10"/>
      <c r="J230" s="11"/>
      <c r="K230" s="105">
        <v>4000</v>
      </c>
      <c r="L230" s="121">
        <f>K230*G230</f>
        <v>400000</v>
      </c>
      <c r="M230" s="105">
        <v>3500</v>
      </c>
      <c r="N230" s="121">
        <f>G230*M230</f>
        <v>350000</v>
      </c>
      <c r="O230" s="105">
        <v>3950</v>
      </c>
      <c r="P230" s="121">
        <f>G230*O230</f>
        <v>395000</v>
      </c>
      <c r="Q230" s="165">
        <f t="shared" ref="Q230:Q235" si="250">+AVERAGE(K230,M230,O230)</f>
        <v>3816.6666666666665</v>
      </c>
      <c r="R230" s="166">
        <f>+Q230*G230</f>
        <v>381666.66666666663</v>
      </c>
      <c r="S230" s="222">
        <f t="shared" ref="S230:S235" si="251">_xlfn.STDEV.P(K230,M230,O230)</f>
        <v>224.84562605386736</v>
      </c>
      <c r="T230" s="223">
        <f t="shared" si="246"/>
        <v>5.8911517743371361E-2</v>
      </c>
      <c r="U230" s="224">
        <f t="shared" ref="U230:U235" si="252">+MEDIAN(K230,M230,O230)</f>
        <v>3950</v>
      </c>
      <c r="V230" s="225">
        <f>+U230*G230</f>
        <v>395000</v>
      </c>
      <c r="W230" s="149">
        <f t="shared" si="247"/>
        <v>5.6922943304776548E-2</v>
      </c>
      <c r="X230" s="139" t="s">
        <v>808</v>
      </c>
      <c r="Y230" s="137" t="s">
        <v>759</v>
      </c>
      <c r="Z230" s="138" t="s">
        <v>752</v>
      </c>
    </row>
    <row r="231" spans="1:34" ht="255" x14ac:dyDescent="0.2">
      <c r="A231" s="39" t="s">
        <v>54</v>
      </c>
      <c r="B231" s="66">
        <f t="shared" si="215"/>
        <v>3</v>
      </c>
      <c r="C231" s="192">
        <v>201</v>
      </c>
      <c r="D231" s="71">
        <v>210</v>
      </c>
      <c r="E231" s="52" t="s">
        <v>77</v>
      </c>
      <c r="F231" s="7" t="s">
        <v>848</v>
      </c>
      <c r="G231" s="15">
        <v>100</v>
      </c>
      <c r="H231" s="12" t="s">
        <v>392</v>
      </c>
      <c r="I231" s="10"/>
      <c r="J231" s="11"/>
      <c r="K231" s="105">
        <f>+(18000*100)/119</f>
        <v>15126.050420168067</v>
      </c>
      <c r="L231" s="121">
        <f>K231*G231</f>
        <v>1512605.0420168068</v>
      </c>
      <c r="M231" s="105">
        <f>+(19500*100)/119</f>
        <v>16386.55462184874</v>
      </c>
      <c r="N231" s="121">
        <f>G231*M231</f>
        <v>1638655.4621848739</v>
      </c>
      <c r="O231" s="105">
        <f>+(18500*100)/119</f>
        <v>15546.218487394957</v>
      </c>
      <c r="P231" s="121">
        <f>G231*O231</f>
        <v>1554621.8487394957</v>
      </c>
      <c r="Q231" s="165">
        <f t="shared" si="250"/>
        <v>15686.274509803921</v>
      </c>
      <c r="R231" s="166">
        <f>+Q231*G231</f>
        <v>1568627.4509803921</v>
      </c>
      <c r="S231" s="222">
        <f t="shared" si="251"/>
        <v>524.04165080867563</v>
      </c>
      <c r="T231" s="223">
        <f t="shared" si="246"/>
        <v>3.340765523905307E-2</v>
      </c>
      <c r="U231" s="224">
        <f t="shared" si="252"/>
        <v>15546.218487394957</v>
      </c>
      <c r="V231" s="225">
        <f>+U231*G231</f>
        <v>1554621.8487394957</v>
      </c>
      <c r="W231" s="149">
        <f t="shared" si="247"/>
        <v>3.3708625106071567E-2</v>
      </c>
      <c r="X231" s="139" t="s">
        <v>772</v>
      </c>
      <c r="Y231" s="137" t="s">
        <v>773</v>
      </c>
      <c r="Z231" s="138" t="s">
        <v>774</v>
      </c>
    </row>
    <row r="232" spans="1:34" ht="51" x14ac:dyDescent="0.2">
      <c r="A232" s="39" t="s">
        <v>54</v>
      </c>
      <c r="B232" s="66">
        <f t="shared" si="215"/>
        <v>3</v>
      </c>
      <c r="C232" s="66">
        <v>202</v>
      </c>
      <c r="D232" s="71">
        <v>211</v>
      </c>
      <c r="E232" s="52" t="s">
        <v>448</v>
      </c>
      <c r="F232" s="7" t="s">
        <v>449</v>
      </c>
      <c r="G232" s="15">
        <v>100</v>
      </c>
      <c r="H232" s="12" t="s">
        <v>392</v>
      </c>
      <c r="I232" s="10"/>
      <c r="J232" s="11"/>
      <c r="K232" s="105">
        <f>+(12200*100)/119</f>
        <v>10252.100840336134</v>
      </c>
      <c r="L232" s="121">
        <f>K232*G232</f>
        <v>1025210.0840336133</v>
      </c>
      <c r="M232" s="105">
        <v>26000</v>
      </c>
      <c r="N232" s="121">
        <f>G232*M232</f>
        <v>2600000</v>
      </c>
      <c r="O232" s="105">
        <v>22000</v>
      </c>
      <c r="P232" s="121">
        <f>G232*O232</f>
        <v>2200000</v>
      </c>
      <c r="Q232" s="165">
        <f t="shared" si="250"/>
        <v>19417.366946778711</v>
      </c>
      <c r="R232" s="166">
        <f>+Q232*G232</f>
        <v>1941736.6946778712</v>
      </c>
      <c r="S232" s="222">
        <f t="shared" si="251"/>
        <v>6683.3912101282249</v>
      </c>
      <c r="T232" s="223">
        <f t="shared" si="246"/>
        <v>0.34419657559373579</v>
      </c>
      <c r="U232" s="224">
        <f t="shared" si="252"/>
        <v>22000</v>
      </c>
      <c r="V232" s="225">
        <f>+U232*G232</f>
        <v>2200000</v>
      </c>
      <c r="W232" s="328">
        <f t="shared" si="247"/>
        <v>0.30379050955128295</v>
      </c>
      <c r="X232" s="137" t="s">
        <v>825</v>
      </c>
      <c r="Y232" s="137" t="s">
        <v>759</v>
      </c>
      <c r="Z232" s="138" t="s">
        <v>752</v>
      </c>
    </row>
    <row r="233" spans="1:34" ht="51" x14ac:dyDescent="0.2">
      <c r="A233" s="39" t="s">
        <v>54</v>
      </c>
      <c r="B233" s="66">
        <f t="shared" si="215"/>
        <v>3</v>
      </c>
      <c r="C233" s="192">
        <v>203</v>
      </c>
      <c r="D233" s="71">
        <v>212</v>
      </c>
      <c r="E233" s="52" t="s">
        <v>450</v>
      </c>
      <c r="F233" s="7" t="s">
        <v>451</v>
      </c>
      <c r="G233" s="15">
        <v>1</v>
      </c>
      <c r="H233" s="12" t="s">
        <v>63</v>
      </c>
      <c r="I233" s="10">
        <v>2</v>
      </c>
      <c r="J233" s="11" t="s">
        <v>444</v>
      </c>
      <c r="K233" s="105">
        <v>5000000</v>
      </c>
      <c r="L233" s="121">
        <f t="shared" ref="L233" si="253">+K233*G233*I233</f>
        <v>10000000</v>
      </c>
      <c r="M233" s="105">
        <v>2000000</v>
      </c>
      <c r="N233" s="148">
        <f>+M233*I233*G233</f>
        <v>4000000</v>
      </c>
      <c r="O233" s="105">
        <v>4000000</v>
      </c>
      <c r="P233" s="148">
        <f>+O233*I233*G233</f>
        <v>8000000</v>
      </c>
      <c r="Q233" s="165">
        <f t="shared" si="250"/>
        <v>3666666.6666666665</v>
      </c>
      <c r="R233" s="166">
        <f t="shared" si="248"/>
        <v>7333333.333333333</v>
      </c>
      <c r="S233" s="222">
        <f t="shared" si="251"/>
        <v>1247219.1289246471</v>
      </c>
      <c r="T233" s="223">
        <f t="shared" si="246"/>
        <v>0.34015067152490375</v>
      </c>
      <c r="U233" s="224">
        <f t="shared" si="252"/>
        <v>4000000</v>
      </c>
      <c r="V233" s="225">
        <f t="shared" si="249"/>
        <v>8000000</v>
      </c>
      <c r="W233" s="149">
        <f t="shared" si="247"/>
        <v>0.31180478223116176</v>
      </c>
      <c r="X233" s="139" t="s">
        <v>844</v>
      </c>
      <c r="Y233" s="137" t="s">
        <v>759</v>
      </c>
      <c r="Z233" s="138" t="s">
        <v>752</v>
      </c>
    </row>
    <row r="234" spans="1:34" ht="328" x14ac:dyDescent="0.2">
      <c r="A234" s="39" t="s">
        <v>54</v>
      </c>
      <c r="B234" s="66">
        <f t="shared" si="215"/>
        <v>3</v>
      </c>
      <c r="C234" s="66">
        <v>204</v>
      </c>
      <c r="D234" s="71">
        <v>213</v>
      </c>
      <c r="E234" s="52" t="s">
        <v>452</v>
      </c>
      <c r="F234" s="7" t="s">
        <v>453</v>
      </c>
      <c r="G234" s="15">
        <v>6</v>
      </c>
      <c r="H234" s="14" t="s">
        <v>57</v>
      </c>
      <c r="I234" s="10"/>
      <c r="J234" s="11"/>
      <c r="K234" s="105">
        <v>3560000</v>
      </c>
      <c r="L234" s="121">
        <f>K234*G234</f>
        <v>21360000</v>
      </c>
      <c r="M234" s="105">
        <v>1400000</v>
      </c>
      <c r="N234" s="121">
        <f>G234*M234</f>
        <v>8400000</v>
      </c>
      <c r="O234" s="105">
        <v>3000000</v>
      </c>
      <c r="P234" s="121">
        <f>G234*O234</f>
        <v>18000000</v>
      </c>
      <c r="Q234" s="165">
        <f>+AVERAGE(K234,M234,O234)</f>
        <v>2653333.3333333335</v>
      </c>
      <c r="R234" s="166">
        <f>+Q234*G234</f>
        <v>15920000</v>
      </c>
      <c r="S234" s="222">
        <f>_xlfn.STDEV.P(K234,M234)</f>
        <v>1080000</v>
      </c>
      <c r="T234" s="223">
        <f t="shared" si="246"/>
        <v>0.40703517587939697</v>
      </c>
      <c r="U234" s="224">
        <f>+MEDIAN(K234,M234,O234)</f>
        <v>3000000</v>
      </c>
      <c r="V234" s="225">
        <f>+U234*G234</f>
        <v>18000000</v>
      </c>
      <c r="W234" s="149">
        <f t="shared" si="247"/>
        <v>0.36</v>
      </c>
      <c r="X234" s="139" t="s">
        <v>809</v>
      </c>
      <c r="Y234" s="137" t="s">
        <v>759</v>
      </c>
      <c r="Z234" s="138" t="s">
        <v>752</v>
      </c>
    </row>
    <row r="235" spans="1:34" ht="151" thickBot="1" x14ac:dyDescent="0.25">
      <c r="A235" s="99" t="s">
        <v>54</v>
      </c>
      <c r="B235" s="82">
        <f t="shared" si="215"/>
        <v>3</v>
      </c>
      <c r="C235" s="192">
        <v>205</v>
      </c>
      <c r="D235" s="100">
        <v>214</v>
      </c>
      <c r="E235" s="101" t="s">
        <v>454</v>
      </c>
      <c r="F235" s="87" t="s">
        <v>455</v>
      </c>
      <c r="G235" s="417">
        <v>6</v>
      </c>
      <c r="H235" s="94" t="s">
        <v>57</v>
      </c>
      <c r="I235" s="89"/>
      <c r="J235" s="90" t="s">
        <v>894</v>
      </c>
      <c r="K235" s="107">
        <f>+(297500*100)/119</f>
        <v>250000</v>
      </c>
      <c r="L235" s="150">
        <f>K235*G235</f>
        <v>1500000</v>
      </c>
      <c r="M235" s="107">
        <f>+(200000*100)/119</f>
        <v>168067.22689075631</v>
      </c>
      <c r="N235" s="150">
        <f>G235*M235</f>
        <v>1008403.3613445379</v>
      </c>
      <c r="O235" s="107">
        <v>170000</v>
      </c>
      <c r="P235" s="150">
        <f>G235*O235</f>
        <v>1020000</v>
      </c>
      <c r="Q235" s="318">
        <f t="shared" si="250"/>
        <v>196022.40896358542</v>
      </c>
      <c r="R235" s="310">
        <f>+Q235*G235</f>
        <v>1176134.4537815126</v>
      </c>
      <c r="S235" s="311">
        <f t="shared" si="251"/>
        <v>38176.075872582573</v>
      </c>
      <c r="T235" s="312">
        <f t="shared" si="246"/>
        <v>0.19475363084469818</v>
      </c>
      <c r="U235" s="313">
        <f t="shared" si="252"/>
        <v>170000</v>
      </c>
      <c r="V235" s="314">
        <f>+U235*G235</f>
        <v>1020000</v>
      </c>
      <c r="W235" s="315">
        <f t="shared" si="247"/>
        <v>0.2245651521916622</v>
      </c>
      <c r="X235" s="141" t="s">
        <v>456</v>
      </c>
      <c r="Y235" s="153" t="s">
        <v>457</v>
      </c>
      <c r="Z235" s="154" t="s">
        <v>934</v>
      </c>
    </row>
    <row r="236" spans="1:34" s="211" customFormat="1" ht="39" thickBot="1" x14ac:dyDescent="0.25">
      <c r="A236" s="220">
        <v>1</v>
      </c>
      <c r="B236" s="266"/>
      <c r="C236" s="266"/>
      <c r="D236" s="221"/>
      <c r="E236" s="212"/>
      <c r="F236" s="401" t="s">
        <v>458</v>
      </c>
      <c r="G236" s="213"/>
      <c r="H236" s="213"/>
      <c r="I236" s="213"/>
      <c r="J236" s="213"/>
      <c r="K236" s="216"/>
      <c r="L236" s="216"/>
      <c r="M236" s="216"/>
      <c r="N236" s="216"/>
      <c r="O236" s="216"/>
      <c r="P236" s="216"/>
      <c r="Q236" s="216"/>
      <c r="R236" s="216"/>
      <c r="S236" s="217"/>
      <c r="T236" s="218"/>
      <c r="U236" s="216"/>
      <c r="V236" s="219"/>
      <c r="W236" s="218"/>
      <c r="X236" s="595"/>
      <c r="Y236" s="595"/>
      <c r="Z236" s="596"/>
      <c r="AD236" s="198"/>
      <c r="AE236" s="198"/>
      <c r="AF236" s="198"/>
      <c r="AG236" s="198"/>
      <c r="AH236" s="198"/>
    </row>
    <row r="237" spans="1:34" ht="151" thickBot="1" x14ac:dyDescent="0.25">
      <c r="A237" s="232" t="s">
        <v>20</v>
      </c>
      <c r="B237" s="267">
        <f t="shared" si="215"/>
        <v>1</v>
      </c>
      <c r="C237" s="267">
        <v>206</v>
      </c>
      <c r="D237" s="233">
        <v>215</v>
      </c>
      <c r="E237" s="234" t="s">
        <v>459</v>
      </c>
      <c r="F237" s="235" t="s">
        <v>460</v>
      </c>
      <c r="G237" s="419">
        <v>1</v>
      </c>
      <c r="H237" s="236" t="s">
        <v>23</v>
      </c>
      <c r="I237" s="237">
        <v>2</v>
      </c>
      <c r="J237" s="238" t="s">
        <v>24</v>
      </c>
      <c r="K237" s="239">
        <v>5860001</v>
      </c>
      <c r="L237" s="268">
        <f>+K237*G237*I237</f>
        <v>11720002</v>
      </c>
      <c r="M237" s="240"/>
      <c r="N237" s="241"/>
      <c r="O237" s="420"/>
      <c r="P237" s="421"/>
      <c r="Q237" s="269">
        <f>+AVERAGE(K237,M237,O237)</f>
        <v>5860001</v>
      </c>
      <c r="R237" s="270">
        <f t="shared" ref="R237:R240" si="254">+Q237*G237*I237</f>
        <v>11720002</v>
      </c>
      <c r="S237" s="170">
        <f>_xlfn.STDEV.P(K237,M237,O237)</f>
        <v>0</v>
      </c>
      <c r="T237" s="271">
        <f t="shared" ref="T237" si="255">+S237/Q237</f>
        <v>0</v>
      </c>
      <c r="U237" s="272">
        <f>+MEDIAN(K237,M237,O237)</f>
        <v>5860001</v>
      </c>
      <c r="V237" s="273">
        <f t="shared" ref="V237:V240" si="256">+U237*G237*I237</f>
        <v>11720002</v>
      </c>
      <c r="W237" s="274">
        <f t="shared" ref="W237" si="257">+S237/U237</f>
        <v>0</v>
      </c>
      <c r="X237" s="275" t="s">
        <v>819</v>
      </c>
      <c r="Y237" s="242"/>
      <c r="Z237" s="243"/>
    </row>
    <row r="238" spans="1:34" s="211" customFormat="1" ht="58" thickBot="1" x14ac:dyDescent="0.25">
      <c r="A238" s="58">
        <v>1</v>
      </c>
      <c r="B238" s="284"/>
      <c r="C238" s="284"/>
      <c r="D238" s="72"/>
      <c r="E238" s="59"/>
      <c r="F238" s="405" t="s">
        <v>461</v>
      </c>
      <c r="G238" s="60"/>
      <c r="H238" s="60"/>
      <c r="I238" s="60"/>
      <c r="J238" s="60"/>
      <c r="K238" s="285"/>
      <c r="L238" s="285"/>
      <c r="M238" s="285"/>
      <c r="N238" s="285"/>
      <c r="O238" s="285"/>
      <c r="P238" s="285"/>
      <c r="Q238" s="285"/>
      <c r="R238" s="285"/>
      <c r="S238" s="286"/>
      <c r="T238" s="287"/>
      <c r="U238" s="285"/>
      <c r="V238" s="288"/>
      <c r="W238" s="287"/>
      <c r="X238" s="601"/>
      <c r="Y238" s="601"/>
      <c r="Z238" s="602"/>
      <c r="AD238" s="198"/>
      <c r="AE238" s="198"/>
      <c r="AF238" s="198"/>
      <c r="AG238" s="198"/>
      <c r="AH238" s="198"/>
    </row>
    <row r="239" spans="1:34" ht="105" x14ac:dyDescent="0.2">
      <c r="A239" s="102" t="s">
        <v>20</v>
      </c>
      <c r="B239" s="192">
        <f t="shared" si="215"/>
        <v>1</v>
      </c>
      <c r="C239" s="192">
        <v>207</v>
      </c>
      <c r="D239" s="103">
        <v>216</v>
      </c>
      <c r="E239" s="104" t="s">
        <v>46</v>
      </c>
      <c r="F239" s="95" t="s">
        <v>462</v>
      </c>
      <c r="G239" s="418">
        <v>1</v>
      </c>
      <c r="H239" s="96" t="s">
        <v>23</v>
      </c>
      <c r="I239" s="97">
        <v>4</v>
      </c>
      <c r="J239" s="98" t="s">
        <v>24</v>
      </c>
      <c r="K239" s="239">
        <v>5860001</v>
      </c>
      <c r="L239" s="151">
        <f>+K239*G239*I239</f>
        <v>23440004</v>
      </c>
      <c r="M239" s="126"/>
      <c r="N239" s="127"/>
      <c r="O239" s="411"/>
      <c r="P239" s="412"/>
      <c r="Q239" s="175">
        <f>+AVERAGE(K239,M239,O239)</f>
        <v>5860001</v>
      </c>
      <c r="R239" s="176">
        <f t="shared" si="254"/>
        <v>23440004</v>
      </c>
      <c r="S239" s="128">
        <f>_xlfn.STDEV.P(K239,M239,O239)</f>
        <v>0</v>
      </c>
      <c r="T239" s="177">
        <f t="shared" ref="T239:T248" si="258">+S239/Q239</f>
        <v>0</v>
      </c>
      <c r="U239" s="178">
        <f>+MEDIAN(K239,M239,O239)</f>
        <v>5860001</v>
      </c>
      <c r="V239" s="179">
        <f t="shared" si="256"/>
        <v>23440004</v>
      </c>
      <c r="W239" s="180">
        <f t="shared" ref="W239:W248" si="259">+S239/U239</f>
        <v>0</v>
      </c>
      <c r="X239" s="152" t="s">
        <v>819</v>
      </c>
      <c r="Y239" s="118"/>
      <c r="Z239" s="119"/>
    </row>
    <row r="240" spans="1:34" ht="105" x14ac:dyDescent="0.2">
      <c r="A240" s="63" t="s">
        <v>20</v>
      </c>
      <c r="B240" s="66">
        <f t="shared" si="215"/>
        <v>1</v>
      </c>
      <c r="C240" s="66">
        <v>208</v>
      </c>
      <c r="D240" s="73">
        <v>217</v>
      </c>
      <c r="E240" s="61" t="s">
        <v>463</v>
      </c>
      <c r="F240" s="7" t="s">
        <v>464</v>
      </c>
      <c r="G240" s="15">
        <v>1</v>
      </c>
      <c r="H240" s="28" t="s">
        <v>23</v>
      </c>
      <c r="I240" s="10">
        <v>3</v>
      </c>
      <c r="J240" s="11" t="s">
        <v>24</v>
      </c>
      <c r="K240" s="107">
        <v>5860001</v>
      </c>
      <c r="L240" s="106">
        <f>+K240*G240*I240</f>
        <v>17580003</v>
      </c>
      <c r="M240" s="122"/>
      <c r="N240" s="123"/>
      <c r="O240" s="413"/>
      <c r="P240" s="414"/>
      <c r="Q240" s="129">
        <f>+AVERAGE(K240,M240,O240)</f>
        <v>5860001</v>
      </c>
      <c r="R240" s="130">
        <f t="shared" si="254"/>
        <v>17580003</v>
      </c>
      <c r="S240" s="128">
        <f>_xlfn.STDEV.P(K240,M240,O240)</f>
        <v>0</v>
      </c>
      <c r="T240" s="131">
        <f t="shared" si="258"/>
        <v>0</v>
      </c>
      <c r="U240" s="132">
        <f>+MEDIAN(K240,M240,O240)</f>
        <v>5860001</v>
      </c>
      <c r="V240" s="133">
        <f t="shared" si="256"/>
        <v>17580003</v>
      </c>
      <c r="W240" s="134">
        <f t="shared" si="259"/>
        <v>0</v>
      </c>
      <c r="X240" s="142" t="s">
        <v>819</v>
      </c>
      <c r="Y240" s="114"/>
      <c r="Z240" s="115"/>
    </row>
    <row r="241" spans="1:34" ht="76" thickBot="1" x14ac:dyDescent="0.25">
      <c r="A241" s="276" t="s">
        <v>20</v>
      </c>
      <c r="B241" s="82">
        <f t="shared" si="215"/>
        <v>1</v>
      </c>
      <c r="C241" s="82">
        <v>209</v>
      </c>
      <c r="D241" s="277"/>
      <c r="E241" s="278" t="s">
        <v>552</v>
      </c>
      <c r="F241" s="87" t="s">
        <v>553</v>
      </c>
      <c r="G241" s="415">
        <v>1</v>
      </c>
      <c r="H241" s="29" t="s">
        <v>23</v>
      </c>
      <c r="I241" s="89">
        <v>3</v>
      </c>
      <c r="J241" s="90" t="s">
        <v>24</v>
      </c>
      <c r="K241" s="107">
        <v>5860001</v>
      </c>
      <c r="L241" s="146">
        <f t="shared" ref="L241" si="260">+K241*G241*I241</f>
        <v>17580003</v>
      </c>
      <c r="M241" s="124"/>
      <c r="N241" s="125"/>
      <c r="O241" s="422"/>
      <c r="P241" s="416"/>
      <c r="Q241" s="168">
        <f>+AVERAGE(K241,M241,O241)</f>
        <v>5860001</v>
      </c>
      <c r="R241" s="169">
        <f>+Q241*G241*I241</f>
        <v>17580003</v>
      </c>
      <c r="S241" s="170">
        <f>_xlfn.STDEV.P(K241,M241,O241)</f>
        <v>0</v>
      </c>
      <c r="T241" s="171">
        <f t="shared" si="258"/>
        <v>0</v>
      </c>
      <c r="U241" s="172">
        <f>+MEDIAN(K241,M241,O241)</f>
        <v>5860001</v>
      </c>
      <c r="V241" s="173">
        <f>+U241*G241*I241</f>
        <v>17580003</v>
      </c>
      <c r="W241" s="174">
        <f t="shared" si="259"/>
        <v>0</v>
      </c>
      <c r="X241" s="279" t="s">
        <v>819</v>
      </c>
      <c r="Y241" s="116"/>
      <c r="Z241" s="117"/>
    </row>
    <row r="242" spans="1:34" s="211" customFormat="1" ht="38" x14ac:dyDescent="0.2">
      <c r="A242" s="289">
        <v>1</v>
      </c>
      <c r="B242" s="290"/>
      <c r="C242" s="290"/>
      <c r="D242" s="291"/>
      <c r="E242" s="292"/>
      <c r="F242" s="406" t="s">
        <v>465</v>
      </c>
      <c r="G242" s="293"/>
      <c r="H242" s="293"/>
      <c r="I242" s="293"/>
      <c r="J242" s="293"/>
      <c r="K242" s="294"/>
      <c r="L242" s="294"/>
      <c r="M242" s="294"/>
      <c r="N242" s="294"/>
      <c r="O242" s="294"/>
      <c r="P242" s="294"/>
      <c r="Q242" s="294"/>
      <c r="R242" s="294"/>
      <c r="S242" s="295"/>
      <c r="T242" s="296"/>
      <c r="U242" s="294"/>
      <c r="V242" s="297"/>
      <c r="W242" s="296"/>
      <c r="X242" s="603"/>
      <c r="Y242" s="603"/>
      <c r="Z242" s="604"/>
      <c r="AD242" s="198"/>
      <c r="AE242" s="198"/>
      <c r="AF242" s="198"/>
      <c r="AG242" s="198"/>
      <c r="AH242" s="198"/>
    </row>
    <row r="243" spans="1:34" s="211" customFormat="1" ht="20" thickBot="1" x14ac:dyDescent="0.25">
      <c r="A243" s="298">
        <v>1</v>
      </c>
      <c r="B243" s="299"/>
      <c r="C243" s="299"/>
      <c r="D243" s="300"/>
      <c r="E243" s="301"/>
      <c r="F243" s="407" t="s">
        <v>466</v>
      </c>
      <c r="G243" s="302"/>
      <c r="H243" s="302"/>
      <c r="I243" s="302"/>
      <c r="J243" s="302"/>
      <c r="K243" s="303"/>
      <c r="L243" s="303"/>
      <c r="M243" s="303"/>
      <c r="N243" s="303"/>
      <c r="O243" s="303"/>
      <c r="P243" s="303"/>
      <c r="Q243" s="303"/>
      <c r="R243" s="303"/>
      <c r="S243" s="304"/>
      <c r="T243" s="305"/>
      <c r="U243" s="303"/>
      <c r="V243" s="306"/>
      <c r="W243" s="305"/>
      <c r="X243" s="605"/>
      <c r="Y243" s="605"/>
      <c r="Z243" s="606"/>
      <c r="AD243" s="198"/>
      <c r="AE243" s="198"/>
      <c r="AF243" s="198"/>
      <c r="AG243" s="198"/>
      <c r="AH243" s="198"/>
    </row>
    <row r="244" spans="1:34" ht="75" x14ac:dyDescent="0.2">
      <c r="A244" s="102" t="s">
        <v>54</v>
      </c>
      <c r="B244" s="192">
        <f t="shared" si="215"/>
        <v>3</v>
      </c>
      <c r="C244" s="192">
        <v>210</v>
      </c>
      <c r="D244" s="103">
        <v>219</v>
      </c>
      <c r="E244" s="104" t="s">
        <v>85</v>
      </c>
      <c r="F244" s="95" t="s">
        <v>86</v>
      </c>
      <c r="G244" s="281">
        <v>4</v>
      </c>
      <c r="H244" s="83" t="s">
        <v>57</v>
      </c>
      <c r="I244" s="97">
        <v>1</v>
      </c>
      <c r="J244" s="98" t="s">
        <v>116</v>
      </c>
      <c r="K244" s="108">
        <f>+(226100*5.35%)+160000</f>
        <v>172096.35</v>
      </c>
      <c r="L244" s="228">
        <f t="shared" ref="L244:L248" si="261">+K244*G244*I244</f>
        <v>688385.4</v>
      </c>
      <c r="M244" s="105">
        <f>+(190400*100)/119</f>
        <v>160000</v>
      </c>
      <c r="N244" s="229">
        <f t="shared" ref="N244:N248" si="262">+M244*I244*G244</f>
        <v>640000</v>
      </c>
      <c r="O244" s="105">
        <f>+(130000*100)/119</f>
        <v>109243.6974789916</v>
      </c>
      <c r="P244" s="229">
        <f t="shared" ref="P244:P248" si="263">+O244*I244*G244</f>
        <v>436974.78991596639</v>
      </c>
      <c r="Q244" s="319">
        <f t="shared" ref="Q244:Q248" si="264">+AVERAGE(K244,M244,O244)</f>
        <v>147113.34915966386</v>
      </c>
      <c r="R244" s="320">
        <f t="shared" ref="R244:R248" si="265">+Q244*G244*I244</f>
        <v>588453.39663865545</v>
      </c>
      <c r="S244" s="222">
        <f t="shared" ref="S244:S248" si="266">_xlfn.STDEV.P(K244,M244,O244)</f>
        <v>27229.436395712357</v>
      </c>
      <c r="T244" s="321">
        <f t="shared" si="258"/>
        <v>0.18509154030719488</v>
      </c>
      <c r="U244" s="322">
        <f t="shared" ref="U244:U248" si="267">+MEDIAN(K244,M244,O244)</f>
        <v>160000</v>
      </c>
      <c r="V244" s="323">
        <f t="shared" ref="V244:V248" si="268">+U244*G244*I244</f>
        <v>640000</v>
      </c>
      <c r="W244" s="324">
        <f t="shared" si="259"/>
        <v>0.17018397747320224</v>
      </c>
      <c r="X244" s="570" t="s">
        <v>88</v>
      </c>
      <c r="Y244" s="576" t="s">
        <v>87</v>
      </c>
      <c r="Z244" s="571" t="s">
        <v>909</v>
      </c>
    </row>
    <row r="245" spans="1:34" ht="90" x14ac:dyDescent="0.2">
      <c r="A245" s="63" t="s">
        <v>54</v>
      </c>
      <c r="B245" s="66">
        <f t="shared" si="215"/>
        <v>3</v>
      </c>
      <c r="C245" s="167">
        <v>211</v>
      </c>
      <c r="D245" s="505">
        <v>220</v>
      </c>
      <c r="E245" s="62" t="s">
        <v>467</v>
      </c>
      <c r="F245" s="7" t="s">
        <v>468</v>
      </c>
      <c r="G245" s="423">
        <v>1</v>
      </c>
      <c r="H245" s="28" t="s">
        <v>57</v>
      </c>
      <c r="I245" s="10">
        <v>1</v>
      </c>
      <c r="J245" s="11" t="s">
        <v>116</v>
      </c>
      <c r="K245" s="105">
        <v>1800000</v>
      </c>
      <c r="L245" s="121">
        <f t="shared" si="261"/>
        <v>1800000</v>
      </c>
      <c r="M245" s="105">
        <f>+(1963500*100)/119</f>
        <v>1650000</v>
      </c>
      <c r="N245" s="148">
        <f t="shared" si="262"/>
        <v>1650000</v>
      </c>
      <c r="O245" s="105">
        <f>+(1963500*100)/119</f>
        <v>1650000</v>
      </c>
      <c r="P245" s="148">
        <f t="shared" si="263"/>
        <v>1650000</v>
      </c>
      <c r="Q245" s="165">
        <f t="shared" si="264"/>
        <v>1700000</v>
      </c>
      <c r="R245" s="166">
        <f t="shared" si="265"/>
        <v>1700000</v>
      </c>
      <c r="S245" s="222">
        <f t="shared" si="266"/>
        <v>70710.67811865476</v>
      </c>
      <c r="T245" s="223">
        <f t="shared" si="258"/>
        <v>4.1594516540385151E-2</v>
      </c>
      <c r="U245" s="224">
        <f t="shared" si="267"/>
        <v>1650000</v>
      </c>
      <c r="V245" s="225">
        <f t="shared" si="268"/>
        <v>1650000</v>
      </c>
      <c r="W245" s="149">
        <f t="shared" si="259"/>
        <v>4.285495643554834E-2</v>
      </c>
      <c r="X245" s="571" t="s">
        <v>759</v>
      </c>
      <c r="Y245" s="576" t="s">
        <v>416</v>
      </c>
      <c r="Z245" s="571" t="s">
        <v>931</v>
      </c>
    </row>
    <row r="246" spans="1:34" ht="135" x14ac:dyDescent="0.2">
      <c r="A246" s="63" t="s">
        <v>54</v>
      </c>
      <c r="B246" s="66">
        <f t="shared" si="215"/>
        <v>3</v>
      </c>
      <c r="C246" s="192">
        <v>212</v>
      </c>
      <c r="D246" s="73">
        <v>221</v>
      </c>
      <c r="E246" s="62" t="s">
        <v>469</v>
      </c>
      <c r="F246" s="7" t="s">
        <v>470</v>
      </c>
      <c r="G246" s="424">
        <v>1</v>
      </c>
      <c r="H246" s="28" t="s">
        <v>57</v>
      </c>
      <c r="I246" s="10">
        <v>1</v>
      </c>
      <c r="J246" s="11" t="s">
        <v>116</v>
      </c>
      <c r="K246" s="105">
        <v>2400000</v>
      </c>
      <c r="L246" s="121">
        <f t="shared" si="261"/>
        <v>2400000</v>
      </c>
      <c r="M246" s="105">
        <v>1500000</v>
      </c>
      <c r="N246" s="148">
        <f t="shared" si="262"/>
        <v>1500000</v>
      </c>
      <c r="O246" s="105">
        <v>1600000</v>
      </c>
      <c r="P246" s="148">
        <f t="shared" si="263"/>
        <v>1600000</v>
      </c>
      <c r="Q246" s="165">
        <f t="shared" si="264"/>
        <v>1833333.3333333333</v>
      </c>
      <c r="R246" s="166">
        <f t="shared" si="265"/>
        <v>1833333.3333333333</v>
      </c>
      <c r="S246" s="222">
        <f t="shared" si="266"/>
        <v>402768.1991198191</v>
      </c>
      <c r="T246" s="223">
        <f t="shared" si="258"/>
        <v>0.2196917449744468</v>
      </c>
      <c r="U246" s="224">
        <f t="shared" si="267"/>
        <v>1600000</v>
      </c>
      <c r="V246" s="225">
        <f t="shared" si="268"/>
        <v>1600000</v>
      </c>
      <c r="W246" s="149">
        <f t="shared" si="259"/>
        <v>0.25173012444988696</v>
      </c>
      <c r="X246" s="570" t="s">
        <v>100</v>
      </c>
      <c r="Y246" s="576" t="s">
        <v>416</v>
      </c>
      <c r="Z246" s="571" t="s">
        <v>88</v>
      </c>
    </row>
    <row r="247" spans="1:34" ht="51" x14ac:dyDescent="0.2">
      <c r="A247" s="63" t="s">
        <v>54</v>
      </c>
      <c r="B247" s="66">
        <f t="shared" si="215"/>
        <v>3</v>
      </c>
      <c r="C247" s="167">
        <v>213</v>
      </c>
      <c r="D247" s="505">
        <v>222</v>
      </c>
      <c r="E247" s="62" t="s">
        <v>471</v>
      </c>
      <c r="F247" s="7" t="s">
        <v>472</v>
      </c>
      <c r="G247" s="423">
        <v>1</v>
      </c>
      <c r="H247" s="28" t="s">
        <v>57</v>
      </c>
      <c r="I247" s="10">
        <v>1</v>
      </c>
      <c r="J247" s="11" t="s">
        <v>116</v>
      </c>
      <c r="K247" s="105">
        <f>+(3400000*100)/119</f>
        <v>2857142.8571428573</v>
      </c>
      <c r="L247" s="121">
        <f t="shared" si="261"/>
        <v>2857142.8571428573</v>
      </c>
      <c r="M247" s="105">
        <f>+(3570000*100)/119</f>
        <v>3000000</v>
      </c>
      <c r="N247" s="148">
        <f t="shared" si="262"/>
        <v>3000000</v>
      </c>
      <c r="O247" s="105">
        <f>+(1875000*100)/119</f>
        <v>1575630.2521008404</v>
      </c>
      <c r="P247" s="148">
        <f t="shared" si="263"/>
        <v>1575630.2521008404</v>
      </c>
      <c r="Q247" s="165">
        <f t="shared" si="264"/>
        <v>2477591.036414566</v>
      </c>
      <c r="R247" s="166">
        <f t="shared" si="265"/>
        <v>2477591.036414566</v>
      </c>
      <c r="S247" s="222">
        <f t="shared" si="266"/>
        <v>640443.58749552153</v>
      </c>
      <c r="T247" s="223">
        <f t="shared" si="258"/>
        <v>0.258494472284795</v>
      </c>
      <c r="U247" s="224">
        <f t="shared" si="267"/>
        <v>2857142.8571428573</v>
      </c>
      <c r="V247" s="225">
        <f t="shared" si="268"/>
        <v>2857142.8571428573</v>
      </c>
      <c r="W247" s="149">
        <f t="shared" si="259"/>
        <v>0.22415525562343253</v>
      </c>
      <c r="X247" s="588" t="s">
        <v>424</v>
      </c>
      <c r="Y247" s="140" t="s">
        <v>425</v>
      </c>
      <c r="Z247" s="504" t="s">
        <v>759</v>
      </c>
      <c r="AA247" s="37"/>
      <c r="AB247" s="37"/>
      <c r="AC247" s="307"/>
    </row>
    <row r="248" spans="1:34" ht="60" x14ac:dyDescent="0.2">
      <c r="A248" s="63" t="s">
        <v>54</v>
      </c>
      <c r="B248" s="66">
        <f t="shared" si="215"/>
        <v>3</v>
      </c>
      <c r="C248" s="192">
        <v>214</v>
      </c>
      <c r="D248" s="73">
        <v>223</v>
      </c>
      <c r="E248" s="62" t="s">
        <v>473</v>
      </c>
      <c r="F248" s="7" t="s">
        <v>474</v>
      </c>
      <c r="G248" s="423">
        <v>25</v>
      </c>
      <c r="H248" s="28" t="s">
        <v>57</v>
      </c>
      <c r="I248" s="10">
        <v>1</v>
      </c>
      <c r="J248" s="11" t="s">
        <v>116</v>
      </c>
      <c r="K248" s="105">
        <f>+(554000*100)/119</f>
        <v>465546.21848739497</v>
      </c>
      <c r="L248" s="121">
        <f t="shared" si="261"/>
        <v>11638655.462184874</v>
      </c>
      <c r="M248" s="105">
        <f>+(261800*100)/119</f>
        <v>220000</v>
      </c>
      <c r="N248" s="148">
        <f t="shared" si="262"/>
        <v>5500000</v>
      </c>
      <c r="O248" s="105">
        <v>450000</v>
      </c>
      <c r="P248" s="148">
        <f t="shared" si="263"/>
        <v>11250000</v>
      </c>
      <c r="Q248" s="165">
        <f t="shared" si="264"/>
        <v>378515.40616246499</v>
      </c>
      <c r="R248" s="166">
        <f t="shared" si="265"/>
        <v>9462885.1540616248</v>
      </c>
      <c r="S248" s="222">
        <f t="shared" si="266"/>
        <v>112266.85981907252</v>
      </c>
      <c r="T248" s="223">
        <f t="shared" si="258"/>
        <v>0.29659786098874336</v>
      </c>
      <c r="U248" s="224">
        <f t="shared" si="267"/>
        <v>450000</v>
      </c>
      <c r="V248" s="225">
        <f t="shared" si="268"/>
        <v>11250000</v>
      </c>
      <c r="W248" s="149">
        <f t="shared" si="259"/>
        <v>0.24948191070905004</v>
      </c>
      <c r="X248" s="588" t="s">
        <v>786</v>
      </c>
      <c r="Y248" s="140" t="s">
        <v>787</v>
      </c>
      <c r="Z248" s="504" t="s">
        <v>752</v>
      </c>
      <c r="AA248" s="37"/>
      <c r="AB248" s="37"/>
      <c r="AC248" s="307"/>
    </row>
    <row r="249" spans="1:34" ht="90" x14ac:dyDescent="0.2">
      <c r="A249" s="63" t="s">
        <v>20</v>
      </c>
      <c r="B249" s="66">
        <f t="shared" si="215"/>
        <v>1</v>
      </c>
      <c r="C249" s="167">
        <v>215</v>
      </c>
      <c r="D249" s="505">
        <v>224</v>
      </c>
      <c r="E249" s="62" t="s">
        <v>475</v>
      </c>
      <c r="F249" s="7" t="s">
        <v>476</v>
      </c>
      <c r="G249" s="423">
        <v>1</v>
      </c>
      <c r="H249" s="28" t="s">
        <v>23</v>
      </c>
      <c r="I249" s="10">
        <v>1</v>
      </c>
      <c r="J249" s="11" t="s">
        <v>116</v>
      </c>
      <c r="K249" s="105">
        <f>3224001/30</f>
        <v>107466.7</v>
      </c>
      <c r="L249" s="106">
        <f t="shared" ref="L249:L252" si="269">+K249*G249*I249</f>
        <v>107466.7</v>
      </c>
      <c r="M249" s="122"/>
      <c r="N249" s="123"/>
      <c r="O249" s="122"/>
      <c r="P249" s="123"/>
      <c r="Q249" s="165">
        <f>+AVERAGE(K249,M249,O249)</f>
        <v>107466.7</v>
      </c>
      <c r="R249" s="166">
        <f>+Q249*G249*I249</f>
        <v>107466.7</v>
      </c>
      <c r="S249" s="222">
        <f>_xlfn.STDEV.P(K249,M249,O249)</f>
        <v>0</v>
      </c>
      <c r="T249" s="223">
        <f t="shared" ref="T249:T269" si="270">+S249/Q249</f>
        <v>0</v>
      </c>
      <c r="U249" s="224">
        <f>+MEDIAN(K249,M249,O249)</f>
        <v>107466.7</v>
      </c>
      <c r="V249" s="225">
        <f>+U249*G249*I249</f>
        <v>107466.7</v>
      </c>
      <c r="W249" s="149">
        <f t="shared" ref="W249:W269" si="271">+S249/U249</f>
        <v>0</v>
      </c>
      <c r="X249" s="316" t="s">
        <v>819</v>
      </c>
      <c r="Y249" s="137"/>
      <c r="Z249" s="138"/>
    </row>
    <row r="250" spans="1:34" ht="90" x14ac:dyDescent="0.2">
      <c r="A250" s="63" t="s">
        <v>20</v>
      </c>
      <c r="B250" s="66">
        <f t="shared" si="215"/>
        <v>1</v>
      </c>
      <c r="C250" s="192">
        <v>216</v>
      </c>
      <c r="D250" s="73">
        <v>225</v>
      </c>
      <c r="E250" s="62" t="s">
        <v>477</v>
      </c>
      <c r="F250" s="7" t="s">
        <v>478</v>
      </c>
      <c r="G250" s="423">
        <v>1</v>
      </c>
      <c r="H250" s="28" t="s">
        <v>23</v>
      </c>
      <c r="I250" s="10">
        <v>1</v>
      </c>
      <c r="J250" s="11" t="s">
        <v>116</v>
      </c>
      <c r="K250" s="105">
        <f>3224001/30</f>
        <v>107466.7</v>
      </c>
      <c r="L250" s="106">
        <f t="shared" si="269"/>
        <v>107466.7</v>
      </c>
      <c r="M250" s="122"/>
      <c r="N250" s="123"/>
      <c r="O250" s="122"/>
      <c r="P250" s="123"/>
      <c r="Q250" s="165">
        <f>+AVERAGE(K250,M250,O250)</f>
        <v>107466.7</v>
      </c>
      <c r="R250" s="166">
        <f>+Q250*G250*I250</f>
        <v>107466.7</v>
      </c>
      <c r="S250" s="222">
        <f>_xlfn.STDEV.P(K250,M250,O250)</f>
        <v>0</v>
      </c>
      <c r="T250" s="223">
        <f t="shared" si="270"/>
        <v>0</v>
      </c>
      <c r="U250" s="224">
        <f>+MEDIAN(K250,M250,O250)</f>
        <v>107466.7</v>
      </c>
      <c r="V250" s="225">
        <f>+U250*G250*I250</f>
        <v>107466.7</v>
      </c>
      <c r="W250" s="149">
        <f t="shared" si="271"/>
        <v>0</v>
      </c>
      <c r="X250" s="316" t="s">
        <v>819</v>
      </c>
      <c r="Y250" s="137"/>
      <c r="Z250" s="138"/>
    </row>
    <row r="251" spans="1:34" ht="60" x14ac:dyDescent="0.2">
      <c r="A251" s="63" t="s">
        <v>20</v>
      </c>
      <c r="B251" s="66">
        <f t="shared" si="215"/>
        <v>1</v>
      </c>
      <c r="C251" s="167">
        <v>217</v>
      </c>
      <c r="D251" s="505">
        <v>226</v>
      </c>
      <c r="E251" s="62" t="s">
        <v>479</v>
      </c>
      <c r="F251" s="7" t="s">
        <v>480</v>
      </c>
      <c r="G251" s="423">
        <v>1</v>
      </c>
      <c r="H251" s="28" t="s">
        <v>23</v>
      </c>
      <c r="I251" s="10">
        <v>1</v>
      </c>
      <c r="J251" s="11" t="s">
        <v>116</v>
      </c>
      <c r="K251" s="105">
        <f>3224001/30</f>
        <v>107466.7</v>
      </c>
      <c r="L251" s="106">
        <f t="shared" si="269"/>
        <v>107466.7</v>
      </c>
      <c r="M251" s="105"/>
      <c r="N251" s="121"/>
      <c r="O251" s="105"/>
      <c r="P251" s="121"/>
      <c r="Q251" s="165">
        <f>+AVERAGE(K251,M251,O251)</f>
        <v>107466.7</v>
      </c>
      <c r="R251" s="166">
        <f>+Q251*G251*I251</f>
        <v>107466.7</v>
      </c>
      <c r="S251" s="222">
        <f>_xlfn.STDEV.P(K251,M251,O251)</f>
        <v>0</v>
      </c>
      <c r="T251" s="223">
        <f t="shared" si="270"/>
        <v>0</v>
      </c>
      <c r="U251" s="224">
        <f>+MEDIAN(K251,M251,O251)</f>
        <v>107466.7</v>
      </c>
      <c r="V251" s="225">
        <f>+U251*G251*I251</f>
        <v>107466.7</v>
      </c>
      <c r="W251" s="149">
        <f t="shared" si="271"/>
        <v>0</v>
      </c>
      <c r="X251" s="316" t="s">
        <v>819</v>
      </c>
      <c r="Y251" s="137"/>
      <c r="Z251" s="138"/>
    </row>
    <row r="252" spans="1:34" ht="90" x14ac:dyDescent="0.2">
      <c r="A252" s="63" t="s">
        <v>20</v>
      </c>
      <c r="B252" s="66">
        <f t="shared" si="215"/>
        <v>1</v>
      </c>
      <c r="C252" s="192">
        <v>218</v>
      </c>
      <c r="D252" s="73">
        <v>227</v>
      </c>
      <c r="E252" s="62" t="s">
        <v>78</v>
      </c>
      <c r="F252" s="7" t="s">
        <v>79</v>
      </c>
      <c r="G252" s="423">
        <v>20</v>
      </c>
      <c r="H252" s="28" t="s">
        <v>23</v>
      </c>
      <c r="I252" s="10">
        <v>1</v>
      </c>
      <c r="J252" s="11" t="s">
        <v>116</v>
      </c>
      <c r="K252" s="105">
        <f>1602000/30</f>
        <v>53400</v>
      </c>
      <c r="L252" s="106">
        <f t="shared" si="269"/>
        <v>1068000</v>
      </c>
      <c r="M252" s="122"/>
      <c r="N252" s="123"/>
      <c r="O252" s="122"/>
      <c r="P252" s="123"/>
      <c r="Q252" s="165">
        <f>+AVERAGE(K252,M252,O252)</f>
        <v>53400</v>
      </c>
      <c r="R252" s="166">
        <f>+Q252*G252*I252</f>
        <v>1068000</v>
      </c>
      <c r="S252" s="222">
        <f>_xlfn.STDEV.P(K252,M252,O252)</f>
        <v>0</v>
      </c>
      <c r="T252" s="223">
        <f t="shared" si="270"/>
        <v>0</v>
      </c>
      <c r="U252" s="224">
        <f>+MEDIAN(K252,M252,O252)</f>
        <v>53400</v>
      </c>
      <c r="V252" s="225">
        <f>+U252*G252*I252</f>
        <v>1068000</v>
      </c>
      <c r="W252" s="149">
        <f t="shared" si="271"/>
        <v>0</v>
      </c>
      <c r="X252" s="316" t="s">
        <v>819</v>
      </c>
      <c r="Y252" s="137"/>
      <c r="Z252" s="138"/>
    </row>
    <row r="253" spans="1:34" ht="90" x14ac:dyDescent="0.2">
      <c r="A253" s="63" t="s">
        <v>54</v>
      </c>
      <c r="B253" s="66">
        <f t="shared" si="215"/>
        <v>3</v>
      </c>
      <c r="C253" s="167">
        <v>219</v>
      </c>
      <c r="D253" s="505">
        <v>228</v>
      </c>
      <c r="E253" s="62" t="s">
        <v>481</v>
      </c>
      <c r="F253" s="7" t="s">
        <v>253</v>
      </c>
      <c r="G253" s="423">
        <v>500</v>
      </c>
      <c r="H253" s="12" t="s">
        <v>392</v>
      </c>
      <c r="I253" s="10"/>
      <c r="J253" s="11"/>
      <c r="K253" s="330">
        <v>28000</v>
      </c>
      <c r="L253" s="121">
        <f t="shared" ref="L253:L261" si="272">K253*G253</f>
        <v>14000000</v>
      </c>
      <c r="M253" s="105">
        <f>+(25000*5.35%)+25000</f>
        <v>26337.5</v>
      </c>
      <c r="N253" s="121">
        <f t="shared" ref="N253:N263" si="273">G253*M253</f>
        <v>13168750</v>
      </c>
      <c r="O253" s="105">
        <f>+(10000*5.35%)+10000</f>
        <v>10535</v>
      </c>
      <c r="P253" s="121">
        <f t="shared" ref="P253:P263" si="274">G253*O253</f>
        <v>5267500</v>
      </c>
      <c r="Q253" s="165">
        <f t="shared" ref="Q253:Q263" si="275">+AVERAGE(K253,M253,O253)</f>
        <v>21624.166666666668</v>
      </c>
      <c r="R253" s="166">
        <f t="shared" ref="R253:R260" si="276">+Q253*G253</f>
        <v>10812083.333333334</v>
      </c>
      <c r="S253" s="222">
        <f t="shared" ref="S253:S263" si="277">_xlfn.STDEV.P(K253,M253,O253)</f>
        <v>7870.5438009213967</v>
      </c>
      <c r="T253" s="223">
        <f t="shared" si="270"/>
        <v>0.36396980851307087</v>
      </c>
      <c r="U253" s="224">
        <f t="shared" ref="U253:U263" si="278">+MEDIAN(K253,M253,O253)</f>
        <v>26337.5</v>
      </c>
      <c r="V253" s="225">
        <f t="shared" ref="V253:V260" si="279">+U253*G253</f>
        <v>13168750</v>
      </c>
      <c r="W253" s="149">
        <f t="shared" si="271"/>
        <v>0.29883412628083139</v>
      </c>
      <c r="X253" s="139" t="s">
        <v>729</v>
      </c>
      <c r="Y253" s="572" t="s">
        <v>732</v>
      </c>
      <c r="Z253" s="573" t="s">
        <v>733</v>
      </c>
    </row>
    <row r="254" spans="1:34" ht="75" x14ac:dyDescent="0.2">
      <c r="A254" s="63" t="s">
        <v>54</v>
      </c>
      <c r="B254" s="66">
        <f t="shared" si="215"/>
        <v>3</v>
      </c>
      <c r="C254" s="192">
        <v>220</v>
      </c>
      <c r="D254" s="73">
        <v>229</v>
      </c>
      <c r="E254" s="62" t="s">
        <v>354</v>
      </c>
      <c r="F254" s="7" t="s">
        <v>355</v>
      </c>
      <c r="G254" s="423">
        <v>500</v>
      </c>
      <c r="H254" s="12" t="s">
        <v>392</v>
      </c>
      <c r="I254" s="10"/>
      <c r="J254" s="11"/>
      <c r="K254" s="331">
        <v>57000</v>
      </c>
      <c r="L254" s="121">
        <f t="shared" si="272"/>
        <v>28500000</v>
      </c>
      <c r="M254" s="105">
        <f>+(41500*5.35%)+41500</f>
        <v>43720.25</v>
      </c>
      <c r="N254" s="121">
        <f t="shared" si="273"/>
        <v>21860125</v>
      </c>
      <c r="O254" s="105">
        <f>+(41500*5.35%)+41500</f>
        <v>43720.25</v>
      </c>
      <c r="P254" s="121">
        <f t="shared" si="274"/>
        <v>21860125</v>
      </c>
      <c r="Q254" s="165">
        <f t="shared" si="275"/>
        <v>48146.833333333336</v>
      </c>
      <c r="R254" s="166">
        <f t="shared" si="276"/>
        <v>24073416.666666668</v>
      </c>
      <c r="S254" s="222">
        <f t="shared" si="277"/>
        <v>6260.1341849747032</v>
      </c>
      <c r="T254" s="223">
        <f t="shared" si="270"/>
        <v>0.13002172212727114</v>
      </c>
      <c r="U254" s="224">
        <f t="shared" si="278"/>
        <v>43720.25</v>
      </c>
      <c r="V254" s="225">
        <f t="shared" si="279"/>
        <v>21860125</v>
      </c>
      <c r="W254" s="149">
        <f t="shared" si="271"/>
        <v>0.14318614795145734</v>
      </c>
      <c r="X254" s="230" t="s">
        <v>729</v>
      </c>
      <c r="Y254" s="574" t="s">
        <v>735</v>
      </c>
      <c r="Z254" s="575" t="s">
        <v>736</v>
      </c>
    </row>
    <row r="255" spans="1:34" ht="150" x14ac:dyDescent="0.2">
      <c r="A255" s="63" t="s">
        <v>54</v>
      </c>
      <c r="B255" s="66">
        <f t="shared" si="215"/>
        <v>3</v>
      </c>
      <c r="C255" s="167">
        <v>221</v>
      </c>
      <c r="D255" s="505">
        <v>230</v>
      </c>
      <c r="E255" s="61" t="s">
        <v>250</v>
      </c>
      <c r="F255" s="7" t="s">
        <v>251</v>
      </c>
      <c r="G255" s="423">
        <v>500</v>
      </c>
      <c r="H255" s="28" t="s">
        <v>823</v>
      </c>
      <c r="I255" s="10"/>
      <c r="J255" s="11"/>
      <c r="K255" s="105">
        <v>9900</v>
      </c>
      <c r="L255" s="121">
        <f t="shared" si="272"/>
        <v>4950000</v>
      </c>
      <c r="M255" s="105">
        <v>10789.915966386554</v>
      </c>
      <c r="N255" s="121">
        <f t="shared" si="273"/>
        <v>5394957.9831932774</v>
      </c>
      <c r="O255" s="105">
        <v>8815.1260504201673</v>
      </c>
      <c r="P255" s="121">
        <f t="shared" si="274"/>
        <v>4407563.0252100835</v>
      </c>
      <c r="Q255" s="165">
        <f t="shared" si="275"/>
        <v>9835.014005602241</v>
      </c>
      <c r="R255" s="166">
        <f t="shared" si="276"/>
        <v>4917507.0028011203</v>
      </c>
      <c r="S255" s="222">
        <f t="shared" si="277"/>
        <v>807.51313205071415</v>
      </c>
      <c r="T255" s="223">
        <f t="shared" si="270"/>
        <v>8.2105946325113199E-2</v>
      </c>
      <c r="U255" s="224">
        <f t="shared" si="278"/>
        <v>9900</v>
      </c>
      <c r="V255" s="225">
        <f t="shared" si="279"/>
        <v>4950000</v>
      </c>
      <c r="W255" s="149">
        <f t="shared" si="271"/>
        <v>8.1566983035425672E-2</v>
      </c>
      <c r="X255" s="570" t="s">
        <v>482</v>
      </c>
      <c r="Y255" s="576" t="s">
        <v>483</v>
      </c>
      <c r="Z255" s="571" t="s">
        <v>484</v>
      </c>
    </row>
    <row r="256" spans="1:34" ht="105" x14ac:dyDescent="0.2">
      <c r="A256" s="63" t="s">
        <v>54</v>
      </c>
      <c r="B256" s="66">
        <f t="shared" si="215"/>
        <v>3</v>
      </c>
      <c r="C256" s="192">
        <v>222</v>
      </c>
      <c r="D256" s="73">
        <v>231</v>
      </c>
      <c r="E256" s="62" t="s">
        <v>485</v>
      </c>
      <c r="F256" s="7" t="s">
        <v>486</v>
      </c>
      <c r="G256" s="423">
        <v>500</v>
      </c>
      <c r="H256" s="28" t="s">
        <v>823</v>
      </c>
      <c r="I256" s="10"/>
      <c r="J256" s="11"/>
      <c r="K256" s="105">
        <v>37815.126050420171</v>
      </c>
      <c r="L256" s="121">
        <f t="shared" si="272"/>
        <v>18907563.025210086</v>
      </c>
      <c r="M256" s="105">
        <v>34957.983193277309</v>
      </c>
      <c r="N256" s="121">
        <f t="shared" si="273"/>
        <v>17478991.596638653</v>
      </c>
      <c r="O256" s="105">
        <v>30000</v>
      </c>
      <c r="P256" s="121">
        <f t="shared" si="274"/>
        <v>15000000</v>
      </c>
      <c r="Q256" s="165">
        <f t="shared" si="275"/>
        <v>34257.703081232496</v>
      </c>
      <c r="R256" s="166">
        <f t="shared" si="276"/>
        <v>17128851.540616248</v>
      </c>
      <c r="S256" s="222">
        <f t="shared" si="277"/>
        <v>3228.7090270966528</v>
      </c>
      <c r="T256" s="223">
        <f t="shared" si="270"/>
        <v>9.4247679695298847E-2</v>
      </c>
      <c r="U256" s="224">
        <f t="shared" si="278"/>
        <v>34957.983193277309</v>
      </c>
      <c r="V256" s="225">
        <f t="shared" si="279"/>
        <v>17478991.596638653</v>
      </c>
      <c r="W256" s="149">
        <f t="shared" si="271"/>
        <v>9.2359705342428294E-2</v>
      </c>
      <c r="X256" s="570" t="s">
        <v>487</v>
      </c>
      <c r="Y256" s="576" t="s">
        <v>249</v>
      </c>
      <c r="Z256" s="571" t="s">
        <v>914</v>
      </c>
    </row>
    <row r="257" spans="1:34" ht="60" x14ac:dyDescent="0.2">
      <c r="A257" s="63" t="s">
        <v>54</v>
      </c>
      <c r="B257" s="66">
        <f t="shared" si="215"/>
        <v>3</v>
      </c>
      <c r="C257" s="167">
        <v>223</v>
      </c>
      <c r="D257" s="505">
        <v>232</v>
      </c>
      <c r="E257" s="62" t="s">
        <v>488</v>
      </c>
      <c r="F257" s="7" t="s">
        <v>489</v>
      </c>
      <c r="G257" s="423">
        <v>500</v>
      </c>
      <c r="H257" s="28" t="s">
        <v>823</v>
      </c>
      <c r="I257" s="10"/>
      <c r="J257" s="11"/>
      <c r="K257" s="105">
        <f>(550*5.35%)+550</f>
        <v>579.42499999999995</v>
      </c>
      <c r="L257" s="121">
        <f t="shared" si="272"/>
        <v>289712.5</v>
      </c>
      <c r="M257" s="105">
        <f>+(700*100)/119</f>
        <v>588.23529411764707</v>
      </c>
      <c r="N257" s="121">
        <f t="shared" si="273"/>
        <v>294117.64705882355</v>
      </c>
      <c r="O257" s="105">
        <f>+(840*100)/119</f>
        <v>705.88235294117646</v>
      </c>
      <c r="P257" s="121">
        <f t="shared" si="274"/>
        <v>352941.17647058825</v>
      </c>
      <c r="Q257" s="165">
        <f t="shared" si="275"/>
        <v>624.5142156862745</v>
      </c>
      <c r="R257" s="166">
        <f t="shared" si="276"/>
        <v>312257.10784313723</v>
      </c>
      <c r="S257" s="222">
        <f t="shared" si="277"/>
        <v>57.648276301836269</v>
      </c>
      <c r="T257" s="223">
        <f t="shared" si="270"/>
        <v>9.2308989697675592E-2</v>
      </c>
      <c r="U257" s="224">
        <f t="shared" si="278"/>
        <v>588.23529411764707</v>
      </c>
      <c r="V257" s="225">
        <f t="shared" si="279"/>
        <v>294117.64705882355</v>
      </c>
      <c r="W257" s="149">
        <f t="shared" si="271"/>
        <v>9.8002069713121656E-2</v>
      </c>
      <c r="X257" s="570" t="s">
        <v>490</v>
      </c>
      <c r="Y257" s="576" t="s">
        <v>491</v>
      </c>
      <c r="Z257" s="571" t="s">
        <v>492</v>
      </c>
    </row>
    <row r="258" spans="1:34" ht="75" x14ac:dyDescent="0.2">
      <c r="A258" s="63" t="s">
        <v>54</v>
      </c>
      <c r="B258" s="66">
        <f t="shared" si="215"/>
        <v>3</v>
      </c>
      <c r="C258" s="192">
        <v>224</v>
      </c>
      <c r="D258" s="73">
        <v>233</v>
      </c>
      <c r="E258" s="62" t="s">
        <v>493</v>
      </c>
      <c r="F258" s="7" t="s">
        <v>494</v>
      </c>
      <c r="G258" s="423">
        <v>500</v>
      </c>
      <c r="H258" s="28" t="s">
        <v>823</v>
      </c>
      <c r="I258" s="10"/>
      <c r="J258" s="11"/>
      <c r="K258" s="105">
        <f>+(3911*100)/119</f>
        <v>3286.5546218487393</v>
      </c>
      <c r="L258" s="121">
        <f t="shared" si="272"/>
        <v>1643277.3109243696</v>
      </c>
      <c r="M258" s="105">
        <f>+(3570*100)/119</f>
        <v>3000</v>
      </c>
      <c r="N258" s="121">
        <f t="shared" si="273"/>
        <v>1500000</v>
      </c>
      <c r="O258" s="105">
        <f>+(3499*100)/119</f>
        <v>2940.3361344537816</v>
      </c>
      <c r="P258" s="121">
        <f t="shared" si="274"/>
        <v>1470168.0672268907</v>
      </c>
      <c r="Q258" s="165">
        <f t="shared" si="275"/>
        <v>3075.6302521008402</v>
      </c>
      <c r="R258" s="166">
        <f t="shared" si="276"/>
        <v>1537815.1260504201</v>
      </c>
      <c r="S258" s="222">
        <f t="shared" si="277"/>
        <v>151.12194089132265</v>
      </c>
      <c r="T258" s="223">
        <f t="shared" si="270"/>
        <v>4.9135275863572123E-2</v>
      </c>
      <c r="U258" s="224">
        <f t="shared" si="278"/>
        <v>3000</v>
      </c>
      <c r="V258" s="225">
        <f t="shared" si="279"/>
        <v>1500000</v>
      </c>
      <c r="W258" s="149">
        <f t="shared" si="271"/>
        <v>5.0373980297107553E-2</v>
      </c>
      <c r="X258" s="570" t="s">
        <v>495</v>
      </c>
      <c r="Y258" s="576" t="s">
        <v>496</v>
      </c>
      <c r="Z258" s="571" t="s">
        <v>497</v>
      </c>
    </row>
    <row r="259" spans="1:34" ht="90" x14ac:dyDescent="0.2">
      <c r="A259" s="63" t="s">
        <v>54</v>
      </c>
      <c r="B259" s="66">
        <f t="shared" si="215"/>
        <v>3</v>
      </c>
      <c r="C259" s="167">
        <v>225</v>
      </c>
      <c r="D259" s="505">
        <v>234</v>
      </c>
      <c r="E259" s="62" t="s">
        <v>498</v>
      </c>
      <c r="F259" s="7" t="s">
        <v>499</v>
      </c>
      <c r="G259" s="423">
        <v>500</v>
      </c>
      <c r="H259" s="28" t="s">
        <v>823</v>
      </c>
      <c r="I259" s="10"/>
      <c r="J259" s="11"/>
      <c r="K259" s="105">
        <f>+(31990*100)/119</f>
        <v>26882.352941176472</v>
      </c>
      <c r="L259" s="121">
        <f t="shared" si="272"/>
        <v>13441176.470588235</v>
      </c>
      <c r="M259" s="105">
        <f>+(37990*100)/119</f>
        <v>31924.36974789916</v>
      </c>
      <c r="N259" s="121">
        <f t="shared" si="273"/>
        <v>15962184.87394958</v>
      </c>
      <c r="O259" s="105">
        <f>+(23800*100)/119</f>
        <v>20000</v>
      </c>
      <c r="P259" s="121">
        <f t="shared" si="274"/>
        <v>10000000</v>
      </c>
      <c r="Q259" s="165">
        <f t="shared" si="275"/>
        <v>26268.907563025208</v>
      </c>
      <c r="R259" s="166">
        <f t="shared" si="276"/>
        <v>13134453.781512605</v>
      </c>
      <c r="S259" s="222">
        <f t="shared" si="277"/>
        <v>4887.3909123467647</v>
      </c>
      <c r="T259" s="223">
        <f t="shared" si="270"/>
        <v>0.18605230920321977</v>
      </c>
      <c r="U259" s="224">
        <f t="shared" si="278"/>
        <v>26882.352941176472</v>
      </c>
      <c r="V259" s="225">
        <f t="shared" si="279"/>
        <v>13441176.470588235</v>
      </c>
      <c r="W259" s="149">
        <f t="shared" si="271"/>
        <v>0.18180666413543764</v>
      </c>
      <c r="X259" s="570" t="s">
        <v>103</v>
      </c>
      <c r="Y259" s="576" t="s">
        <v>500</v>
      </c>
      <c r="Z259" s="571" t="s">
        <v>759</v>
      </c>
    </row>
    <row r="260" spans="1:34" ht="75" x14ac:dyDescent="0.2">
      <c r="A260" s="63" t="s">
        <v>54</v>
      </c>
      <c r="B260" s="66">
        <f t="shared" si="215"/>
        <v>3</v>
      </c>
      <c r="C260" s="192">
        <v>226</v>
      </c>
      <c r="D260" s="73">
        <v>235</v>
      </c>
      <c r="E260" s="62" t="s">
        <v>501</v>
      </c>
      <c r="F260" s="7" t="s">
        <v>502</v>
      </c>
      <c r="G260" s="423">
        <v>1</v>
      </c>
      <c r="H260" s="28" t="s">
        <v>392</v>
      </c>
      <c r="I260" s="10"/>
      <c r="J260" s="11"/>
      <c r="K260" s="105">
        <f>+(5950000*100)/119</f>
        <v>5000000</v>
      </c>
      <c r="L260" s="121">
        <f t="shared" si="272"/>
        <v>5000000</v>
      </c>
      <c r="M260" s="105">
        <v>7500000</v>
      </c>
      <c r="N260" s="121">
        <f t="shared" si="273"/>
        <v>7500000</v>
      </c>
      <c r="O260" s="105">
        <v>5850000</v>
      </c>
      <c r="P260" s="121">
        <f t="shared" si="274"/>
        <v>5850000</v>
      </c>
      <c r="Q260" s="165">
        <f t="shared" si="275"/>
        <v>6116666.666666667</v>
      </c>
      <c r="R260" s="166">
        <f t="shared" si="276"/>
        <v>6116666.666666667</v>
      </c>
      <c r="S260" s="222">
        <f t="shared" si="277"/>
        <v>1037893.165129351</v>
      </c>
      <c r="T260" s="223">
        <f t="shared" si="270"/>
        <v>0.16968280628817725</v>
      </c>
      <c r="U260" s="224">
        <f t="shared" si="278"/>
        <v>5850000</v>
      </c>
      <c r="V260" s="225">
        <f t="shared" si="279"/>
        <v>5850000</v>
      </c>
      <c r="W260" s="149">
        <f t="shared" si="271"/>
        <v>0.17741763506484631</v>
      </c>
      <c r="X260" s="570" t="s">
        <v>726</v>
      </c>
      <c r="Y260" s="137" t="s">
        <v>753</v>
      </c>
      <c r="Z260" s="138" t="s">
        <v>833</v>
      </c>
    </row>
    <row r="261" spans="1:34" ht="150" x14ac:dyDescent="0.2">
      <c r="A261" s="63" t="s">
        <v>54</v>
      </c>
      <c r="B261" s="66">
        <f t="shared" si="215"/>
        <v>3</v>
      </c>
      <c r="C261" s="167">
        <v>227</v>
      </c>
      <c r="D261" s="505">
        <v>236</v>
      </c>
      <c r="E261" s="62" t="s">
        <v>503</v>
      </c>
      <c r="F261" s="7" t="s">
        <v>504</v>
      </c>
      <c r="G261" s="423">
        <v>500</v>
      </c>
      <c r="H261" s="12" t="s">
        <v>392</v>
      </c>
      <c r="I261" s="10"/>
      <c r="J261" s="11"/>
      <c r="K261" s="105">
        <v>6500</v>
      </c>
      <c r="L261" s="121">
        <f t="shared" si="272"/>
        <v>3250000</v>
      </c>
      <c r="M261" s="105">
        <f>+(5500*100)/119</f>
        <v>4621.8487394957983</v>
      </c>
      <c r="N261" s="121">
        <f t="shared" si="273"/>
        <v>2310924.369747899</v>
      </c>
      <c r="O261" s="105">
        <f>+(4958*5.35%)+4958</f>
        <v>5223.2529999999997</v>
      </c>
      <c r="P261" s="121">
        <f t="shared" si="274"/>
        <v>2611626.5</v>
      </c>
      <c r="Q261" s="165">
        <f t="shared" si="275"/>
        <v>5448.3672464986003</v>
      </c>
      <c r="R261" s="166">
        <f>+Q261*G261</f>
        <v>2724183.6232493003</v>
      </c>
      <c r="S261" s="222">
        <f t="shared" si="277"/>
        <v>783.10082676321156</v>
      </c>
      <c r="T261" s="223">
        <f t="shared" si="270"/>
        <v>0.14373128523347473</v>
      </c>
      <c r="U261" s="224">
        <f t="shared" si="278"/>
        <v>5223.2529999999997</v>
      </c>
      <c r="V261" s="225">
        <f>+U261*G261</f>
        <v>2611626.5</v>
      </c>
      <c r="W261" s="149">
        <f t="shared" si="271"/>
        <v>0.14992588464759635</v>
      </c>
      <c r="X261" s="139" t="s">
        <v>759</v>
      </c>
      <c r="Y261" s="137" t="s">
        <v>737</v>
      </c>
      <c r="Z261" s="138" t="s">
        <v>738</v>
      </c>
    </row>
    <row r="262" spans="1:34" ht="120" x14ac:dyDescent="0.2">
      <c r="A262" s="63" t="s">
        <v>54</v>
      </c>
      <c r="B262" s="66">
        <f t="shared" ref="B262:B321" si="280">+COUNT(K262,M262,O262)</f>
        <v>3</v>
      </c>
      <c r="C262" s="192">
        <v>228</v>
      </c>
      <c r="D262" s="73">
        <v>237</v>
      </c>
      <c r="E262" s="62" t="s">
        <v>505</v>
      </c>
      <c r="F262" s="7" t="s">
        <v>506</v>
      </c>
      <c r="G262" s="423">
        <v>500</v>
      </c>
      <c r="H262" s="28" t="s">
        <v>823</v>
      </c>
      <c r="I262" s="10"/>
      <c r="J262" s="11"/>
      <c r="K262" s="105">
        <v>7500</v>
      </c>
      <c r="L262" s="121">
        <f>+K262*G262</f>
        <v>3750000</v>
      </c>
      <c r="M262" s="105">
        <v>12000</v>
      </c>
      <c r="N262" s="121">
        <f t="shared" si="273"/>
        <v>6000000</v>
      </c>
      <c r="O262" s="105">
        <v>15000</v>
      </c>
      <c r="P262" s="121">
        <f t="shared" si="274"/>
        <v>7500000</v>
      </c>
      <c r="Q262" s="165">
        <f t="shared" si="275"/>
        <v>11500</v>
      </c>
      <c r="R262" s="166">
        <f t="shared" ref="R262:R263" si="281">+Q262*G262</f>
        <v>5750000</v>
      </c>
      <c r="S262" s="222">
        <f t="shared" si="277"/>
        <v>3082.207001484488</v>
      </c>
      <c r="T262" s="223">
        <f t="shared" si="270"/>
        <v>0.26801800012908594</v>
      </c>
      <c r="U262" s="224">
        <f t="shared" si="278"/>
        <v>12000</v>
      </c>
      <c r="V262" s="225">
        <f t="shared" ref="V262:V263" si="282">+U262*G262</f>
        <v>6000000</v>
      </c>
      <c r="W262" s="149">
        <f t="shared" si="271"/>
        <v>0.25685058345704065</v>
      </c>
      <c r="X262" s="137" t="s">
        <v>833</v>
      </c>
      <c r="Y262" s="137" t="s">
        <v>753</v>
      </c>
      <c r="Z262" s="138" t="s">
        <v>752</v>
      </c>
    </row>
    <row r="263" spans="1:34" ht="135" x14ac:dyDescent="0.2">
      <c r="A263" s="63" t="s">
        <v>54</v>
      </c>
      <c r="B263" s="66">
        <f t="shared" si="280"/>
        <v>3</v>
      </c>
      <c r="C263" s="167">
        <v>229</v>
      </c>
      <c r="D263" s="505">
        <v>238</v>
      </c>
      <c r="E263" s="62" t="s">
        <v>507</v>
      </c>
      <c r="F263" s="7" t="s">
        <v>508</v>
      </c>
      <c r="G263" s="423">
        <v>9</v>
      </c>
      <c r="H263" s="28" t="s">
        <v>823</v>
      </c>
      <c r="I263" s="10"/>
      <c r="J263" s="11"/>
      <c r="K263" s="105">
        <f>+(211690*100)/119</f>
        <v>177890.75630252101</v>
      </c>
      <c r="L263" s="121">
        <f>K263*G263</f>
        <v>1601016.8067226892</v>
      </c>
      <c r="M263" s="105">
        <f>+(269900*100)/119</f>
        <v>226806.72268907563</v>
      </c>
      <c r="N263" s="121">
        <f t="shared" si="273"/>
        <v>2041260.5042016807</v>
      </c>
      <c r="O263" s="105">
        <f>+(299900*100)/119</f>
        <v>252016.80672268907</v>
      </c>
      <c r="P263" s="121">
        <f t="shared" si="274"/>
        <v>2268151.2605042015</v>
      </c>
      <c r="Q263" s="165">
        <f t="shared" si="275"/>
        <v>218904.76190476189</v>
      </c>
      <c r="R263" s="166">
        <f t="shared" si="281"/>
        <v>1970142.857142857</v>
      </c>
      <c r="S263" s="222">
        <f t="shared" si="277"/>
        <v>30773.349681187457</v>
      </c>
      <c r="T263" s="223">
        <f t="shared" si="270"/>
        <v>0.1405787129225444</v>
      </c>
      <c r="U263" s="224">
        <f t="shared" si="278"/>
        <v>226806.72268907563</v>
      </c>
      <c r="V263" s="225">
        <f t="shared" si="282"/>
        <v>2041260.5042016807</v>
      </c>
      <c r="W263" s="149">
        <f t="shared" si="271"/>
        <v>0.13568094153617294</v>
      </c>
      <c r="X263" s="570" t="s">
        <v>103</v>
      </c>
      <c r="Y263" s="576" t="s">
        <v>262</v>
      </c>
      <c r="Z263" s="571" t="s">
        <v>509</v>
      </c>
    </row>
    <row r="264" spans="1:34" ht="90" x14ac:dyDescent="0.2">
      <c r="A264" s="63" t="s">
        <v>20</v>
      </c>
      <c r="B264" s="66">
        <f t="shared" si="280"/>
        <v>1</v>
      </c>
      <c r="C264" s="192">
        <v>230</v>
      </c>
      <c r="D264" s="73">
        <v>239</v>
      </c>
      <c r="E264" s="62" t="s">
        <v>510</v>
      </c>
      <c r="F264" s="7" t="s">
        <v>511</v>
      </c>
      <c r="G264" s="423">
        <v>1</v>
      </c>
      <c r="H264" s="28" t="s">
        <v>23</v>
      </c>
      <c r="I264" s="10">
        <v>1</v>
      </c>
      <c r="J264" s="11" t="s">
        <v>116</v>
      </c>
      <c r="K264" s="105">
        <f>3224001/30</f>
        <v>107466.7</v>
      </c>
      <c r="L264" s="106">
        <f>+K264*G264*I264</f>
        <v>107466.7</v>
      </c>
      <c r="M264" s="122"/>
      <c r="N264" s="123"/>
      <c r="O264" s="122"/>
      <c r="P264" s="123"/>
      <c r="Q264" s="165">
        <f>+AVERAGE(K264,M264,O264)</f>
        <v>107466.7</v>
      </c>
      <c r="R264" s="166">
        <f>+Q264*G264*I264</f>
        <v>107466.7</v>
      </c>
      <c r="S264" s="222">
        <f>_xlfn.STDEV.P(K264,M264,O264)</f>
        <v>0</v>
      </c>
      <c r="T264" s="223">
        <f t="shared" si="270"/>
        <v>0</v>
      </c>
      <c r="U264" s="224">
        <f>+MEDIAN(K264,M264,O264)</f>
        <v>107466.7</v>
      </c>
      <c r="V264" s="225">
        <f>+U264*G264*I264</f>
        <v>107466.7</v>
      </c>
      <c r="W264" s="149">
        <f t="shared" si="271"/>
        <v>0</v>
      </c>
      <c r="X264" s="316" t="s">
        <v>819</v>
      </c>
      <c r="Y264" s="137"/>
      <c r="Z264" s="138"/>
    </row>
    <row r="265" spans="1:34" ht="165" x14ac:dyDescent="0.2">
      <c r="A265" s="63" t="s">
        <v>54</v>
      </c>
      <c r="B265" s="66">
        <f t="shared" si="280"/>
        <v>3</v>
      </c>
      <c r="C265" s="192">
        <v>231</v>
      </c>
      <c r="D265" s="73">
        <v>240</v>
      </c>
      <c r="E265" s="62" t="s">
        <v>512</v>
      </c>
      <c r="F265" s="7" t="s">
        <v>513</v>
      </c>
      <c r="G265" s="423">
        <v>1</v>
      </c>
      <c r="H265" s="28" t="s">
        <v>57</v>
      </c>
      <c r="I265" s="10">
        <v>1</v>
      </c>
      <c r="J265" s="11" t="s">
        <v>116</v>
      </c>
      <c r="K265" s="105">
        <v>1025000</v>
      </c>
      <c r="L265" s="121">
        <f t="shared" ref="L265" si="283">+K265*G265*I265</f>
        <v>1025000</v>
      </c>
      <c r="M265" s="105">
        <v>985000</v>
      </c>
      <c r="N265" s="121">
        <f>+M265*I265*G265</f>
        <v>985000</v>
      </c>
      <c r="O265" s="105">
        <v>1250000</v>
      </c>
      <c r="P265" s="121">
        <f>+O265*I265*G265</f>
        <v>1250000</v>
      </c>
      <c r="Q265" s="165">
        <f>+AVERAGE(K265,M265,O265)</f>
        <v>1086666.6666666667</v>
      </c>
      <c r="R265" s="166">
        <f>+Q265*G265*I265</f>
        <v>1086666.6666666667</v>
      </c>
      <c r="S265" s="222">
        <f>_xlfn.STDEV.P(M265,O265)</f>
        <v>132500</v>
      </c>
      <c r="T265" s="223">
        <f t="shared" si="270"/>
        <v>0.1219325153374233</v>
      </c>
      <c r="U265" s="224">
        <f>+MEDIAN(M265,O265)</f>
        <v>1117500</v>
      </c>
      <c r="V265" s="225">
        <f>+U265*G265*I265</f>
        <v>1117500</v>
      </c>
      <c r="W265" s="149">
        <f t="shared" si="271"/>
        <v>0.11856823266219239</v>
      </c>
      <c r="X265" s="137" t="s">
        <v>932</v>
      </c>
      <c r="Y265" s="137" t="s">
        <v>933</v>
      </c>
      <c r="Z265" s="138" t="s">
        <v>752</v>
      </c>
    </row>
    <row r="266" spans="1:34" ht="60" x14ac:dyDescent="0.2">
      <c r="A266" s="63" t="s">
        <v>20</v>
      </c>
      <c r="B266" s="66">
        <f t="shared" si="280"/>
        <v>1</v>
      </c>
      <c r="C266" s="192">
        <v>232</v>
      </c>
      <c r="D266" s="73">
        <v>241</v>
      </c>
      <c r="E266" s="62" t="s">
        <v>514</v>
      </c>
      <c r="F266" s="7" t="s">
        <v>515</v>
      </c>
      <c r="G266" s="423">
        <v>1</v>
      </c>
      <c r="H266" s="28" t="s">
        <v>23</v>
      </c>
      <c r="I266" s="10">
        <v>1</v>
      </c>
      <c r="J266" s="11" t="s">
        <v>116</v>
      </c>
      <c r="K266" s="105">
        <f>5114001/30</f>
        <v>170466.7</v>
      </c>
      <c r="L266" s="106">
        <f>+K266*G266*I266</f>
        <v>170466.7</v>
      </c>
      <c r="M266" s="122"/>
      <c r="N266" s="123"/>
      <c r="O266" s="122"/>
      <c r="P266" s="123"/>
      <c r="Q266" s="165">
        <f>+AVERAGE(K266,M266,O266)</f>
        <v>170466.7</v>
      </c>
      <c r="R266" s="166">
        <f>+Q266*G266*I266</f>
        <v>170466.7</v>
      </c>
      <c r="S266" s="222">
        <f>_xlfn.STDEV.P(K266,M266,O266)</f>
        <v>0</v>
      </c>
      <c r="T266" s="223">
        <f t="shared" si="270"/>
        <v>0</v>
      </c>
      <c r="U266" s="224">
        <f>+MEDIAN(K266,M266,O266)</f>
        <v>170466.7</v>
      </c>
      <c r="V266" s="225">
        <f>+U266*G266*I266</f>
        <v>170466.7</v>
      </c>
      <c r="W266" s="149">
        <f t="shared" si="271"/>
        <v>0</v>
      </c>
      <c r="X266" s="316" t="s">
        <v>819</v>
      </c>
      <c r="Y266" s="137"/>
      <c r="Z266" s="138"/>
    </row>
    <row r="267" spans="1:34" ht="180" x14ac:dyDescent="0.2">
      <c r="A267" s="63" t="s">
        <v>54</v>
      </c>
      <c r="B267" s="66">
        <f t="shared" si="280"/>
        <v>3</v>
      </c>
      <c r="C267" s="192">
        <v>233</v>
      </c>
      <c r="D267" s="73">
        <v>242</v>
      </c>
      <c r="E267" s="62" t="s">
        <v>516</v>
      </c>
      <c r="F267" s="7" t="s">
        <v>517</v>
      </c>
      <c r="G267" s="423">
        <v>1</v>
      </c>
      <c r="H267" s="28" t="s">
        <v>57</v>
      </c>
      <c r="I267" s="10">
        <v>1</v>
      </c>
      <c r="J267" s="11" t="s">
        <v>116</v>
      </c>
      <c r="K267" s="105">
        <f>+(1428000*100)/119</f>
        <v>1200000</v>
      </c>
      <c r="L267" s="121">
        <f t="shared" ref="L267" si="284">+K267*G267*I267</f>
        <v>1200000</v>
      </c>
      <c r="M267" s="105">
        <v>3200000</v>
      </c>
      <c r="N267" s="121">
        <f>+M267*I267*G267</f>
        <v>3200000</v>
      </c>
      <c r="O267" s="105">
        <v>3300000</v>
      </c>
      <c r="P267" s="121">
        <f>+O267*I267*G267</f>
        <v>3300000</v>
      </c>
      <c r="Q267" s="165">
        <f t="shared" ref="Q267:Q268" si="285">+AVERAGE(K267,M267,O267)</f>
        <v>2566666.6666666665</v>
      </c>
      <c r="R267" s="166">
        <f t="shared" ref="R267" si="286">+Q267*G267*I267</f>
        <v>2566666.6666666665</v>
      </c>
      <c r="S267" s="222">
        <f t="shared" ref="S267:S268" si="287">_xlfn.STDEV.P(K267,M267,O267)</f>
        <v>967241.20856979385</v>
      </c>
      <c r="T267" s="223">
        <f t="shared" si="270"/>
        <v>0.37684722411810151</v>
      </c>
      <c r="U267" s="224">
        <f t="shared" ref="U267:U268" si="288">+MEDIAN(K267,M267,O267)</f>
        <v>3200000</v>
      </c>
      <c r="V267" s="225">
        <f t="shared" ref="V267" si="289">+U267*G267*I267</f>
        <v>3200000</v>
      </c>
      <c r="W267" s="149">
        <f t="shared" si="271"/>
        <v>0.30226287767806059</v>
      </c>
      <c r="X267" s="137" t="s">
        <v>727</v>
      </c>
      <c r="Y267" s="137" t="s">
        <v>753</v>
      </c>
      <c r="Z267" s="138" t="s">
        <v>752</v>
      </c>
    </row>
    <row r="268" spans="1:34" ht="34" x14ac:dyDescent="0.2">
      <c r="A268" s="63" t="s">
        <v>54</v>
      </c>
      <c r="B268" s="66">
        <f t="shared" si="280"/>
        <v>3</v>
      </c>
      <c r="C268" s="192">
        <v>234</v>
      </c>
      <c r="D268" s="73">
        <v>243</v>
      </c>
      <c r="E268" s="62" t="s">
        <v>518</v>
      </c>
      <c r="F268" s="7" t="s">
        <v>801</v>
      </c>
      <c r="G268" s="423">
        <v>42</v>
      </c>
      <c r="H268" s="28" t="s">
        <v>802</v>
      </c>
      <c r="I268" s="10"/>
      <c r="J268" s="11"/>
      <c r="K268" s="105">
        <v>18790</v>
      </c>
      <c r="L268" s="121">
        <f>K268*G268</f>
        <v>789180</v>
      </c>
      <c r="M268" s="105">
        <f>+(16462*100)/119</f>
        <v>13833.613445378151</v>
      </c>
      <c r="N268" s="121">
        <f>G268*M268</f>
        <v>581011.76470588229</v>
      </c>
      <c r="O268" s="105">
        <f>+(16390*100)/119</f>
        <v>13773.10924369748</v>
      </c>
      <c r="P268" s="121">
        <f>G268*O268</f>
        <v>578470.5882352941</v>
      </c>
      <c r="Q268" s="165">
        <f t="shared" si="285"/>
        <v>15465.574229691876</v>
      </c>
      <c r="R268" s="166">
        <f>+Q268*G268</f>
        <v>649554.1176470588</v>
      </c>
      <c r="S268" s="222">
        <f t="shared" si="287"/>
        <v>2350.853776300838</v>
      </c>
      <c r="T268" s="223">
        <f t="shared" si="270"/>
        <v>0.15200559263991031</v>
      </c>
      <c r="U268" s="224">
        <f t="shared" si="288"/>
        <v>13833.613445378151</v>
      </c>
      <c r="V268" s="225">
        <f>+U268*G268</f>
        <v>581011.76470588229</v>
      </c>
      <c r="W268" s="149">
        <f t="shared" si="271"/>
        <v>0.16993779575981033</v>
      </c>
      <c r="X268" s="139" t="s">
        <v>519</v>
      </c>
      <c r="Y268" s="137" t="s">
        <v>520</v>
      </c>
      <c r="Z268" s="138" t="s">
        <v>521</v>
      </c>
    </row>
    <row r="269" spans="1:34" ht="76" thickBot="1" x14ac:dyDescent="0.25">
      <c r="A269" s="276" t="s">
        <v>54</v>
      </c>
      <c r="B269" s="82">
        <f t="shared" si="280"/>
        <v>3</v>
      </c>
      <c r="C269" s="167">
        <v>235</v>
      </c>
      <c r="D269" s="505">
        <v>244</v>
      </c>
      <c r="E269" s="280" t="s">
        <v>522</v>
      </c>
      <c r="F269" s="87" t="s">
        <v>523</v>
      </c>
      <c r="G269" s="415">
        <v>1</v>
      </c>
      <c r="H269" s="29" t="s">
        <v>57</v>
      </c>
      <c r="I269" s="89"/>
      <c r="J269" s="90"/>
      <c r="K269" s="107">
        <f>+(23800000*100)/119</f>
        <v>20000000</v>
      </c>
      <c r="L269" s="150">
        <f>K269*G269</f>
        <v>20000000</v>
      </c>
      <c r="M269" s="107">
        <f>+(23800000*100)/119</f>
        <v>20000000</v>
      </c>
      <c r="N269" s="150">
        <f>G269*M269</f>
        <v>20000000</v>
      </c>
      <c r="O269" s="107">
        <f>+(23800000*100)/119</f>
        <v>20000000</v>
      </c>
      <c r="P269" s="150">
        <f>G269*O269</f>
        <v>20000000</v>
      </c>
      <c r="Q269" s="318">
        <f>+AVERAGE(K269,M269,O269)</f>
        <v>20000000</v>
      </c>
      <c r="R269" s="310">
        <f>+Q269*G269</f>
        <v>20000000</v>
      </c>
      <c r="S269" s="311">
        <f>_xlfn.STDEV.P(K269,M269,O269)</f>
        <v>0</v>
      </c>
      <c r="T269" s="312">
        <f t="shared" si="270"/>
        <v>0</v>
      </c>
      <c r="U269" s="313">
        <f>+MEDIAN(K269,M269,O269)</f>
        <v>20000000</v>
      </c>
      <c r="V269" s="314">
        <f>+U269*G269</f>
        <v>20000000</v>
      </c>
      <c r="W269" s="315">
        <f t="shared" si="271"/>
        <v>0</v>
      </c>
      <c r="X269" s="141"/>
      <c r="Y269" s="153"/>
      <c r="Z269" s="154"/>
    </row>
    <row r="270" spans="1:34" s="211" customFormat="1" ht="20" thickBot="1" x14ac:dyDescent="0.25">
      <c r="A270" s="58">
        <v>1</v>
      </c>
      <c r="B270" s="284"/>
      <c r="C270" s="284"/>
      <c r="D270" s="72"/>
      <c r="E270" s="59"/>
      <c r="F270" s="405" t="s">
        <v>524</v>
      </c>
      <c r="G270" s="60"/>
      <c r="H270" s="60"/>
      <c r="I270" s="60"/>
      <c r="J270" s="60"/>
      <c r="K270" s="285"/>
      <c r="L270" s="285"/>
      <c r="M270" s="285"/>
      <c r="N270" s="285"/>
      <c r="O270" s="285"/>
      <c r="P270" s="285"/>
      <c r="Q270" s="285"/>
      <c r="R270" s="285"/>
      <c r="S270" s="286"/>
      <c r="T270" s="287"/>
      <c r="U270" s="285"/>
      <c r="V270" s="288"/>
      <c r="W270" s="287"/>
      <c r="X270" s="601"/>
      <c r="Y270" s="601"/>
      <c r="Z270" s="602"/>
      <c r="AD270" s="198"/>
      <c r="AE270" s="198"/>
      <c r="AF270" s="198"/>
      <c r="AG270" s="198"/>
      <c r="AH270" s="198"/>
    </row>
    <row r="271" spans="1:34" ht="51" x14ac:dyDescent="0.2">
      <c r="A271" s="102" t="s">
        <v>20</v>
      </c>
      <c r="B271" s="192">
        <f t="shared" si="280"/>
        <v>1</v>
      </c>
      <c r="C271" s="192">
        <v>236</v>
      </c>
      <c r="D271" s="282">
        <v>246</v>
      </c>
      <c r="E271" s="283" t="s">
        <v>525</v>
      </c>
      <c r="F271" s="95" t="s">
        <v>525</v>
      </c>
      <c r="G271" s="281">
        <v>1</v>
      </c>
      <c r="H271" s="83" t="s">
        <v>23</v>
      </c>
      <c r="I271" s="97">
        <v>1</v>
      </c>
      <c r="J271" s="98" t="s">
        <v>116</v>
      </c>
      <c r="K271" s="108">
        <f>5114001/30</f>
        <v>170466.7</v>
      </c>
      <c r="L271" s="151">
        <f t="shared" ref="L271:L276" si="290">+K271*G271*I271</f>
        <v>170466.7</v>
      </c>
      <c r="M271" s="126"/>
      <c r="N271" s="127"/>
      <c r="O271" s="411"/>
      <c r="P271" s="412"/>
      <c r="Q271" s="175">
        <f>+AVERAGE(K271,M271,O271)</f>
        <v>170466.7</v>
      </c>
      <c r="R271" s="176">
        <f t="shared" ref="R271:R273" si="291">+Q271*G271*I271</f>
        <v>170466.7</v>
      </c>
      <c r="S271" s="128">
        <f>_xlfn.STDEV.P(K271,M271,O271)</f>
        <v>0</v>
      </c>
      <c r="T271" s="177">
        <f t="shared" ref="T271:T284" si="292">+S271/Q271</f>
        <v>0</v>
      </c>
      <c r="U271" s="178">
        <f>+MEDIAN(K271,M271,O271)</f>
        <v>170466.7</v>
      </c>
      <c r="V271" s="179">
        <f t="shared" ref="V271:V273" si="293">+U271*G271*I271</f>
        <v>170466.7</v>
      </c>
      <c r="W271" s="180">
        <f t="shared" ref="W271:W284" si="294">+S271/U271</f>
        <v>0</v>
      </c>
      <c r="X271" s="152" t="s">
        <v>819</v>
      </c>
      <c r="Y271" s="118"/>
      <c r="Z271" s="119"/>
    </row>
    <row r="272" spans="1:34" ht="60" x14ac:dyDescent="0.2">
      <c r="A272" s="63" t="s">
        <v>20</v>
      </c>
      <c r="B272" s="66">
        <f t="shared" si="280"/>
        <v>1</v>
      </c>
      <c r="C272" s="66">
        <v>237</v>
      </c>
      <c r="D272" s="75">
        <v>247</v>
      </c>
      <c r="E272" s="74" t="s">
        <v>526</v>
      </c>
      <c r="F272" s="7" t="s">
        <v>527</v>
      </c>
      <c r="G272" s="423">
        <v>1</v>
      </c>
      <c r="H272" s="28" t="s">
        <v>23</v>
      </c>
      <c r="I272" s="10">
        <v>1</v>
      </c>
      <c r="J272" s="11" t="s">
        <v>116</v>
      </c>
      <c r="K272" s="105">
        <f>5114001/30</f>
        <v>170466.7</v>
      </c>
      <c r="L272" s="106">
        <f t="shared" si="290"/>
        <v>170466.7</v>
      </c>
      <c r="M272" s="122"/>
      <c r="N272" s="123"/>
      <c r="O272" s="413"/>
      <c r="P272" s="414"/>
      <c r="Q272" s="129">
        <f>+AVERAGE(K272,M272,O272)</f>
        <v>170466.7</v>
      </c>
      <c r="R272" s="130">
        <f t="shared" si="291"/>
        <v>170466.7</v>
      </c>
      <c r="S272" s="128">
        <f>_xlfn.STDEV.P(K272,M272,O272)</f>
        <v>0</v>
      </c>
      <c r="T272" s="131">
        <f t="shared" si="292"/>
        <v>0</v>
      </c>
      <c r="U272" s="132">
        <f>+MEDIAN(K272,M272,O272)</f>
        <v>170466.7</v>
      </c>
      <c r="V272" s="133">
        <f t="shared" si="293"/>
        <v>170466.7</v>
      </c>
      <c r="W272" s="134">
        <f t="shared" si="294"/>
        <v>0</v>
      </c>
      <c r="X272" s="142" t="s">
        <v>819</v>
      </c>
      <c r="Y272" s="114"/>
      <c r="Z272" s="115"/>
    </row>
    <row r="273" spans="1:26" ht="90" x14ac:dyDescent="0.2">
      <c r="A273" s="63" t="s">
        <v>20</v>
      </c>
      <c r="B273" s="66">
        <f t="shared" si="280"/>
        <v>1</v>
      </c>
      <c r="C273" s="192">
        <v>238</v>
      </c>
      <c r="D273" s="75">
        <v>248</v>
      </c>
      <c r="E273" s="74" t="s">
        <v>78</v>
      </c>
      <c r="F273" s="7" t="s">
        <v>79</v>
      </c>
      <c r="G273" s="423">
        <v>1</v>
      </c>
      <c r="H273" s="28" t="s">
        <v>23</v>
      </c>
      <c r="I273" s="10">
        <v>1</v>
      </c>
      <c r="J273" s="11" t="s">
        <v>116</v>
      </c>
      <c r="K273" s="105">
        <f>1602000/30</f>
        <v>53400</v>
      </c>
      <c r="L273" s="106">
        <f t="shared" si="290"/>
        <v>53400</v>
      </c>
      <c r="M273" s="122"/>
      <c r="N273" s="123"/>
      <c r="O273" s="122"/>
      <c r="P273" s="123"/>
      <c r="Q273" s="165">
        <f>+AVERAGE(K273,M273,O273)</f>
        <v>53400</v>
      </c>
      <c r="R273" s="166">
        <f t="shared" si="291"/>
        <v>53400</v>
      </c>
      <c r="S273" s="222">
        <f>_xlfn.STDEV.P(K273,M273,O273)</f>
        <v>0</v>
      </c>
      <c r="T273" s="223">
        <f t="shared" si="292"/>
        <v>0</v>
      </c>
      <c r="U273" s="224">
        <f>+MEDIAN(K273,M273,O273)</f>
        <v>53400</v>
      </c>
      <c r="V273" s="225">
        <f t="shared" si="293"/>
        <v>53400</v>
      </c>
      <c r="W273" s="149">
        <f t="shared" si="294"/>
        <v>0</v>
      </c>
      <c r="X273" s="142" t="s">
        <v>819</v>
      </c>
      <c r="Y273" s="114"/>
      <c r="Z273" s="115"/>
    </row>
    <row r="274" spans="1:26" ht="60" x14ac:dyDescent="0.2">
      <c r="A274" s="63" t="s">
        <v>20</v>
      </c>
      <c r="B274" s="66">
        <f t="shared" si="280"/>
        <v>3</v>
      </c>
      <c r="C274" s="66">
        <v>239</v>
      </c>
      <c r="D274" s="75">
        <v>249</v>
      </c>
      <c r="E274" s="74" t="s">
        <v>528</v>
      </c>
      <c r="F274" s="7" t="s">
        <v>529</v>
      </c>
      <c r="G274" s="423">
        <v>1</v>
      </c>
      <c r="H274" s="28" t="s">
        <v>23</v>
      </c>
      <c r="I274" s="10">
        <v>1</v>
      </c>
      <c r="J274" s="11" t="s">
        <v>116</v>
      </c>
      <c r="K274" s="105">
        <f>+(1000000*100)/119</f>
        <v>840336.13445378153</v>
      </c>
      <c r="L274" s="121">
        <f t="shared" si="290"/>
        <v>840336.13445378153</v>
      </c>
      <c r="M274" s="105">
        <f>+(600000*100)/119</f>
        <v>504201.68067226891</v>
      </c>
      <c r="N274" s="148">
        <f t="shared" ref="N274:N276" si="295">+M274*I274*G274</f>
        <v>504201.68067226891</v>
      </c>
      <c r="O274" s="105">
        <v>588235</v>
      </c>
      <c r="P274" s="148">
        <f t="shared" ref="P274:P276" si="296">+O274*I274*G274</f>
        <v>588235</v>
      </c>
      <c r="Q274" s="165">
        <f t="shared" ref="Q274:Q284" si="297">+AVERAGE(K274,M274,O274)</f>
        <v>644257.60504201683</v>
      </c>
      <c r="R274" s="166">
        <f t="shared" ref="R274:R276" si="298">+Q274*G274*I274</f>
        <v>644257.60504201683</v>
      </c>
      <c r="S274" s="222">
        <f t="shared" ref="S274:S284" si="299">_xlfn.STDEV.P(K274,M274,O274)</f>
        <v>142829.71670610475</v>
      </c>
      <c r="T274" s="223">
        <f t="shared" si="292"/>
        <v>0.22169659401504427</v>
      </c>
      <c r="U274" s="224">
        <f t="shared" ref="U274:U284" si="300">+MEDIAN(K274,M274,O274)</f>
        <v>588235</v>
      </c>
      <c r="V274" s="225">
        <f t="shared" ref="V274:V276" si="301">+U274*G274*I274</f>
        <v>588235</v>
      </c>
      <c r="W274" s="149">
        <f t="shared" si="294"/>
        <v>0.24281063980569798</v>
      </c>
      <c r="X274" s="139" t="s">
        <v>803</v>
      </c>
      <c r="Y274" s="137" t="s">
        <v>804</v>
      </c>
      <c r="Z274" s="138" t="s">
        <v>904</v>
      </c>
    </row>
    <row r="275" spans="1:26" ht="60" x14ac:dyDescent="0.2">
      <c r="A275" s="63" t="s">
        <v>20</v>
      </c>
      <c r="B275" s="66">
        <f t="shared" si="280"/>
        <v>3</v>
      </c>
      <c r="C275" s="192">
        <v>240</v>
      </c>
      <c r="D275" s="75">
        <v>250</v>
      </c>
      <c r="E275" s="74" t="s">
        <v>528</v>
      </c>
      <c r="F275" s="7" t="s">
        <v>530</v>
      </c>
      <c r="G275" s="423">
        <v>1</v>
      </c>
      <c r="H275" s="28" t="s">
        <v>23</v>
      </c>
      <c r="I275" s="10">
        <v>1</v>
      </c>
      <c r="J275" s="11" t="s">
        <v>116</v>
      </c>
      <c r="K275" s="105">
        <f>+(1000000*100)/119</f>
        <v>840336.13445378153</v>
      </c>
      <c r="L275" s="121">
        <f t="shared" si="290"/>
        <v>840336.13445378153</v>
      </c>
      <c r="M275" s="105">
        <f>+(600000*100)/119</f>
        <v>504201.68067226891</v>
      </c>
      <c r="N275" s="148">
        <f t="shared" si="295"/>
        <v>504201.68067226891</v>
      </c>
      <c r="O275" s="105">
        <v>588235</v>
      </c>
      <c r="P275" s="148">
        <f t="shared" si="296"/>
        <v>588235</v>
      </c>
      <c r="Q275" s="165">
        <f t="shared" si="297"/>
        <v>644257.60504201683</v>
      </c>
      <c r="R275" s="166">
        <f t="shared" si="298"/>
        <v>644257.60504201683</v>
      </c>
      <c r="S275" s="222">
        <f t="shared" si="299"/>
        <v>142829.71670610475</v>
      </c>
      <c r="T275" s="223">
        <f t="shared" si="292"/>
        <v>0.22169659401504427</v>
      </c>
      <c r="U275" s="224">
        <f t="shared" si="300"/>
        <v>588235</v>
      </c>
      <c r="V275" s="225">
        <f t="shared" si="301"/>
        <v>588235</v>
      </c>
      <c r="W275" s="149">
        <f t="shared" si="294"/>
        <v>0.24281063980569798</v>
      </c>
      <c r="X275" s="139" t="s">
        <v>803</v>
      </c>
      <c r="Y275" s="137" t="s">
        <v>804</v>
      </c>
      <c r="Z275" s="138" t="s">
        <v>904</v>
      </c>
    </row>
    <row r="276" spans="1:26" ht="60" x14ac:dyDescent="0.2">
      <c r="A276" s="63" t="s">
        <v>54</v>
      </c>
      <c r="B276" s="66">
        <f t="shared" si="280"/>
        <v>3</v>
      </c>
      <c r="C276" s="66">
        <v>241</v>
      </c>
      <c r="D276" s="75">
        <v>251</v>
      </c>
      <c r="E276" s="74" t="s">
        <v>531</v>
      </c>
      <c r="F276" s="7" t="s">
        <v>721</v>
      </c>
      <c r="G276" s="423">
        <v>1</v>
      </c>
      <c r="H276" s="28" t="s">
        <v>23</v>
      </c>
      <c r="I276" s="10">
        <v>1</v>
      </c>
      <c r="J276" s="11" t="s">
        <v>116</v>
      </c>
      <c r="K276" s="105">
        <v>0</v>
      </c>
      <c r="L276" s="121">
        <f t="shared" si="290"/>
        <v>0</v>
      </c>
      <c r="M276" s="105">
        <v>700000</v>
      </c>
      <c r="N276" s="148">
        <f t="shared" si="295"/>
        <v>700000</v>
      </c>
      <c r="O276" s="105">
        <v>750000</v>
      </c>
      <c r="P276" s="148">
        <f t="shared" si="296"/>
        <v>750000</v>
      </c>
      <c r="Q276" s="165">
        <f>+AVERAGE(M276,O276)</f>
        <v>725000</v>
      </c>
      <c r="R276" s="166">
        <f t="shared" si="298"/>
        <v>725000</v>
      </c>
      <c r="S276" s="222">
        <f>_xlfn.STDEV.P(M276,O276)</f>
        <v>25000</v>
      </c>
      <c r="T276" s="223">
        <f t="shared" si="292"/>
        <v>3.4482758620689655E-2</v>
      </c>
      <c r="U276" s="224">
        <f t="shared" si="300"/>
        <v>700000</v>
      </c>
      <c r="V276" s="225">
        <f t="shared" si="301"/>
        <v>700000</v>
      </c>
      <c r="W276" s="149">
        <f>+S276/U276</f>
        <v>3.5714285714285712E-2</v>
      </c>
      <c r="X276" s="139"/>
      <c r="Y276" s="137" t="s">
        <v>759</v>
      </c>
      <c r="Z276" s="138" t="s">
        <v>752</v>
      </c>
    </row>
    <row r="277" spans="1:26" ht="51" x14ac:dyDescent="0.2">
      <c r="A277" s="63" t="s">
        <v>54</v>
      </c>
      <c r="B277" s="66">
        <f t="shared" si="280"/>
        <v>3</v>
      </c>
      <c r="C277" s="192">
        <v>242</v>
      </c>
      <c r="D277" s="75">
        <v>252</v>
      </c>
      <c r="E277" s="74" t="s">
        <v>532</v>
      </c>
      <c r="F277" s="7" t="s">
        <v>533</v>
      </c>
      <c r="G277" s="423">
        <v>70</v>
      </c>
      <c r="H277" s="28" t="s">
        <v>57</v>
      </c>
      <c r="I277" s="10"/>
      <c r="J277" s="11"/>
      <c r="K277" s="105">
        <f>+(14280*100)/119</f>
        <v>12000</v>
      </c>
      <c r="L277" s="121">
        <f t="shared" ref="L277:L284" si="302">K277*G277</f>
        <v>840000</v>
      </c>
      <c r="M277" s="105">
        <v>9000</v>
      </c>
      <c r="N277" s="121">
        <f t="shared" ref="N277:N284" si="303">G277*M277</f>
        <v>630000</v>
      </c>
      <c r="O277" s="105">
        <v>15000</v>
      </c>
      <c r="P277" s="121">
        <f t="shared" ref="P277:P284" si="304">G277*O277</f>
        <v>1050000</v>
      </c>
      <c r="Q277" s="165">
        <f t="shared" si="297"/>
        <v>12000</v>
      </c>
      <c r="R277" s="166">
        <f t="shared" ref="R277:R282" si="305">+Q277*G277</f>
        <v>840000</v>
      </c>
      <c r="S277" s="222">
        <f t="shared" si="299"/>
        <v>2449.4897427831779</v>
      </c>
      <c r="T277" s="223">
        <f t="shared" si="292"/>
        <v>0.20412414523193148</v>
      </c>
      <c r="U277" s="224">
        <f t="shared" si="300"/>
        <v>12000</v>
      </c>
      <c r="V277" s="225">
        <f t="shared" ref="V277:V282" si="306">+U277*G277</f>
        <v>840000</v>
      </c>
      <c r="W277" s="149">
        <f t="shared" si="294"/>
        <v>0.20412414523193148</v>
      </c>
      <c r="X277" s="139" t="s">
        <v>788</v>
      </c>
      <c r="Y277" s="137" t="s">
        <v>759</v>
      </c>
      <c r="Z277" s="138" t="s">
        <v>752</v>
      </c>
    </row>
    <row r="278" spans="1:26" ht="51" x14ac:dyDescent="0.2">
      <c r="A278" s="63" t="s">
        <v>54</v>
      </c>
      <c r="B278" s="66">
        <f t="shared" si="280"/>
        <v>3</v>
      </c>
      <c r="C278" s="66">
        <v>243</v>
      </c>
      <c r="D278" s="75">
        <v>253</v>
      </c>
      <c r="E278" s="74" t="s">
        <v>534</v>
      </c>
      <c r="F278" s="7" t="s">
        <v>535</v>
      </c>
      <c r="G278" s="423">
        <v>20</v>
      </c>
      <c r="H278" s="28" t="s">
        <v>536</v>
      </c>
      <c r="I278" s="10"/>
      <c r="J278" s="11"/>
      <c r="K278" s="105">
        <f>+(27900*100)/119</f>
        <v>23445.378151260506</v>
      </c>
      <c r="L278" s="121">
        <f t="shared" si="302"/>
        <v>468907.56302521011</v>
      </c>
      <c r="M278" s="105">
        <v>28000</v>
      </c>
      <c r="N278" s="148">
        <f t="shared" si="303"/>
        <v>560000</v>
      </c>
      <c r="O278" s="105">
        <v>40000</v>
      </c>
      <c r="P278" s="148">
        <f t="shared" si="304"/>
        <v>800000</v>
      </c>
      <c r="Q278" s="165">
        <f>+AVERAGE(K278,M278,O278)</f>
        <v>30481.792717086835</v>
      </c>
      <c r="R278" s="166">
        <f>+Q278*G278</f>
        <v>609635.85434173676</v>
      </c>
      <c r="S278" s="222">
        <f>_xlfn.STDEV.P(K278,M278,O278)</f>
        <v>6982.5185263690064</v>
      </c>
      <c r="T278" s="223">
        <f>+S278/Q278</f>
        <v>0.22907178036332801</v>
      </c>
      <c r="U278" s="224">
        <f>+MEDIAN(K278,M278,O278)</f>
        <v>28000</v>
      </c>
      <c r="V278" s="225">
        <f>+U278*G278</f>
        <v>560000</v>
      </c>
      <c r="W278" s="149">
        <f>+S278/U278</f>
        <v>0.24937566165603595</v>
      </c>
      <c r="X278" s="139" t="s">
        <v>261</v>
      </c>
      <c r="Y278" s="137" t="s">
        <v>759</v>
      </c>
      <c r="Z278" s="138" t="s">
        <v>752</v>
      </c>
    </row>
    <row r="279" spans="1:26" ht="30" x14ac:dyDescent="0.2">
      <c r="A279" s="63" t="s">
        <v>54</v>
      </c>
      <c r="B279" s="66">
        <f t="shared" si="280"/>
        <v>3</v>
      </c>
      <c r="C279" s="192">
        <v>244</v>
      </c>
      <c r="D279" s="75">
        <v>254</v>
      </c>
      <c r="E279" s="74" t="s">
        <v>537</v>
      </c>
      <c r="F279" s="7" t="s">
        <v>538</v>
      </c>
      <c r="G279" s="423">
        <v>25</v>
      </c>
      <c r="H279" s="28" t="s">
        <v>57</v>
      </c>
      <c r="I279" s="10"/>
      <c r="J279" s="11"/>
      <c r="K279" s="105">
        <f>+(52900*100)/119</f>
        <v>44453.781512605041</v>
      </c>
      <c r="L279" s="121">
        <f t="shared" si="302"/>
        <v>1111344.5378151261</v>
      </c>
      <c r="M279" s="105">
        <f>+(43900*100)/119</f>
        <v>36890.756302521011</v>
      </c>
      <c r="N279" s="121">
        <f t="shared" si="303"/>
        <v>922268.90756302525</v>
      </c>
      <c r="O279" s="105">
        <v>50000</v>
      </c>
      <c r="P279" s="121">
        <f t="shared" si="304"/>
        <v>1250000</v>
      </c>
      <c r="Q279" s="165">
        <f t="shared" si="297"/>
        <v>43781.512605042022</v>
      </c>
      <c r="R279" s="166">
        <f t="shared" si="305"/>
        <v>1094537.8151260505</v>
      </c>
      <c r="S279" s="222">
        <f t="shared" si="299"/>
        <v>5372.8965926540368</v>
      </c>
      <c r="T279" s="223">
        <f t="shared" si="292"/>
        <v>0.12272067073432444</v>
      </c>
      <c r="U279" s="224">
        <f t="shared" si="300"/>
        <v>44453.781512605041</v>
      </c>
      <c r="V279" s="225">
        <f t="shared" si="306"/>
        <v>1111344.5378151261</v>
      </c>
      <c r="W279" s="149">
        <f t="shared" si="294"/>
        <v>0.12086478157388099</v>
      </c>
      <c r="X279" s="139" t="s">
        <v>261</v>
      </c>
      <c r="Y279" s="137" t="s">
        <v>747</v>
      </c>
      <c r="Z279" s="138" t="s">
        <v>752</v>
      </c>
    </row>
    <row r="280" spans="1:26" ht="51" x14ac:dyDescent="0.2">
      <c r="A280" s="63" t="s">
        <v>54</v>
      </c>
      <c r="B280" s="66">
        <f t="shared" si="280"/>
        <v>3</v>
      </c>
      <c r="C280" s="66">
        <v>245</v>
      </c>
      <c r="D280" s="75">
        <v>255</v>
      </c>
      <c r="E280" s="74" t="s">
        <v>539</v>
      </c>
      <c r="F280" s="7" t="s">
        <v>540</v>
      </c>
      <c r="G280" s="423">
        <v>10</v>
      </c>
      <c r="H280" s="28" t="s">
        <v>536</v>
      </c>
      <c r="I280" s="10"/>
      <c r="J280" s="11"/>
      <c r="K280" s="105">
        <f>+(28900*100)/119</f>
        <v>24285.714285714286</v>
      </c>
      <c r="L280" s="121">
        <f t="shared" si="302"/>
        <v>242857.14285714287</v>
      </c>
      <c r="M280" s="105">
        <v>40000</v>
      </c>
      <c r="N280" s="121">
        <f t="shared" si="303"/>
        <v>400000</v>
      </c>
      <c r="O280" s="105">
        <v>30000</v>
      </c>
      <c r="P280" s="121">
        <f t="shared" si="304"/>
        <v>300000</v>
      </c>
      <c r="Q280" s="165">
        <f t="shared" si="297"/>
        <v>31428.571428571431</v>
      </c>
      <c r="R280" s="166">
        <f t="shared" si="305"/>
        <v>314285.71428571432</v>
      </c>
      <c r="S280" s="222">
        <f t="shared" si="299"/>
        <v>6494.3722366599122</v>
      </c>
      <c r="T280" s="223">
        <f t="shared" si="292"/>
        <v>0.20663911662099718</v>
      </c>
      <c r="U280" s="224">
        <f t="shared" si="300"/>
        <v>30000</v>
      </c>
      <c r="V280" s="225">
        <f t="shared" si="306"/>
        <v>300000</v>
      </c>
      <c r="W280" s="149">
        <f t="shared" si="294"/>
        <v>0.21647907455533041</v>
      </c>
      <c r="X280" s="139" t="s">
        <v>261</v>
      </c>
      <c r="Y280" s="137" t="s">
        <v>759</v>
      </c>
      <c r="Z280" s="138" t="s">
        <v>752</v>
      </c>
    </row>
    <row r="281" spans="1:26" ht="30" customHeight="1" x14ac:dyDescent="0.2">
      <c r="A281" s="63" t="s">
        <v>54</v>
      </c>
      <c r="B281" s="66">
        <f t="shared" si="280"/>
        <v>3</v>
      </c>
      <c r="C281" s="192">
        <v>246</v>
      </c>
      <c r="D281" s="75">
        <v>256</v>
      </c>
      <c r="E281" s="74" t="s">
        <v>541</v>
      </c>
      <c r="F281" s="7" t="s">
        <v>57</v>
      </c>
      <c r="G281" s="423">
        <v>70</v>
      </c>
      <c r="H281" s="28" t="s">
        <v>57</v>
      </c>
      <c r="I281" s="10"/>
      <c r="J281" s="11"/>
      <c r="K281" s="105">
        <f>+(49900*100)/119</f>
        <v>41932.773109243695</v>
      </c>
      <c r="L281" s="121">
        <f t="shared" si="302"/>
        <v>2935294.1176470588</v>
      </c>
      <c r="M281" s="105">
        <f>+(34990*100)/119</f>
        <v>29403.361344537814</v>
      </c>
      <c r="N281" s="121">
        <f t="shared" si="303"/>
        <v>2058235.294117647</v>
      </c>
      <c r="O281" s="105">
        <v>50000</v>
      </c>
      <c r="P281" s="121">
        <f t="shared" si="304"/>
        <v>3500000</v>
      </c>
      <c r="Q281" s="165">
        <f t="shared" si="297"/>
        <v>40445.378151260498</v>
      </c>
      <c r="R281" s="166">
        <f t="shared" si="305"/>
        <v>2831176.4705882347</v>
      </c>
      <c r="S281" s="222">
        <f t="shared" si="299"/>
        <v>8474.0639127750819</v>
      </c>
      <c r="T281" s="223">
        <f t="shared" si="292"/>
        <v>0.20951872130069291</v>
      </c>
      <c r="U281" s="224">
        <f t="shared" si="300"/>
        <v>41932.773109243695</v>
      </c>
      <c r="V281" s="225">
        <f t="shared" si="306"/>
        <v>2935294.1176470588</v>
      </c>
      <c r="W281" s="149">
        <f t="shared" si="294"/>
        <v>0.20208689491387472</v>
      </c>
      <c r="X281" s="139" t="s">
        <v>261</v>
      </c>
      <c r="Y281" s="137" t="s">
        <v>898</v>
      </c>
      <c r="Z281" s="138" t="s">
        <v>752</v>
      </c>
    </row>
    <row r="282" spans="1:26" ht="51" x14ac:dyDescent="0.2">
      <c r="A282" s="63" t="s">
        <v>54</v>
      </c>
      <c r="B282" s="66">
        <f t="shared" si="280"/>
        <v>3</v>
      </c>
      <c r="C282" s="66">
        <v>247</v>
      </c>
      <c r="D282" s="75">
        <v>257</v>
      </c>
      <c r="E282" s="74" t="s">
        <v>542</v>
      </c>
      <c r="F282" s="7" t="s">
        <v>540</v>
      </c>
      <c r="G282" s="423">
        <v>10</v>
      </c>
      <c r="H282" s="28" t="s">
        <v>57</v>
      </c>
      <c r="I282" s="10"/>
      <c r="J282" s="11"/>
      <c r="K282" s="105">
        <f>+(42000*100)/119</f>
        <v>35294.117647058825</v>
      </c>
      <c r="L282" s="121">
        <f t="shared" si="302"/>
        <v>352941.17647058825</v>
      </c>
      <c r="M282" s="105">
        <v>42000</v>
      </c>
      <c r="N282" s="121">
        <f t="shared" si="303"/>
        <v>420000</v>
      </c>
      <c r="O282" s="105">
        <v>62000</v>
      </c>
      <c r="P282" s="121">
        <f t="shared" si="304"/>
        <v>620000</v>
      </c>
      <c r="Q282" s="165">
        <f t="shared" si="297"/>
        <v>46431.372549019608</v>
      </c>
      <c r="R282" s="166">
        <f t="shared" si="305"/>
        <v>464313.72549019608</v>
      </c>
      <c r="S282" s="222">
        <f t="shared" si="299"/>
        <v>11343.980343878044</v>
      </c>
      <c r="T282" s="223">
        <f t="shared" si="292"/>
        <v>0.24431714423048151</v>
      </c>
      <c r="U282" s="224">
        <f t="shared" si="300"/>
        <v>42000</v>
      </c>
      <c r="V282" s="225">
        <f t="shared" si="306"/>
        <v>420000</v>
      </c>
      <c r="W282" s="149">
        <f t="shared" si="294"/>
        <v>0.27009477009233435</v>
      </c>
      <c r="X282" s="139" t="s">
        <v>788</v>
      </c>
      <c r="Y282" s="137" t="s">
        <v>759</v>
      </c>
      <c r="Z282" s="138" t="s">
        <v>752</v>
      </c>
    </row>
    <row r="283" spans="1:26" ht="32" x14ac:dyDescent="0.2">
      <c r="A283" s="63" t="s">
        <v>54</v>
      </c>
      <c r="B283" s="66">
        <f t="shared" si="280"/>
        <v>3</v>
      </c>
      <c r="C283" s="192">
        <v>248</v>
      </c>
      <c r="D283" s="75">
        <v>258</v>
      </c>
      <c r="E283" s="74" t="s">
        <v>543</v>
      </c>
      <c r="F283" s="506" t="s">
        <v>128</v>
      </c>
      <c r="G283" s="423">
        <v>20</v>
      </c>
      <c r="H283" s="28" t="s">
        <v>57</v>
      </c>
      <c r="I283" s="10"/>
      <c r="J283" s="11"/>
      <c r="K283" s="105">
        <f>+(65000*100)/119</f>
        <v>54621.848739495799</v>
      </c>
      <c r="L283" s="121">
        <f t="shared" si="302"/>
        <v>1092436.9747899161</v>
      </c>
      <c r="M283" s="105">
        <f>+(68000*100)/119</f>
        <v>57142.857142857145</v>
      </c>
      <c r="N283" s="121">
        <f t="shared" si="303"/>
        <v>1142857.142857143</v>
      </c>
      <c r="O283" s="105">
        <f>+(84000*100)/119</f>
        <v>70588.23529411765</v>
      </c>
      <c r="P283" s="121">
        <f t="shared" si="304"/>
        <v>1411764.705882353</v>
      </c>
      <c r="Q283" s="165">
        <f t="shared" si="297"/>
        <v>60784.313725490203</v>
      </c>
      <c r="R283" s="166">
        <f>+Q283*G283</f>
        <v>1215686.2745098041</v>
      </c>
      <c r="S283" s="222">
        <f t="shared" si="299"/>
        <v>7008.4011222390982</v>
      </c>
      <c r="T283" s="223">
        <f t="shared" si="292"/>
        <v>0.11529950233361096</v>
      </c>
      <c r="U283" s="224">
        <f t="shared" si="300"/>
        <v>57142.857142857145</v>
      </c>
      <c r="V283" s="225">
        <f>+U283*G283</f>
        <v>1142857.142857143</v>
      </c>
      <c r="W283" s="149">
        <f t="shared" si="294"/>
        <v>0.12264701963918422</v>
      </c>
      <c r="X283" s="139" t="s">
        <v>544</v>
      </c>
      <c r="Y283" s="137" t="s">
        <v>545</v>
      </c>
      <c r="Z283" s="138" t="s">
        <v>805</v>
      </c>
    </row>
    <row r="284" spans="1:26" ht="256" thickBot="1" x14ac:dyDescent="0.25">
      <c r="A284" s="276" t="s">
        <v>54</v>
      </c>
      <c r="B284" s="82">
        <f t="shared" si="280"/>
        <v>3</v>
      </c>
      <c r="C284" s="66">
        <v>249</v>
      </c>
      <c r="D284" s="277">
        <v>259</v>
      </c>
      <c r="E284" s="278" t="s">
        <v>77</v>
      </c>
      <c r="F284" s="87" t="s">
        <v>848</v>
      </c>
      <c r="G284" s="415">
        <v>70</v>
      </c>
      <c r="H284" s="29" t="s">
        <v>57</v>
      </c>
      <c r="I284" s="89"/>
      <c r="J284" s="90"/>
      <c r="K284" s="107">
        <f>+(18000*100)/119</f>
        <v>15126.050420168067</v>
      </c>
      <c r="L284" s="150">
        <f t="shared" si="302"/>
        <v>1058823.5294117646</v>
      </c>
      <c r="M284" s="107">
        <f>+(19500*100)/119</f>
        <v>16386.55462184874</v>
      </c>
      <c r="N284" s="150">
        <f t="shared" si="303"/>
        <v>1147058.8235294118</v>
      </c>
      <c r="O284" s="107">
        <f>+(18500*100)/119</f>
        <v>15546.218487394957</v>
      </c>
      <c r="P284" s="150">
        <f t="shared" si="304"/>
        <v>1088235.294117647</v>
      </c>
      <c r="Q284" s="318">
        <f t="shared" si="297"/>
        <v>15686.274509803921</v>
      </c>
      <c r="R284" s="310">
        <f>+Q284*G284</f>
        <v>1098039.2156862745</v>
      </c>
      <c r="S284" s="311">
        <f t="shared" si="299"/>
        <v>524.04165080867563</v>
      </c>
      <c r="T284" s="312">
        <f t="shared" si="292"/>
        <v>3.340765523905307E-2</v>
      </c>
      <c r="U284" s="313">
        <f t="shared" si="300"/>
        <v>15546.218487394957</v>
      </c>
      <c r="V284" s="314">
        <f>+U284*G284</f>
        <v>1088235.294117647</v>
      </c>
      <c r="W284" s="315">
        <f t="shared" si="294"/>
        <v>3.3708625106071567E-2</v>
      </c>
      <c r="X284" s="141" t="s">
        <v>772</v>
      </c>
      <c r="Y284" s="153" t="s">
        <v>773</v>
      </c>
      <c r="Z284" s="154" t="s">
        <v>774</v>
      </c>
    </row>
    <row r="285" spans="1:26" s="211" customFormat="1" ht="57" x14ac:dyDescent="0.2">
      <c r="A285" s="289">
        <v>1</v>
      </c>
      <c r="B285" s="290"/>
      <c r="C285" s="290"/>
      <c r="D285" s="291"/>
      <c r="E285" s="292"/>
      <c r="F285" s="406" t="s">
        <v>546</v>
      </c>
      <c r="G285" s="293"/>
      <c r="H285" s="293"/>
      <c r="I285" s="293"/>
      <c r="J285" s="293"/>
      <c r="K285" s="294"/>
      <c r="L285" s="294"/>
      <c r="M285" s="294"/>
      <c r="N285" s="294"/>
      <c r="O285" s="294"/>
      <c r="P285" s="294"/>
      <c r="Q285" s="294"/>
      <c r="R285" s="294"/>
      <c r="S285" s="295"/>
      <c r="T285" s="296"/>
      <c r="U285" s="294"/>
      <c r="V285" s="297"/>
      <c r="W285" s="296"/>
      <c r="X285" s="603"/>
      <c r="Y285" s="603"/>
      <c r="Z285" s="604"/>
    </row>
    <row r="286" spans="1:26" s="211" customFormat="1" ht="20" thickBot="1" x14ac:dyDescent="0.25">
      <c r="A286" s="298">
        <v>1</v>
      </c>
      <c r="B286" s="299"/>
      <c r="C286" s="299"/>
      <c r="D286" s="300"/>
      <c r="E286" s="301"/>
      <c r="F286" s="407" t="s">
        <v>547</v>
      </c>
      <c r="G286" s="302"/>
      <c r="H286" s="302"/>
      <c r="I286" s="302"/>
      <c r="J286" s="302"/>
      <c r="K286" s="303"/>
      <c r="L286" s="303"/>
      <c r="M286" s="303"/>
      <c r="N286" s="303"/>
      <c r="O286" s="303"/>
      <c r="P286" s="303"/>
      <c r="Q286" s="303"/>
      <c r="R286" s="303"/>
      <c r="S286" s="304"/>
      <c r="T286" s="305"/>
      <c r="U286" s="303"/>
      <c r="V286" s="306"/>
      <c r="W286" s="305"/>
      <c r="X286" s="605"/>
      <c r="Y286" s="605"/>
      <c r="Z286" s="606"/>
    </row>
    <row r="287" spans="1:26" ht="90" x14ac:dyDescent="0.2">
      <c r="A287" s="102" t="s">
        <v>20</v>
      </c>
      <c r="B287" s="192">
        <f t="shared" si="280"/>
        <v>1</v>
      </c>
      <c r="C287" s="192">
        <v>250</v>
      </c>
      <c r="D287" s="282">
        <v>260</v>
      </c>
      <c r="E287" s="283" t="s">
        <v>548</v>
      </c>
      <c r="F287" s="95" t="s">
        <v>549</v>
      </c>
      <c r="G287" s="281">
        <v>1</v>
      </c>
      <c r="H287" s="83" t="s">
        <v>23</v>
      </c>
      <c r="I287" s="97">
        <v>2</v>
      </c>
      <c r="J287" s="98" t="s">
        <v>24</v>
      </c>
      <c r="K287" s="108">
        <v>5860001</v>
      </c>
      <c r="L287" s="151">
        <f t="shared" ref="L287:L292" si="307">+K287*G287*I287</f>
        <v>11720002</v>
      </c>
      <c r="M287" s="126"/>
      <c r="N287" s="127"/>
      <c r="O287" s="126"/>
      <c r="P287" s="127"/>
      <c r="Q287" s="319">
        <f>+AVERAGE(K287,M287,O287)</f>
        <v>5860001</v>
      </c>
      <c r="R287" s="320">
        <f>+Q287*G287*I287</f>
        <v>11720002</v>
      </c>
      <c r="S287" s="222">
        <f>_xlfn.STDEV.P(K287,M287,O287)</f>
        <v>0</v>
      </c>
      <c r="T287" s="321">
        <f t="shared" ref="T287:T307" si="308">+S287/Q287</f>
        <v>0</v>
      </c>
      <c r="U287" s="322">
        <f>+MEDIAN(K287,M287,O287)</f>
        <v>5860001</v>
      </c>
      <c r="V287" s="323">
        <f>+U287*G287*I287</f>
        <v>11720002</v>
      </c>
      <c r="W287" s="324">
        <f t="shared" ref="W287:W307" si="309">+S287/U287</f>
        <v>0</v>
      </c>
      <c r="X287" s="326" t="s">
        <v>819</v>
      </c>
      <c r="Y287" s="231"/>
      <c r="Z287" s="327"/>
    </row>
    <row r="288" spans="1:26" ht="75" x14ac:dyDescent="0.2">
      <c r="A288" s="63" t="s">
        <v>20</v>
      </c>
      <c r="B288" s="66">
        <f t="shared" si="280"/>
        <v>3</v>
      </c>
      <c r="C288" s="66">
        <v>251</v>
      </c>
      <c r="D288" s="75">
        <v>261</v>
      </c>
      <c r="E288" s="74" t="s">
        <v>550</v>
      </c>
      <c r="F288" s="7" t="s">
        <v>551</v>
      </c>
      <c r="G288" s="423">
        <v>30</v>
      </c>
      <c r="H288" s="28" t="s">
        <v>23</v>
      </c>
      <c r="I288" s="10">
        <v>2</v>
      </c>
      <c r="J288" s="11" t="s">
        <v>116</v>
      </c>
      <c r="K288" s="105">
        <f>+(720000*100)/119</f>
        <v>605042.01680672274</v>
      </c>
      <c r="L288" s="121">
        <f t="shared" si="307"/>
        <v>36302521.008403361</v>
      </c>
      <c r="M288" s="105">
        <v>250000</v>
      </c>
      <c r="N288" s="148">
        <f>+M288*I288*G288</f>
        <v>15000000</v>
      </c>
      <c r="O288" s="105">
        <v>550000</v>
      </c>
      <c r="P288" s="148">
        <f>+O288*I288*G288</f>
        <v>33000000</v>
      </c>
      <c r="Q288" s="165">
        <f>+AVERAGE(K288,M288,O288)</f>
        <v>468347.33893557423</v>
      </c>
      <c r="R288" s="166">
        <f>+Q288*G288*I288</f>
        <v>28100840.336134452</v>
      </c>
      <c r="S288" s="222">
        <f>_xlfn.STDEV.P(K288,M288,O288)</f>
        <v>156021.52889633086</v>
      </c>
      <c r="T288" s="223">
        <f t="shared" si="308"/>
        <v>0.33313209220089784</v>
      </c>
      <c r="U288" s="224">
        <f>+MEDIAN(K288,M288,O288)</f>
        <v>550000</v>
      </c>
      <c r="V288" s="225">
        <f>+U288*G288*I288</f>
        <v>33000000</v>
      </c>
      <c r="W288" s="149">
        <f t="shared" si="309"/>
        <v>0.28367550708423794</v>
      </c>
      <c r="X288" s="139" t="s">
        <v>812</v>
      </c>
      <c r="Y288" s="138" t="s">
        <v>759</v>
      </c>
      <c r="Z288" s="138" t="s">
        <v>752</v>
      </c>
    </row>
    <row r="289" spans="1:26" ht="90" x14ac:dyDescent="0.2">
      <c r="A289" s="63" t="s">
        <v>20</v>
      </c>
      <c r="B289" s="66">
        <f t="shared" si="280"/>
        <v>1</v>
      </c>
      <c r="C289" s="192">
        <v>252</v>
      </c>
      <c r="D289" s="75">
        <v>263</v>
      </c>
      <c r="E289" s="74" t="s">
        <v>78</v>
      </c>
      <c r="F289" s="7" t="s">
        <v>79</v>
      </c>
      <c r="G289" s="423">
        <v>2</v>
      </c>
      <c r="H289" s="28" t="s">
        <v>23</v>
      </c>
      <c r="I289" s="10">
        <v>2</v>
      </c>
      <c r="J289" s="11" t="s">
        <v>116</v>
      </c>
      <c r="K289" s="105">
        <f>1602000/30</f>
        <v>53400</v>
      </c>
      <c r="L289" s="106">
        <f t="shared" si="307"/>
        <v>213600</v>
      </c>
      <c r="M289" s="122"/>
      <c r="N289" s="123"/>
      <c r="O289" s="122"/>
      <c r="P289" s="123"/>
      <c r="Q289" s="165">
        <f>+AVERAGE(K289,M289,O289)</f>
        <v>53400</v>
      </c>
      <c r="R289" s="166">
        <f>+Q289*G289*I289</f>
        <v>213600</v>
      </c>
      <c r="S289" s="222">
        <f>_xlfn.STDEV.P(K289,M289,O289)</f>
        <v>0</v>
      </c>
      <c r="T289" s="223">
        <f t="shared" si="308"/>
        <v>0</v>
      </c>
      <c r="U289" s="224">
        <f>+MEDIAN(K289,M289,O289)</f>
        <v>53400</v>
      </c>
      <c r="V289" s="225">
        <f>+U289*G289*I289</f>
        <v>213600</v>
      </c>
      <c r="W289" s="149">
        <f t="shared" si="309"/>
        <v>0</v>
      </c>
      <c r="X289" s="316" t="s">
        <v>819</v>
      </c>
      <c r="Y289" s="137"/>
      <c r="Z289" s="138"/>
    </row>
    <row r="290" spans="1:26" ht="60" x14ac:dyDescent="0.2">
      <c r="A290" s="63" t="s">
        <v>20</v>
      </c>
      <c r="B290" s="66">
        <f t="shared" si="280"/>
        <v>3</v>
      </c>
      <c r="C290" s="66">
        <v>253</v>
      </c>
      <c r="D290" s="75">
        <v>264</v>
      </c>
      <c r="E290" s="74" t="s">
        <v>554</v>
      </c>
      <c r="F290" s="7" t="s">
        <v>555</v>
      </c>
      <c r="G290" s="423">
        <v>5</v>
      </c>
      <c r="H290" s="28" t="s">
        <v>44</v>
      </c>
      <c r="I290" s="10">
        <v>1</v>
      </c>
      <c r="J290" s="11" t="s">
        <v>116</v>
      </c>
      <c r="K290" s="105">
        <f>+(1000000*100)/119</f>
        <v>840336.13445378153</v>
      </c>
      <c r="L290" s="121">
        <f t="shared" si="307"/>
        <v>4201680.6722689075</v>
      </c>
      <c r="M290" s="105">
        <f>+(600000*100)/119</f>
        <v>504201.68067226891</v>
      </c>
      <c r="N290" s="148">
        <f t="shared" ref="N290:N292" si="310">+M290*I290*G290</f>
        <v>2521008.4033613447</v>
      </c>
      <c r="O290" s="105">
        <v>800000</v>
      </c>
      <c r="P290" s="148">
        <f t="shared" ref="P290:P292" si="311">+O290*I290*G290</f>
        <v>4000000</v>
      </c>
      <c r="Q290" s="165">
        <f t="shared" ref="Q290:Q307" si="312">+AVERAGE(K290,M290,O290)</f>
        <v>714845.93837535009</v>
      </c>
      <c r="R290" s="166">
        <f t="shared" ref="R290:R292" si="313">+Q290*G290*I290</f>
        <v>3574229.6918767504</v>
      </c>
      <c r="S290" s="222">
        <f t="shared" ref="S290:S307" si="314">_xlfn.STDEV.P(K290,M290,O290)</f>
        <v>149855.49353322585</v>
      </c>
      <c r="T290" s="223">
        <f t="shared" si="308"/>
        <v>0.20963327269342333</v>
      </c>
      <c r="U290" s="224">
        <f t="shared" ref="U290:U307" si="315">+MEDIAN(K290,M290,O290)</f>
        <v>800000</v>
      </c>
      <c r="V290" s="225">
        <f t="shared" ref="V290:V292" si="316">+U290*G290*I290</f>
        <v>4000000</v>
      </c>
      <c r="W290" s="149">
        <f t="shared" si="309"/>
        <v>0.18731936691653231</v>
      </c>
      <c r="X290" s="139" t="s">
        <v>803</v>
      </c>
      <c r="Y290" s="137" t="s">
        <v>804</v>
      </c>
      <c r="Z290" s="138" t="s">
        <v>752</v>
      </c>
    </row>
    <row r="291" spans="1:26" ht="75" x14ac:dyDescent="0.2">
      <c r="A291" s="63" t="s">
        <v>54</v>
      </c>
      <c r="B291" s="66">
        <f t="shared" si="280"/>
        <v>3</v>
      </c>
      <c r="C291" s="192">
        <v>254</v>
      </c>
      <c r="D291" s="75">
        <v>265</v>
      </c>
      <c r="E291" s="74" t="s">
        <v>556</v>
      </c>
      <c r="F291" s="7" t="s">
        <v>740</v>
      </c>
      <c r="G291" s="423">
        <v>2</v>
      </c>
      <c r="H291" s="28" t="s">
        <v>392</v>
      </c>
      <c r="I291" s="10">
        <v>2</v>
      </c>
      <c r="J291" s="11" t="s">
        <v>116</v>
      </c>
      <c r="K291" s="105">
        <f>+(1667249*100)/119</f>
        <v>1401049.5798319327</v>
      </c>
      <c r="L291" s="121">
        <f t="shared" si="307"/>
        <v>5604198.3193277307</v>
      </c>
      <c r="M291" s="105">
        <f>+(2142000*100)/119</f>
        <v>1800000</v>
      </c>
      <c r="N291" s="148">
        <f t="shared" si="310"/>
        <v>7200000</v>
      </c>
      <c r="O291" s="105">
        <f>+(1984026*100)/119</f>
        <v>1667248.7394957982</v>
      </c>
      <c r="P291" s="148">
        <f t="shared" si="311"/>
        <v>6668994.957983193</v>
      </c>
      <c r="Q291" s="165">
        <f t="shared" si="312"/>
        <v>1622766.106442577</v>
      </c>
      <c r="R291" s="166">
        <f t="shared" si="313"/>
        <v>6491064.4257703079</v>
      </c>
      <c r="S291" s="222">
        <f t="shared" si="314"/>
        <v>165880.25383908866</v>
      </c>
      <c r="T291" s="223">
        <f t="shared" si="308"/>
        <v>0.10222067935762527</v>
      </c>
      <c r="U291" s="224">
        <f t="shared" si="315"/>
        <v>1667248.7394957982</v>
      </c>
      <c r="V291" s="225">
        <f t="shared" si="316"/>
        <v>6668994.957983193</v>
      </c>
      <c r="W291" s="149">
        <f t="shared" si="309"/>
        <v>9.9493404858865514E-2</v>
      </c>
      <c r="X291" s="139" t="s">
        <v>789</v>
      </c>
      <c r="Y291" s="137" t="s">
        <v>790</v>
      </c>
      <c r="Z291" s="138" t="s">
        <v>791</v>
      </c>
    </row>
    <row r="292" spans="1:26" ht="51" x14ac:dyDescent="0.2">
      <c r="A292" s="63" t="s">
        <v>54</v>
      </c>
      <c r="B292" s="66">
        <f t="shared" si="280"/>
        <v>3</v>
      </c>
      <c r="C292" s="66">
        <v>255</v>
      </c>
      <c r="D292" s="75">
        <v>266</v>
      </c>
      <c r="E292" s="74" t="s">
        <v>557</v>
      </c>
      <c r="F292" s="7" t="s">
        <v>558</v>
      </c>
      <c r="G292" s="423">
        <v>2</v>
      </c>
      <c r="H292" s="28" t="s">
        <v>392</v>
      </c>
      <c r="I292" s="10">
        <v>2</v>
      </c>
      <c r="J292" s="11" t="s">
        <v>116</v>
      </c>
      <c r="K292" s="105">
        <f>+(111860*100)/119</f>
        <v>94000</v>
      </c>
      <c r="L292" s="121">
        <f t="shared" si="307"/>
        <v>376000</v>
      </c>
      <c r="M292" s="105">
        <v>85000</v>
      </c>
      <c r="N292" s="148">
        <f t="shared" si="310"/>
        <v>340000</v>
      </c>
      <c r="O292" s="105">
        <v>100840</v>
      </c>
      <c r="P292" s="148">
        <f t="shared" si="311"/>
        <v>403360</v>
      </c>
      <c r="Q292" s="165">
        <f t="shared" si="312"/>
        <v>93280</v>
      </c>
      <c r="R292" s="166">
        <f t="shared" si="313"/>
        <v>373120</v>
      </c>
      <c r="S292" s="222">
        <f t="shared" si="314"/>
        <v>6486.6632408349979</v>
      </c>
      <c r="T292" s="223">
        <f t="shared" si="308"/>
        <v>6.95397002662414E-2</v>
      </c>
      <c r="U292" s="224">
        <f t="shared" si="315"/>
        <v>94000</v>
      </c>
      <c r="V292" s="225">
        <f t="shared" si="316"/>
        <v>376000</v>
      </c>
      <c r="W292" s="149">
        <f t="shared" si="309"/>
        <v>6.9007055753563806E-2</v>
      </c>
      <c r="X292" s="139" t="s">
        <v>792</v>
      </c>
      <c r="Y292" s="137" t="s">
        <v>759</v>
      </c>
      <c r="Z292" s="138" t="s">
        <v>928</v>
      </c>
    </row>
    <row r="293" spans="1:26" ht="60" x14ac:dyDescent="0.2">
      <c r="A293" s="63" t="s">
        <v>54</v>
      </c>
      <c r="B293" s="66">
        <f t="shared" si="280"/>
        <v>3</v>
      </c>
      <c r="C293" s="192">
        <v>256</v>
      </c>
      <c r="D293" s="75">
        <v>267</v>
      </c>
      <c r="E293" s="74" t="s">
        <v>559</v>
      </c>
      <c r="F293" s="7" t="s">
        <v>560</v>
      </c>
      <c r="G293" s="423">
        <v>60</v>
      </c>
      <c r="H293" s="28" t="s">
        <v>392</v>
      </c>
      <c r="I293" s="10"/>
      <c r="J293" s="11"/>
      <c r="K293" s="105">
        <f>+(81933*100)/119</f>
        <v>68851.26050420168</v>
      </c>
      <c r="L293" s="121">
        <f t="shared" ref="L293:L307" si="317">K293*G293</f>
        <v>4131075.630252101</v>
      </c>
      <c r="M293" s="105">
        <f>+(116499*100)/119</f>
        <v>97898.319327731093</v>
      </c>
      <c r="N293" s="121">
        <f t="shared" ref="N293:N307" si="318">G293*M293</f>
        <v>5873899.1596638653</v>
      </c>
      <c r="O293" s="105">
        <v>135000</v>
      </c>
      <c r="P293" s="121">
        <f t="shared" ref="P293:P307" si="319">G293*O293</f>
        <v>8100000</v>
      </c>
      <c r="Q293" s="165">
        <f t="shared" si="312"/>
        <v>100583.19327731093</v>
      </c>
      <c r="R293" s="166">
        <f t="shared" ref="R293:R300" si="320">+Q293*G293</f>
        <v>6034991.5966386553</v>
      </c>
      <c r="S293" s="222">
        <f t="shared" si="314"/>
        <v>27071.760751929836</v>
      </c>
      <c r="T293" s="223">
        <f t="shared" si="308"/>
        <v>0.26914795474122766</v>
      </c>
      <c r="U293" s="224">
        <f t="shared" si="315"/>
        <v>97898.319327731093</v>
      </c>
      <c r="V293" s="225">
        <f t="shared" ref="V293:V300" si="321">+U293*G293</f>
        <v>5873899.1596638653</v>
      </c>
      <c r="W293" s="149">
        <f t="shared" si="309"/>
        <v>0.27652937188127369</v>
      </c>
      <c r="X293" s="139" t="s">
        <v>793</v>
      </c>
      <c r="Y293" s="137" t="s">
        <v>794</v>
      </c>
      <c r="Z293" s="138" t="s">
        <v>752</v>
      </c>
    </row>
    <row r="294" spans="1:26" ht="45" x14ac:dyDescent="0.2">
      <c r="A294" s="63" t="s">
        <v>54</v>
      </c>
      <c r="B294" s="66">
        <f t="shared" si="280"/>
        <v>3</v>
      </c>
      <c r="C294" s="66">
        <v>257</v>
      </c>
      <c r="D294" s="75">
        <v>268</v>
      </c>
      <c r="E294" s="74" t="s">
        <v>561</v>
      </c>
      <c r="F294" s="7" t="s">
        <v>562</v>
      </c>
      <c r="G294" s="423">
        <v>10</v>
      </c>
      <c r="H294" s="28" t="s">
        <v>392</v>
      </c>
      <c r="I294" s="10"/>
      <c r="J294" s="11"/>
      <c r="K294" s="105">
        <f>+(81933*100)/119</f>
        <v>68851.26050420168</v>
      </c>
      <c r="L294" s="121">
        <f t="shared" si="317"/>
        <v>688512.60504201683</v>
      </c>
      <c r="M294" s="105">
        <f t="shared" ref="M294:M295" si="322">+(116499*100)/119</f>
        <v>97898.319327731093</v>
      </c>
      <c r="N294" s="121">
        <f t="shared" si="318"/>
        <v>978983.19327731093</v>
      </c>
      <c r="O294" s="105">
        <v>135000</v>
      </c>
      <c r="P294" s="121">
        <f t="shared" si="319"/>
        <v>1350000</v>
      </c>
      <c r="Q294" s="165">
        <f t="shared" si="312"/>
        <v>100583.19327731093</v>
      </c>
      <c r="R294" s="166">
        <f t="shared" si="320"/>
        <v>1005831.9327731093</v>
      </c>
      <c r="S294" s="222">
        <f t="shared" si="314"/>
        <v>27071.760751929836</v>
      </c>
      <c r="T294" s="223">
        <f t="shared" si="308"/>
        <v>0.26914795474122766</v>
      </c>
      <c r="U294" s="224">
        <f t="shared" si="315"/>
        <v>97898.319327731093</v>
      </c>
      <c r="V294" s="225">
        <f t="shared" si="321"/>
        <v>978983.19327731093</v>
      </c>
      <c r="W294" s="149">
        <f t="shared" si="309"/>
        <v>0.27652937188127369</v>
      </c>
      <c r="X294" s="139" t="s">
        <v>793</v>
      </c>
      <c r="Y294" s="137" t="s">
        <v>794</v>
      </c>
      <c r="Z294" s="138" t="s">
        <v>752</v>
      </c>
    </row>
    <row r="295" spans="1:26" ht="45" x14ac:dyDescent="0.2">
      <c r="A295" s="63" t="s">
        <v>54</v>
      </c>
      <c r="B295" s="66">
        <f t="shared" si="280"/>
        <v>3</v>
      </c>
      <c r="C295" s="192">
        <v>258</v>
      </c>
      <c r="D295" s="75">
        <v>269</v>
      </c>
      <c r="E295" s="74" t="s">
        <v>563</v>
      </c>
      <c r="F295" s="7" t="s">
        <v>564</v>
      </c>
      <c r="G295" s="423">
        <v>5</v>
      </c>
      <c r="H295" s="28" t="s">
        <v>392</v>
      </c>
      <c r="I295" s="10"/>
      <c r="J295" s="11"/>
      <c r="K295" s="105">
        <f>+(81933*100)/119</f>
        <v>68851.26050420168</v>
      </c>
      <c r="L295" s="121">
        <f t="shared" si="317"/>
        <v>344256.30252100842</v>
      </c>
      <c r="M295" s="105">
        <f t="shared" si="322"/>
        <v>97898.319327731093</v>
      </c>
      <c r="N295" s="121">
        <f t="shared" si="318"/>
        <v>489491.59663865546</v>
      </c>
      <c r="O295" s="105">
        <v>135000</v>
      </c>
      <c r="P295" s="121">
        <f t="shared" si="319"/>
        <v>675000</v>
      </c>
      <c r="Q295" s="165">
        <f t="shared" si="312"/>
        <v>100583.19327731093</v>
      </c>
      <c r="R295" s="166">
        <f t="shared" si="320"/>
        <v>502915.96638655465</v>
      </c>
      <c r="S295" s="222">
        <f t="shared" si="314"/>
        <v>27071.760751929836</v>
      </c>
      <c r="T295" s="223">
        <f t="shared" si="308"/>
        <v>0.26914795474122766</v>
      </c>
      <c r="U295" s="224">
        <f t="shared" si="315"/>
        <v>97898.319327731093</v>
      </c>
      <c r="V295" s="225">
        <f t="shared" si="321"/>
        <v>489491.59663865546</v>
      </c>
      <c r="W295" s="149">
        <f t="shared" si="309"/>
        <v>0.27652937188127369</v>
      </c>
      <c r="X295" s="139" t="s">
        <v>793</v>
      </c>
      <c r="Y295" s="137" t="s">
        <v>794</v>
      </c>
      <c r="Z295" s="138" t="s">
        <v>752</v>
      </c>
    </row>
    <row r="296" spans="1:26" ht="51" x14ac:dyDescent="0.2">
      <c r="A296" s="63" t="s">
        <v>54</v>
      </c>
      <c r="B296" s="66">
        <f t="shared" si="280"/>
        <v>3</v>
      </c>
      <c r="C296" s="66">
        <v>259</v>
      </c>
      <c r="D296" s="75">
        <v>270</v>
      </c>
      <c r="E296" s="74" t="s">
        <v>565</v>
      </c>
      <c r="F296" s="7" t="s">
        <v>566</v>
      </c>
      <c r="G296" s="423">
        <v>5</v>
      </c>
      <c r="H296" s="28" t="s">
        <v>392</v>
      </c>
      <c r="I296" s="10"/>
      <c r="J296" s="11"/>
      <c r="K296" s="105">
        <f>+(58403*100)/119</f>
        <v>49078.151260504201</v>
      </c>
      <c r="L296" s="121">
        <f t="shared" si="317"/>
        <v>245390.75630252101</v>
      </c>
      <c r="M296" s="105">
        <v>111000</v>
      </c>
      <c r="N296" s="121">
        <f t="shared" si="318"/>
        <v>555000</v>
      </c>
      <c r="O296" s="105">
        <v>95000</v>
      </c>
      <c r="P296" s="121">
        <f t="shared" si="319"/>
        <v>475000</v>
      </c>
      <c r="Q296" s="165">
        <f t="shared" si="312"/>
        <v>85026.050420168074</v>
      </c>
      <c r="R296" s="166">
        <f t="shared" si="320"/>
        <v>425130.25210084039</v>
      </c>
      <c r="S296" s="222">
        <f t="shared" si="314"/>
        <v>26244.854613111267</v>
      </c>
      <c r="T296" s="223">
        <f t="shared" si="308"/>
        <v>0.30866839613763852</v>
      </c>
      <c r="U296" s="224">
        <f t="shared" si="315"/>
        <v>95000</v>
      </c>
      <c r="V296" s="225">
        <f t="shared" si="321"/>
        <v>475000</v>
      </c>
      <c r="W296" s="149">
        <f t="shared" si="309"/>
        <v>0.2762616275064344</v>
      </c>
      <c r="X296" s="139" t="s">
        <v>793</v>
      </c>
      <c r="Y296" s="137" t="s">
        <v>759</v>
      </c>
      <c r="Z296" s="138" t="s">
        <v>752</v>
      </c>
    </row>
    <row r="297" spans="1:26" ht="30" x14ac:dyDescent="0.2">
      <c r="A297" s="63" t="s">
        <v>54</v>
      </c>
      <c r="B297" s="66">
        <f t="shared" si="280"/>
        <v>3</v>
      </c>
      <c r="C297" s="192">
        <v>260</v>
      </c>
      <c r="D297" s="75">
        <v>271</v>
      </c>
      <c r="E297" s="74" t="s">
        <v>567</v>
      </c>
      <c r="F297" s="7" t="s">
        <v>568</v>
      </c>
      <c r="G297" s="423">
        <v>5</v>
      </c>
      <c r="H297" s="28" t="s">
        <v>392</v>
      </c>
      <c r="I297" s="10"/>
      <c r="J297" s="11"/>
      <c r="K297" s="105">
        <f>+(78375*100)/119</f>
        <v>65861.344537815123</v>
      </c>
      <c r="L297" s="121">
        <f t="shared" si="317"/>
        <v>329306.72268907563</v>
      </c>
      <c r="M297" s="105">
        <f>+(114169*100)/119</f>
        <v>95940.336134453784</v>
      </c>
      <c r="N297" s="121">
        <f t="shared" si="318"/>
        <v>479701.68067226891</v>
      </c>
      <c r="O297" s="105">
        <v>55000</v>
      </c>
      <c r="P297" s="121">
        <f t="shared" si="319"/>
        <v>275000</v>
      </c>
      <c r="Q297" s="165">
        <f t="shared" si="312"/>
        <v>72267.226890756298</v>
      </c>
      <c r="R297" s="166">
        <f t="shared" si="320"/>
        <v>361336.13445378147</v>
      </c>
      <c r="S297" s="222">
        <f t="shared" si="314"/>
        <v>17316.740979763064</v>
      </c>
      <c r="T297" s="223">
        <f t="shared" si="308"/>
        <v>0.23962094195118547</v>
      </c>
      <c r="U297" s="224">
        <f t="shared" si="315"/>
        <v>65861.344537815123</v>
      </c>
      <c r="V297" s="225">
        <f t="shared" si="321"/>
        <v>329306.72268907563</v>
      </c>
      <c r="W297" s="149">
        <f t="shared" si="309"/>
        <v>0.26292723146306918</v>
      </c>
      <c r="X297" s="139" t="s">
        <v>793</v>
      </c>
      <c r="Y297" s="137" t="s">
        <v>794</v>
      </c>
      <c r="Z297" s="138" t="s">
        <v>752</v>
      </c>
    </row>
    <row r="298" spans="1:26" ht="45" x14ac:dyDescent="0.2">
      <c r="A298" s="63" t="s">
        <v>54</v>
      </c>
      <c r="B298" s="66">
        <f t="shared" si="280"/>
        <v>3</v>
      </c>
      <c r="C298" s="66">
        <v>261</v>
      </c>
      <c r="D298" s="75">
        <v>272</v>
      </c>
      <c r="E298" s="74" t="s">
        <v>569</v>
      </c>
      <c r="F298" s="7" t="s">
        <v>570</v>
      </c>
      <c r="G298" s="423">
        <v>25</v>
      </c>
      <c r="H298" s="28" t="s">
        <v>392</v>
      </c>
      <c r="I298" s="10"/>
      <c r="J298" s="11"/>
      <c r="K298" s="105">
        <v>13361</v>
      </c>
      <c r="L298" s="121">
        <f t="shared" si="317"/>
        <v>334025</v>
      </c>
      <c r="M298" s="105">
        <v>14202</v>
      </c>
      <c r="N298" s="121">
        <f t="shared" si="318"/>
        <v>355050</v>
      </c>
      <c r="O298" s="105">
        <v>14202</v>
      </c>
      <c r="P298" s="121">
        <f t="shared" si="319"/>
        <v>355050</v>
      </c>
      <c r="Q298" s="165">
        <f t="shared" si="312"/>
        <v>13921.666666666666</v>
      </c>
      <c r="R298" s="166">
        <f t="shared" si="320"/>
        <v>348041.66666666663</v>
      </c>
      <c r="S298" s="222">
        <f t="shared" si="314"/>
        <v>396.45120198525763</v>
      </c>
      <c r="T298" s="223">
        <f t="shared" si="308"/>
        <v>2.8477280161756803E-2</v>
      </c>
      <c r="U298" s="224">
        <f t="shared" si="315"/>
        <v>14202</v>
      </c>
      <c r="V298" s="225">
        <f t="shared" si="321"/>
        <v>355050</v>
      </c>
      <c r="W298" s="149">
        <f t="shared" si="309"/>
        <v>2.7915167017691707E-2</v>
      </c>
      <c r="X298" s="139" t="s">
        <v>261</v>
      </c>
      <c r="Y298" s="137" t="s">
        <v>761</v>
      </c>
      <c r="Z298" s="138" t="s">
        <v>747</v>
      </c>
    </row>
    <row r="299" spans="1:26" ht="51" x14ac:dyDescent="0.2">
      <c r="A299" s="63" t="s">
        <v>54</v>
      </c>
      <c r="B299" s="66">
        <f t="shared" si="280"/>
        <v>3</v>
      </c>
      <c r="C299" s="192">
        <v>262</v>
      </c>
      <c r="D299" s="75">
        <v>273</v>
      </c>
      <c r="E299" s="74" t="s">
        <v>571</v>
      </c>
      <c r="F299" s="7" t="s">
        <v>572</v>
      </c>
      <c r="G299" s="423">
        <v>15</v>
      </c>
      <c r="H299" s="28" t="s">
        <v>392</v>
      </c>
      <c r="I299" s="10"/>
      <c r="J299" s="11"/>
      <c r="K299" s="105">
        <f>+(42200*100)/119</f>
        <v>35462.184873949576</v>
      </c>
      <c r="L299" s="121">
        <f t="shared" si="317"/>
        <v>531932.7731092436</v>
      </c>
      <c r="M299" s="105">
        <v>58000</v>
      </c>
      <c r="N299" s="121">
        <f t="shared" si="318"/>
        <v>870000</v>
      </c>
      <c r="O299" s="105">
        <v>65000</v>
      </c>
      <c r="P299" s="121">
        <f t="shared" si="319"/>
        <v>975000</v>
      </c>
      <c r="Q299" s="165">
        <f t="shared" si="312"/>
        <v>52820.728291316518</v>
      </c>
      <c r="R299" s="166">
        <f t="shared" si="320"/>
        <v>792310.92436974775</v>
      </c>
      <c r="S299" s="222">
        <f t="shared" si="314"/>
        <v>12602.62597449332</v>
      </c>
      <c r="T299" s="223">
        <f t="shared" si="308"/>
        <v>0.23859243108098402</v>
      </c>
      <c r="U299" s="224">
        <f t="shared" si="315"/>
        <v>58000</v>
      </c>
      <c r="V299" s="225">
        <f t="shared" si="321"/>
        <v>870000</v>
      </c>
      <c r="W299" s="149">
        <f t="shared" si="309"/>
        <v>0.21728665473264344</v>
      </c>
      <c r="X299" s="139" t="s">
        <v>899</v>
      </c>
      <c r="Y299" s="137" t="s">
        <v>759</v>
      </c>
      <c r="Z299" s="138" t="s">
        <v>752</v>
      </c>
    </row>
    <row r="300" spans="1:26" ht="30" x14ac:dyDescent="0.2">
      <c r="A300" s="63" t="s">
        <v>54</v>
      </c>
      <c r="B300" s="66">
        <f t="shared" si="280"/>
        <v>3</v>
      </c>
      <c r="C300" s="66">
        <v>263</v>
      </c>
      <c r="D300" s="75">
        <v>274</v>
      </c>
      <c r="E300" s="74" t="s">
        <v>573</v>
      </c>
      <c r="F300" s="7" t="s">
        <v>574</v>
      </c>
      <c r="G300" s="423">
        <v>6</v>
      </c>
      <c r="H300" s="28" t="s">
        <v>392</v>
      </c>
      <c r="I300" s="10"/>
      <c r="J300" s="11"/>
      <c r="K300" s="105">
        <f>+(15900*100)/119</f>
        <v>13361.344537815126</v>
      </c>
      <c r="L300" s="121">
        <f t="shared" si="317"/>
        <v>80168.067226890766</v>
      </c>
      <c r="M300" s="105">
        <f>+(15900*100)/119</f>
        <v>13361.344537815126</v>
      </c>
      <c r="N300" s="121">
        <f t="shared" si="318"/>
        <v>80168.067226890766</v>
      </c>
      <c r="O300" s="105">
        <f>+(14900*100)/119</f>
        <v>12521.008403361344</v>
      </c>
      <c r="P300" s="121">
        <f t="shared" si="319"/>
        <v>75126.05042016806</v>
      </c>
      <c r="Q300" s="165">
        <f t="shared" si="312"/>
        <v>13081.2324929972</v>
      </c>
      <c r="R300" s="166">
        <f t="shared" si="320"/>
        <v>78487.394957983197</v>
      </c>
      <c r="S300" s="222">
        <f t="shared" si="314"/>
        <v>396.13825276557333</v>
      </c>
      <c r="T300" s="223">
        <f t="shared" si="308"/>
        <v>3.0282945661094147E-2</v>
      </c>
      <c r="U300" s="224">
        <f t="shared" si="315"/>
        <v>13361.344537815126</v>
      </c>
      <c r="V300" s="225">
        <f t="shared" si="321"/>
        <v>80168.067226890766</v>
      </c>
      <c r="W300" s="149">
        <f t="shared" si="309"/>
        <v>2.964808306861838E-2</v>
      </c>
      <c r="X300" s="139" t="s">
        <v>575</v>
      </c>
      <c r="Y300" s="137" t="s">
        <v>576</v>
      </c>
      <c r="Z300" s="138" t="s">
        <v>577</v>
      </c>
    </row>
    <row r="301" spans="1:26" ht="30" x14ac:dyDescent="0.2">
      <c r="A301" s="63" t="s">
        <v>54</v>
      </c>
      <c r="B301" s="66">
        <f t="shared" si="280"/>
        <v>3</v>
      </c>
      <c r="C301" s="192">
        <v>264</v>
      </c>
      <c r="D301" s="75">
        <v>275</v>
      </c>
      <c r="E301" s="74" t="s">
        <v>578</v>
      </c>
      <c r="F301" s="7" t="s">
        <v>579</v>
      </c>
      <c r="G301" s="423">
        <v>6</v>
      </c>
      <c r="H301" s="28" t="s">
        <v>392</v>
      </c>
      <c r="I301" s="10"/>
      <c r="J301" s="11"/>
      <c r="K301" s="105">
        <f>+(7900*100)/119</f>
        <v>6638.6554621848736</v>
      </c>
      <c r="L301" s="121">
        <f t="shared" si="317"/>
        <v>39831.932773109242</v>
      </c>
      <c r="M301" s="105">
        <f>+(9900*100)/119</f>
        <v>8319.3277310924368</v>
      </c>
      <c r="N301" s="121">
        <f t="shared" si="318"/>
        <v>49915.966386554617</v>
      </c>
      <c r="O301" s="105">
        <f>+(9900*100)/119</f>
        <v>8319.3277310924368</v>
      </c>
      <c r="P301" s="121">
        <f t="shared" si="319"/>
        <v>49915.966386554617</v>
      </c>
      <c r="Q301" s="165">
        <f t="shared" si="312"/>
        <v>7759.1036414565824</v>
      </c>
      <c r="R301" s="166">
        <f>+Q301*G301</f>
        <v>46554.621848739494</v>
      </c>
      <c r="S301" s="222">
        <f t="shared" si="314"/>
        <v>792.27650553114711</v>
      </c>
      <c r="T301" s="223">
        <f t="shared" si="308"/>
        <v>0.1021092824818121</v>
      </c>
      <c r="U301" s="224">
        <f t="shared" si="315"/>
        <v>8319.3277310924368</v>
      </c>
      <c r="V301" s="225">
        <f>+U301*G301</f>
        <v>49915.966386554617</v>
      </c>
      <c r="W301" s="149">
        <f t="shared" si="309"/>
        <v>9.5233236523440915E-2</v>
      </c>
      <c r="X301" s="570" t="s">
        <v>261</v>
      </c>
      <c r="Y301" s="576" t="s">
        <v>580</v>
      </c>
      <c r="Z301" s="571" t="s">
        <v>262</v>
      </c>
    </row>
    <row r="302" spans="1:26" ht="30" x14ac:dyDescent="0.2">
      <c r="A302" s="63" t="s">
        <v>54</v>
      </c>
      <c r="B302" s="66">
        <f t="shared" si="280"/>
        <v>3</v>
      </c>
      <c r="C302" s="66">
        <v>265</v>
      </c>
      <c r="D302" s="75">
        <v>276</v>
      </c>
      <c r="E302" s="74" t="s">
        <v>581</v>
      </c>
      <c r="F302" s="7" t="s">
        <v>582</v>
      </c>
      <c r="G302" s="423">
        <v>10</v>
      </c>
      <c r="H302" s="28" t="s">
        <v>392</v>
      </c>
      <c r="I302" s="10"/>
      <c r="J302" s="11"/>
      <c r="K302" s="105">
        <f>+(23990*100)/119</f>
        <v>20159.663865546219</v>
      </c>
      <c r="L302" s="121">
        <f t="shared" si="317"/>
        <v>201596.63865546219</v>
      </c>
      <c r="M302" s="105">
        <f>+(20000*100)/119</f>
        <v>16806.722689075632</v>
      </c>
      <c r="N302" s="121">
        <f t="shared" si="318"/>
        <v>168067.22689075631</v>
      </c>
      <c r="O302" s="105">
        <f>+(20100*100)/119</f>
        <v>16890.756302521007</v>
      </c>
      <c r="P302" s="121">
        <f t="shared" si="319"/>
        <v>168907.56302521008</v>
      </c>
      <c r="Q302" s="165">
        <f t="shared" si="312"/>
        <v>17952.38095238095</v>
      </c>
      <c r="R302" s="166">
        <f t="shared" ref="R302:R307" si="323">+Q302*G302</f>
        <v>179523.8095238095</v>
      </c>
      <c r="S302" s="222">
        <f t="shared" si="314"/>
        <v>1561.161705506657</v>
      </c>
      <c r="T302" s="223">
        <f t="shared" si="308"/>
        <v>8.6961262110450396E-2</v>
      </c>
      <c r="U302" s="224">
        <f t="shared" si="315"/>
        <v>16890.756302521007</v>
      </c>
      <c r="V302" s="225">
        <f t="shared" ref="V302:V307" si="324">+U302*G302</f>
        <v>168907.56302521008</v>
      </c>
      <c r="W302" s="149">
        <f t="shared" si="309"/>
        <v>9.2426986544921486E-2</v>
      </c>
      <c r="X302" s="607" t="s">
        <v>222</v>
      </c>
      <c r="Y302" s="576" t="s">
        <v>583</v>
      </c>
      <c r="Z302" s="571" t="s">
        <v>584</v>
      </c>
    </row>
    <row r="303" spans="1:26" ht="45" x14ac:dyDescent="0.2">
      <c r="A303" s="63" t="s">
        <v>54</v>
      </c>
      <c r="B303" s="66">
        <f t="shared" si="280"/>
        <v>3</v>
      </c>
      <c r="C303" s="192">
        <v>266</v>
      </c>
      <c r="D303" s="75">
        <v>277</v>
      </c>
      <c r="E303" s="74" t="s">
        <v>585</v>
      </c>
      <c r="F303" s="7" t="s">
        <v>751</v>
      </c>
      <c r="G303" s="423">
        <v>30</v>
      </c>
      <c r="H303" s="28" t="s">
        <v>392</v>
      </c>
      <c r="I303" s="10"/>
      <c r="J303" s="11"/>
      <c r="K303" s="105">
        <f>+(13500*100)/119</f>
        <v>11344.53781512605</v>
      </c>
      <c r="L303" s="121">
        <f t="shared" si="317"/>
        <v>340336.13445378153</v>
      </c>
      <c r="M303" s="105">
        <f>+(12850*100)/119</f>
        <v>10798.319327731093</v>
      </c>
      <c r="N303" s="121">
        <f t="shared" si="318"/>
        <v>323949.57983193279</v>
      </c>
      <c r="O303" s="105">
        <f>+(13500*100)/119</f>
        <v>11344.53781512605</v>
      </c>
      <c r="P303" s="121">
        <f t="shared" si="319"/>
        <v>340336.13445378153</v>
      </c>
      <c r="Q303" s="165">
        <f t="shared" si="312"/>
        <v>11162.464985994398</v>
      </c>
      <c r="R303" s="166">
        <f t="shared" si="323"/>
        <v>334873.94957983197</v>
      </c>
      <c r="S303" s="222">
        <f t="shared" si="314"/>
        <v>257.48986429762203</v>
      </c>
      <c r="T303" s="223">
        <f t="shared" si="308"/>
        <v>2.3067473413864756E-2</v>
      </c>
      <c r="U303" s="224">
        <f t="shared" si="315"/>
        <v>11344.53781512605</v>
      </c>
      <c r="V303" s="225">
        <f t="shared" si="324"/>
        <v>340336.13445378153</v>
      </c>
      <c r="W303" s="149">
        <f t="shared" si="309"/>
        <v>2.2697254704753349E-2</v>
      </c>
      <c r="X303" s="139" t="s">
        <v>586</v>
      </c>
      <c r="Y303" s="607" t="s">
        <v>222</v>
      </c>
      <c r="Z303" s="138" t="s">
        <v>587</v>
      </c>
    </row>
    <row r="304" spans="1:26" ht="30" x14ac:dyDescent="0.2">
      <c r="A304" s="63" t="s">
        <v>54</v>
      </c>
      <c r="B304" s="66">
        <f t="shared" si="280"/>
        <v>3</v>
      </c>
      <c r="C304" s="66">
        <v>267</v>
      </c>
      <c r="D304" s="75">
        <v>278</v>
      </c>
      <c r="E304" s="74" t="s">
        <v>588</v>
      </c>
      <c r="F304" s="7" t="s">
        <v>589</v>
      </c>
      <c r="G304" s="423">
        <v>10</v>
      </c>
      <c r="H304" s="28" t="s">
        <v>392</v>
      </c>
      <c r="I304" s="10"/>
      <c r="J304" s="11"/>
      <c r="K304" s="105">
        <f>+(19500*100)/119</f>
        <v>16386.55462184874</v>
      </c>
      <c r="L304" s="121">
        <f t="shared" si="317"/>
        <v>163865.5462184874</v>
      </c>
      <c r="M304" s="105">
        <f>+(21700*100)/119</f>
        <v>18235.294117647059</v>
      </c>
      <c r="N304" s="121">
        <f t="shared" si="318"/>
        <v>182352.9411764706</v>
      </c>
      <c r="O304" s="105">
        <f>+(20000*100)/119</f>
        <v>16806.722689075632</v>
      </c>
      <c r="P304" s="121">
        <f t="shared" si="319"/>
        <v>168067.22689075631</v>
      </c>
      <c r="Q304" s="165">
        <f t="shared" si="312"/>
        <v>17142.857142857145</v>
      </c>
      <c r="R304" s="166">
        <f t="shared" si="323"/>
        <v>171428.57142857145</v>
      </c>
      <c r="S304" s="222">
        <f t="shared" si="314"/>
        <v>791.28554015829309</v>
      </c>
      <c r="T304" s="223">
        <f t="shared" si="308"/>
        <v>4.6158323175900427E-2</v>
      </c>
      <c r="U304" s="224">
        <f t="shared" si="315"/>
        <v>16806.722689075632</v>
      </c>
      <c r="V304" s="225">
        <f t="shared" si="324"/>
        <v>168067.22689075631</v>
      </c>
      <c r="W304" s="149">
        <f t="shared" si="309"/>
        <v>4.7081489639418432E-2</v>
      </c>
      <c r="X304" s="570" t="s">
        <v>590</v>
      </c>
      <c r="Y304" s="576" t="s">
        <v>591</v>
      </c>
      <c r="Z304" s="571" t="s">
        <v>592</v>
      </c>
    </row>
    <row r="305" spans="1:26" ht="17" x14ac:dyDescent="0.2">
      <c r="A305" s="63" t="s">
        <v>54</v>
      </c>
      <c r="B305" s="66">
        <f t="shared" si="280"/>
        <v>3</v>
      </c>
      <c r="C305" s="192">
        <v>268</v>
      </c>
      <c r="D305" s="75">
        <v>279</v>
      </c>
      <c r="E305" s="74" t="s">
        <v>593</v>
      </c>
      <c r="F305" s="7" t="s">
        <v>594</v>
      </c>
      <c r="G305" s="423">
        <v>10</v>
      </c>
      <c r="H305" s="28" t="s">
        <v>392</v>
      </c>
      <c r="I305" s="10"/>
      <c r="J305" s="11"/>
      <c r="K305" s="105">
        <v>18828</v>
      </c>
      <c r="L305" s="121">
        <f t="shared" si="317"/>
        <v>188280</v>
      </c>
      <c r="M305" s="105">
        <f>+(31900*100)/119</f>
        <v>26806.722689075632</v>
      </c>
      <c r="N305" s="121">
        <f t="shared" si="318"/>
        <v>268067.22689075634</v>
      </c>
      <c r="O305" s="105">
        <f>+(21000*100)/119</f>
        <v>17647.058823529413</v>
      </c>
      <c r="P305" s="121">
        <f t="shared" si="319"/>
        <v>176470.58823529413</v>
      </c>
      <c r="Q305" s="165">
        <f t="shared" si="312"/>
        <v>21093.927170868348</v>
      </c>
      <c r="R305" s="166">
        <f t="shared" si="323"/>
        <v>210939.27170868349</v>
      </c>
      <c r="S305" s="222">
        <f t="shared" si="314"/>
        <v>4068.2248372976233</v>
      </c>
      <c r="T305" s="223">
        <f t="shared" si="308"/>
        <v>0.19286237239483897</v>
      </c>
      <c r="U305" s="224">
        <f t="shared" si="315"/>
        <v>18828</v>
      </c>
      <c r="V305" s="225">
        <f t="shared" si="324"/>
        <v>188280</v>
      </c>
      <c r="W305" s="149">
        <f t="shared" si="309"/>
        <v>0.21607312711374671</v>
      </c>
      <c r="X305" s="607" t="s">
        <v>222</v>
      </c>
      <c r="Y305" s="576" t="s">
        <v>595</v>
      </c>
      <c r="Z305" s="571" t="s">
        <v>596</v>
      </c>
    </row>
    <row r="306" spans="1:26" ht="45" x14ac:dyDescent="0.2">
      <c r="A306" s="63" t="s">
        <v>54</v>
      </c>
      <c r="B306" s="66">
        <f t="shared" si="280"/>
        <v>3</v>
      </c>
      <c r="C306" s="66">
        <v>269</v>
      </c>
      <c r="D306" s="75">
        <v>280</v>
      </c>
      <c r="E306" s="74" t="s">
        <v>597</v>
      </c>
      <c r="F306" s="7" t="s">
        <v>598</v>
      </c>
      <c r="G306" s="423">
        <v>30</v>
      </c>
      <c r="H306" s="28" t="s">
        <v>392</v>
      </c>
      <c r="I306" s="10"/>
      <c r="J306" s="11"/>
      <c r="K306" s="105">
        <f>+(15900*100)/119</f>
        <v>13361.344537815126</v>
      </c>
      <c r="L306" s="121">
        <f t="shared" si="317"/>
        <v>400840.33613445377</v>
      </c>
      <c r="M306" s="105">
        <f>+(13500*100)/119</f>
        <v>11344.53781512605</v>
      </c>
      <c r="N306" s="121">
        <f t="shared" si="318"/>
        <v>340336.13445378153</v>
      </c>
      <c r="O306" s="105">
        <f>+(13400*100)/119</f>
        <v>11260.504201680673</v>
      </c>
      <c r="P306" s="121">
        <f t="shared" si="319"/>
        <v>337815.12605042016</v>
      </c>
      <c r="Q306" s="165">
        <f t="shared" si="312"/>
        <v>11988.795518207282</v>
      </c>
      <c r="R306" s="166">
        <f t="shared" si="323"/>
        <v>359663.86554621847</v>
      </c>
      <c r="S306" s="222">
        <f t="shared" si="314"/>
        <v>971.14486405376567</v>
      </c>
      <c r="T306" s="223">
        <f t="shared" si="308"/>
        <v>8.1004373006353825E-2</v>
      </c>
      <c r="U306" s="224">
        <f t="shared" si="315"/>
        <v>11344.53781512605</v>
      </c>
      <c r="V306" s="225">
        <f t="shared" si="324"/>
        <v>340336.13445378153</v>
      </c>
      <c r="W306" s="149">
        <f t="shared" si="309"/>
        <v>8.5604621349924526E-2</v>
      </c>
      <c r="X306" s="139" t="s">
        <v>575</v>
      </c>
      <c r="Y306" s="137" t="s">
        <v>596</v>
      </c>
      <c r="Z306" s="138" t="s">
        <v>750</v>
      </c>
    </row>
    <row r="307" spans="1:26" ht="46" thickBot="1" x14ac:dyDescent="0.25">
      <c r="A307" s="276" t="s">
        <v>54</v>
      </c>
      <c r="B307" s="82">
        <f t="shared" si="280"/>
        <v>3</v>
      </c>
      <c r="C307" s="192">
        <v>270</v>
      </c>
      <c r="D307" s="277">
        <v>281</v>
      </c>
      <c r="E307" s="278" t="s">
        <v>599</v>
      </c>
      <c r="F307" s="87" t="s">
        <v>600</v>
      </c>
      <c r="G307" s="415">
        <v>30</v>
      </c>
      <c r="H307" s="29" t="s">
        <v>392</v>
      </c>
      <c r="I307" s="89"/>
      <c r="J307" s="90"/>
      <c r="K307" s="107">
        <v>64000</v>
      </c>
      <c r="L307" s="150">
        <f t="shared" si="317"/>
        <v>1920000</v>
      </c>
      <c r="M307" s="107">
        <v>70500</v>
      </c>
      <c r="N307" s="150">
        <f t="shared" si="318"/>
        <v>2115000</v>
      </c>
      <c r="O307" s="107">
        <v>70500</v>
      </c>
      <c r="P307" s="150">
        <f t="shared" si="319"/>
        <v>2115000</v>
      </c>
      <c r="Q307" s="318">
        <f t="shared" si="312"/>
        <v>68333.333333333328</v>
      </c>
      <c r="R307" s="310">
        <f t="shared" si="323"/>
        <v>2049999.9999999998</v>
      </c>
      <c r="S307" s="311">
        <f t="shared" si="314"/>
        <v>3064.1293851417063</v>
      </c>
      <c r="T307" s="312">
        <f t="shared" si="308"/>
        <v>4.4840917831342045E-2</v>
      </c>
      <c r="U307" s="313">
        <f t="shared" si="315"/>
        <v>70500</v>
      </c>
      <c r="V307" s="314">
        <f t="shared" si="324"/>
        <v>2115000</v>
      </c>
      <c r="W307" s="315">
        <f t="shared" si="309"/>
        <v>4.346282815803839E-2</v>
      </c>
      <c r="X307" s="577" t="s">
        <v>601</v>
      </c>
      <c r="Y307" s="578" t="s">
        <v>602</v>
      </c>
      <c r="Z307" s="579" t="s">
        <v>596</v>
      </c>
    </row>
    <row r="308" spans="1:26" s="211" customFormat="1" ht="20" thickBot="1" x14ac:dyDescent="0.25">
      <c r="A308" s="58">
        <v>1</v>
      </c>
      <c r="B308" s="284"/>
      <c r="C308" s="284"/>
      <c r="D308" s="72"/>
      <c r="E308" s="59"/>
      <c r="F308" s="405" t="s">
        <v>603</v>
      </c>
      <c r="G308" s="60"/>
      <c r="H308" s="60"/>
      <c r="I308" s="60"/>
      <c r="J308" s="60"/>
      <c r="K308" s="112"/>
      <c r="L308" s="113"/>
      <c r="M308" s="113"/>
      <c r="N308" s="113"/>
      <c r="O308" s="113"/>
      <c r="P308" s="113"/>
      <c r="Q308" s="285"/>
      <c r="R308" s="285"/>
      <c r="S308" s="286"/>
      <c r="T308" s="287"/>
      <c r="U308" s="285"/>
      <c r="V308" s="288"/>
      <c r="W308" s="287"/>
      <c r="X308" s="601"/>
      <c r="Y308" s="601"/>
      <c r="Z308" s="602"/>
    </row>
    <row r="309" spans="1:26" ht="150" x14ac:dyDescent="0.2">
      <c r="A309" s="102" t="s">
        <v>20</v>
      </c>
      <c r="B309" s="192">
        <f t="shared" si="280"/>
        <v>1</v>
      </c>
      <c r="C309" s="192">
        <v>271</v>
      </c>
      <c r="D309" s="282">
        <v>282</v>
      </c>
      <c r="E309" s="283" t="s">
        <v>604</v>
      </c>
      <c r="F309" s="95" t="s">
        <v>605</v>
      </c>
      <c r="G309" s="281">
        <v>2</v>
      </c>
      <c r="H309" s="83" t="s">
        <v>23</v>
      </c>
      <c r="I309" s="97">
        <v>2</v>
      </c>
      <c r="J309" s="98" t="s">
        <v>24</v>
      </c>
      <c r="K309" s="108">
        <v>5860001</v>
      </c>
      <c r="L309" s="151">
        <f>+K309*G309*I309</f>
        <v>23440004</v>
      </c>
      <c r="M309" s="126"/>
      <c r="N309" s="127"/>
      <c r="O309" s="126"/>
      <c r="P309" s="127"/>
      <c r="Q309" s="319">
        <f t="shared" ref="Q309:Q313" si="325">+AVERAGE(K309,M309,O309)</f>
        <v>5860001</v>
      </c>
      <c r="R309" s="320">
        <f t="shared" ref="R309:R311" si="326">+Q309*G309*I309</f>
        <v>23440004</v>
      </c>
      <c r="S309" s="222">
        <f t="shared" ref="S309:S313" si="327">_xlfn.STDEV.P(K309,M309,O309)</f>
        <v>0</v>
      </c>
      <c r="T309" s="321">
        <f t="shared" ref="T309:T321" si="328">+S309/Q309</f>
        <v>0</v>
      </c>
      <c r="U309" s="322">
        <f t="shared" ref="U309:U313" si="329">+MEDIAN(K309,M309,O309)</f>
        <v>5860001</v>
      </c>
      <c r="V309" s="323">
        <f t="shared" ref="V309:V312" si="330">+U309*G309*I309</f>
        <v>23440004</v>
      </c>
      <c r="W309" s="324">
        <f t="shared" ref="W309:W321" si="331">+S309/U309</f>
        <v>0</v>
      </c>
      <c r="X309" s="326" t="s">
        <v>819</v>
      </c>
      <c r="Y309" s="231"/>
      <c r="Z309" s="327"/>
    </row>
    <row r="310" spans="1:26" ht="165" x14ac:dyDescent="0.2">
      <c r="A310" s="63" t="s">
        <v>20</v>
      </c>
      <c r="B310" s="66">
        <f t="shared" si="280"/>
        <v>1</v>
      </c>
      <c r="C310" s="66">
        <v>272</v>
      </c>
      <c r="D310" s="75">
        <v>284</v>
      </c>
      <c r="E310" s="74" t="s">
        <v>606</v>
      </c>
      <c r="F310" s="7" t="s">
        <v>607</v>
      </c>
      <c r="G310" s="423">
        <v>2</v>
      </c>
      <c r="H310" s="28" t="s">
        <v>23</v>
      </c>
      <c r="I310" s="10">
        <v>2</v>
      </c>
      <c r="J310" s="11" t="s">
        <v>24</v>
      </c>
      <c r="K310" s="105">
        <v>3224001</v>
      </c>
      <c r="L310" s="106">
        <f>+K310*G310*I310</f>
        <v>12896004</v>
      </c>
      <c r="M310" s="122"/>
      <c r="N310" s="123"/>
      <c r="O310" s="122"/>
      <c r="P310" s="123"/>
      <c r="Q310" s="165">
        <f t="shared" si="325"/>
        <v>3224001</v>
      </c>
      <c r="R310" s="166">
        <f t="shared" si="326"/>
        <v>12896004</v>
      </c>
      <c r="S310" s="222">
        <f t="shared" si="327"/>
        <v>0</v>
      </c>
      <c r="T310" s="223">
        <f t="shared" si="328"/>
        <v>0</v>
      </c>
      <c r="U310" s="224">
        <f t="shared" si="329"/>
        <v>3224001</v>
      </c>
      <c r="V310" s="225">
        <f t="shared" si="330"/>
        <v>12896004</v>
      </c>
      <c r="W310" s="149">
        <f t="shared" si="331"/>
        <v>0</v>
      </c>
      <c r="X310" s="316" t="s">
        <v>819</v>
      </c>
      <c r="Y310" s="137"/>
      <c r="Z310" s="138"/>
    </row>
    <row r="311" spans="1:26" ht="90" x14ac:dyDescent="0.2">
      <c r="A311" s="63" t="s">
        <v>20</v>
      </c>
      <c r="B311" s="66">
        <f t="shared" si="280"/>
        <v>1</v>
      </c>
      <c r="C311" s="192">
        <v>273</v>
      </c>
      <c r="D311" s="75">
        <v>285</v>
      </c>
      <c r="E311" s="74" t="s">
        <v>78</v>
      </c>
      <c r="F311" s="7" t="s">
        <v>79</v>
      </c>
      <c r="G311" s="423">
        <v>1</v>
      </c>
      <c r="H311" s="28" t="s">
        <v>23</v>
      </c>
      <c r="I311" s="10">
        <v>2</v>
      </c>
      <c r="J311" s="11" t="s">
        <v>24</v>
      </c>
      <c r="K311" s="105">
        <v>1602000</v>
      </c>
      <c r="L311" s="106">
        <f>+K311*G311*I311</f>
        <v>3204000</v>
      </c>
      <c r="M311" s="122"/>
      <c r="N311" s="123"/>
      <c r="O311" s="122"/>
      <c r="P311" s="123"/>
      <c r="Q311" s="165">
        <f t="shared" si="325"/>
        <v>1602000</v>
      </c>
      <c r="R311" s="166">
        <f t="shared" si="326"/>
        <v>3204000</v>
      </c>
      <c r="S311" s="222">
        <f t="shared" si="327"/>
        <v>0</v>
      </c>
      <c r="T311" s="223">
        <f t="shared" si="328"/>
        <v>0</v>
      </c>
      <c r="U311" s="224">
        <f t="shared" si="329"/>
        <v>1602000</v>
      </c>
      <c r="V311" s="225">
        <f t="shared" si="330"/>
        <v>3204000</v>
      </c>
      <c r="W311" s="149">
        <f t="shared" si="331"/>
        <v>0</v>
      </c>
      <c r="X311" s="316" t="s">
        <v>819</v>
      </c>
      <c r="Y311" s="137"/>
      <c r="Z311" s="138"/>
    </row>
    <row r="312" spans="1:26" ht="60" x14ac:dyDescent="0.2">
      <c r="A312" s="63" t="s">
        <v>54</v>
      </c>
      <c r="B312" s="66">
        <f t="shared" si="280"/>
        <v>2</v>
      </c>
      <c r="C312" s="66">
        <v>274</v>
      </c>
      <c r="D312" s="75">
        <v>286</v>
      </c>
      <c r="E312" s="74" t="s">
        <v>270</v>
      </c>
      <c r="F312" s="7" t="s">
        <v>721</v>
      </c>
      <c r="G312" s="423">
        <v>1</v>
      </c>
      <c r="H312" s="28" t="s">
        <v>608</v>
      </c>
      <c r="I312" s="10">
        <v>2</v>
      </c>
      <c r="J312" s="11" t="s">
        <v>24</v>
      </c>
      <c r="K312" s="105"/>
      <c r="L312" s="121"/>
      <c r="M312" s="105">
        <v>2800000</v>
      </c>
      <c r="N312" s="148">
        <f>+M312*I312*G312</f>
        <v>5600000</v>
      </c>
      <c r="O312" s="105">
        <v>2000000</v>
      </c>
      <c r="P312" s="148">
        <f>+O312*I312*G312</f>
        <v>4000000</v>
      </c>
      <c r="Q312" s="165">
        <f>+AVERAGE(M312,O312)</f>
        <v>2400000</v>
      </c>
      <c r="R312" s="166">
        <f>+Q312*G312*I312</f>
        <v>4800000</v>
      </c>
      <c r="S312" s="222">
        <f>_xlfn.STDEV.P(M312,O312)</f>
        <v>400000</v>
      </c>
      <c r="T312" s="223">
        <f t="shared" si="328"/>
        <v>0.16666666666666666</v>
      </c>
      <c r="U312" s="224">
        <f t="shared" si="329"/>
        <v>2400000</v>
      </c>
      <c r="V312" s="225">
        <f t="shared" si="330"/>
        <v>4800000</v>
      </c>
      <c r="W312" s="149">
        <f t="shared" si="331"/>
        <v>0.16666666666666666</v>
      </c>
      <c r="X312" s="139"/>
      <c r="Y312" s="137" t="s">
        <v>759</v>
      </c>
      <c r="Z312" s="138" t="s">
        <v>752</v>
      </c>
    </row>
    <row r="313" spans="1:26" ht="51" x14ac:dyDescent="0.2">
      <c r="A313" s="63" t="s">
        <v>54</v>
      </c>
      <c r="B313" s="66">
        <f t="shared" si="280"/>
        <v>3</v>
      </c>
      <c r="C313" s="192">
        <v>275</v>
      </c>
      <c r="D313" s="75">
        <v>288</v>
      </c>
      <c r="E313" s="384" t="s">
        <v>880</v>
      </c>
      <c r="F313" s="7" t="s">
        <v>609</v>
      </c>
      <c r="G313" s="423">
        <v>1</v>
      </c>
      <c r="H313" s="28" t="s">
        <v>392</v>
      </c>
      <c r="I313" s="10"/>
      <c r="J313" s="11"/>
      <c r="K313" s="507">
        <v>10000000</v>
      </c>
      <c r="L313" s="121">
        <f t="shared" ref="L313:L321" si="332">K313*G313</f>
        <v>10000000</v>
      </c>
      <c r="M313" s="507">
        <v>10000000</v>
      </c>
      <c r="N313" s="121">
        <f t="shared" ref="N313:N321" si="333">G313*M313</f>
        <v>10000000</v>
      </c>
      <c r="O313" s="507">
        <v>10000000</v>
      </c>
      <c r="P313" s="121">
        <f t="shared" ref="P313:P321" si="334">G313*O313</f>
        <v>10000000</v>
      </c>
      <c r="Q313" s="165">
        <f t="shared" si="325"/>
        <v>10000000</v>
      </c>
      <c r="R313" s="166">
        <f>+Q313*G313</f>
        <v>10000000</v>
      </c>
      <c r="S313" s="222">
        <f t="shared" si="327"/>
        <v>0</v>
      </c>
      <c r="T313" s="223">
        <f t="shared" si="328"/>
        <v>0</v>
      </c>
      <c r="U313" s="224">
        <f t="shared" si="329"/>
        <v>10000000</v>
      </c>
      <c r="V313" s="225">
        <f>+U313*G313</f>
        <v>10000000</v>
      </c>
      <c r="W313" s="149">
        <f t="shared" si="331"/>
        <v>0</v>
      </c>
      <c r="X313" s="139" t="s">
        <v>397</v>
      </c>
      <c r="Y313" s="137"/>
      <c r="Z313" s="138"/>
    </row>
    <row r="314" spans="1:26" ht="30" x14ac:dyDescent="0.2">
      <c r="A314" s="63" t="s">
        <v>54</v>
      </c>
      <c r="B314" s="66">
        <f t="shared" si="280"/>
        <v>3</v>
      </c>
      <c r="C314" s="66">
        <v>276</v>
      </c>
      <c r="D314" s="75">
        <v>289</v>
      </c>
      <c r="E314" s="74" t="s">
        <v>559</v>
      </c>
      <c r="F314" s="7" t="s">
        <v>610</v>
      </c>
      <c r="G314" s="423">
        <v>30</v>
      </c>
      <c r="H314" s="28" t="s">
        <v>392</v>
      </c>
      <c r="I314" s="10"/>
      <c r="J314" s="11"/>
      <c r="K314" s="105">
        <f>+(120000*100)/119</f>
        <v>100840.33613445378</v>
      </c>
      <c r="L314" s="121">
        <f t="shared" si="332"/>
        <v>3025210.0840336136</v>
      </c>
      <c r="M314" s="105">
        <f>+(110900*100)/119</f>
        <v>93193.277310924372</v>
      </c>
      <c r="N314" s="121">
        <f t="shared" si="333"/>
        <v>2795798.3193277312</v>
      </c>
      <c r="O314" s="105">
        <f>+(128900*100)/119</f>
        <v>108319.32773109243</v>
      </c>
      <c r="P314" s="121">
        <f t="shared" si="334"/>
        <v>3249579.8319327729</v>
      </c>
      <c r="Q314" s="165">
        <f t="shared" ref="Q314:Q321" si="335">+AVERAGE(K314,M314,O314)</f>
        <v>100784.3137254902</v>
      </c>
      <c r="R314" s="166">
        <f t="shared" ref="R314:R321" si="336">+Q314*G314</f>
        <v>3023529.411764706</v>
      </c>
      <c r="S314" s="222">
        <f t="shared" ref="S314:S321" si="337">_xlfn.STDEV.P(K314,M314,O314)</f>
        <v>6175.3112856004345</v>
      </c>
      <c r="T314" s="223">
        <f t="shared" si="328"/>
        <v>6.127254388436229E-2</v>
      </c>
      <c r="U314" s="224">
        <f t="shared" ref="U314:U321" si="338">+MEDIAN(K314,M314,O314)</f>
        <v>100840.33613445378</v>
      </c>
      <c r="V314" s="225">
        <f t="shared" ref="V314:V321" si="339">+U314*G314</f>
        <v>3025210.0840336136</v>
      </c>
      <c r="W314" s="149">
        <f t="shared" si="331"/>
        <v>6.1238503582204305E-2</v>
      </c>
      <c r="X314" s="139" t="s">
        <v>760</v>
      </c>
      <c r="Y314" s="137" t="s">
        <v>261</v>
      </c>
      <c r="Z314" s="138" t="s">
        <v>761</v>
      </c>
    </row>
    <row r="315" spans="1:26" ht="45" x14ac:dyDescent="0.2">
      <c r="A315" s="63" t="s">
        <v>54</v>
      </c>
      <c r="B315" s="66">
        <f t="shared" si="280"/>
        <v>3</v>
      </c>
      <c r="C315" s="192">
        <v>277</v>
      </c>
      <c r="D315" s="75">
        <v>290</v>
      </c>
      <c r="E315" s="74" t="s">
        <v>611</v>
      </c>
      <c r="F315" s="7" t="s">
        <v>612</v>
      </c>
      <c r="G315" s="423">
        <v>5</v>
      </c>
      <c r="H315" s="28" t="s">
        <v>392</v>
      </c>
      <c r="I315" s="10"/>
      <c r="J315" s="11"/>
      <c r="K315" s="105">
        <f>+(100500*100)/119</f>
        <v>84453.781512605041</v>
      </c>
      <c r="L315" s="121">
        <f t="shared" si="332"/>
        <v>422268.90756302519</v>
      </c>
      <c r="M315" s="105">
        <f>+(121900*100)/119</f>
        <v>102436.97478991597</v>
      </c>
      <c r="N315" s="121">
        <f t="shared" si="333"/>
        <v>512184.87394957984</v>
      </c>
      <c r="O315" s="105">
        <f>+(122299*100)/119</f>
        <v>102772.26890756302</v>
      </c>
      <c r="P315" s="121">
        <f t="shared" si="334"/>
        <v>513861.34453781508</v>
      </c>
      <c r="Q315" s="165">
        <f t="shared" si="335"/>
        <v>96554.341736694681</v>
      </c>
      <c r="R315" s="166">
        <f t="shared" si="336"/>
        <v>482771.70868347341</v>
      </c>
      <c r="S315" s="222">
        <f t="shared" si="337"/>
        <v>8557.4830349017666</v>
      </c>
      <c r="T315" s="223">
        <f t="shared" si="328"/>
        <v>8.862867149193733E-2</v>
      </c>
      <c r="U315" s="224">
        <f t="shared" si="338"/>
        <v>102436.97478991597</v>
      </c>
      <c r="V315" s="225">
        <f t="shared" si="339"/>
        <v>512184.87394957984</v>
      </c>
      <c r="W315" s="149">
        <f t="shared" si="331"/>
        <v>8.3539005837022978E-2</v>
      </c>
      <c r="X315" s="139" t="s">
        <v>760</v>
      </c>
      <c r="Y315" s="137" t="s">
        <v>261</v>
      </c>
      <c r="Z315" s="138" t="s">
        <v>762</v>
      </c>
    </row>
    <row r="316" spans="1:26" ht="30" x14ac:dyDescent="0.2">
      <c r="A316" s="63" t="s">
        <v>54</v>
      </c>
      <c r="B316" s="66">
        <f t="shared" si="280"/>
        <v>3</v>
      </c>
      <c r="C316" s="66">
        <v>278</v>
      </c>
      <c r="D316" s="75">
        <v>291</v>
      </c>
      <c r="E316" s="74" t="s">
        <v>567</v>
      </c>
      <c r="F316" s="7" t="s">
        <v>613</v>
      </c>
      <c r="G316" s="423">
        <v>5</v>
      </c>
      <c r="H316" s="28" t="s">
        <v>392</v>
      </c>
      <c r="I316" s="10"/>
      <c r="J316" s="11"/>
      <c r="K316" s="105">
        <f>+(105900*100)/119</f>
        <v>88991.596638655465</v>
      </c>
      <c r="L316" s="121">
        <f t="shared" si="332"/>
        <v>444957.98319327732</v>
      </c>
      <c r="M316" s="105">
        <f>+(130990*100)/119</f>
        <v>110075.63025210085</v>
      </c>
      <c r="N316" s="121">
        <f t="shared" si="333"/>
        <v>550378.15126050427</v>
      </c>
      <c r="O316" s="105">
        <f>+(105900*100)/119</f>
        <v>88991.596638655465</v>
      </c>
      <c r="P316" s="121">
        <f t="shared" si="334"/>
        <v>444957.98319327732</v>
      </c>
      <c r="Q316" s="165">
        <f t="shared" si="335"/>
        <v>96019.607843137273</v>
      </c>
      <c r="R316" s="166">
        <f t="shared" si="336"/>
        <v>480098.03921568638</v>
      </c>
      <c r="S316" s="222">
        <f t="shared" si="337"/>
        <v>9939.1087618880592</v>
      </c>
      <c r="T316" s="223">
        <f t="shared" si="328"/>
        <v>0.10351124093450907</v>
      </c>
      <c r="U316" s="224">
        <f t="shared" si="338"/>
        <v>88991.596638655465</v>
      </c>
      <c r="V316" s="225">
        <f t="shared" si="339"/>
        <v>444957.98319327732</v>
      </c>
      <c r="W316" s="149">
        <f t="shared" si="331"/>
        <v>0.11168592470865712</v>
      </c>
      <c r="X316" s="139" t="s">
        <v>261</v>
      </c>
      <c r="Y316" s="137" t="s">
        <v>747</v>
      </c>
      <c r="Z316" s="138" t="s">
        <v>763</v>
      </c>
    </row>
    <row r="317" spans="1:26" ht="30" x14ac:dyDescent="0.2">
      <c r="A317" s="63" t="s">
        <v>54</v>
      </c>
      <c r="B317" s="66">
        <f t="shared" si="280"/>
        <v>3</v>
      </c>
      <c r="C317" s="192">
        <v>279</v>
      </c>
      <c r="D317" s="75">
        <v>292</v>
      </c>
      <c r="E317" s="74" t="s">
        <v>614</v>
      </c>
      <c r="F317" s="7" t="s">
        <v>615</v>
      </c>
      <c r="G317" s="423">
        <v>20</v>
      </c>
      <c r="H317" s="28" t="s">
        <v>392</v>
      </c>
      <c r="I317" s="10"/>
      <c r="J317" s="11"/>
      <c r="K317" s="105">
        <f>+(39900*100)/119</f>
        <v>33529.411764705881</v>
      </c>
      <c r="L317" s="121">
        <f t="shared" si="332"/>
        <v>670588.23529411759</v>
      </c>
      <c r="M317" s="105">
        <f>+(41900*100)/119</f>
        <v>35210.084033613442</v>
      </c>
      <c r="N317" s="121">
        <f t="shared" si="333"/>
        <v>704201.68067226885</v>
      </c>
      <c r="O317" s="105">
        <v>28000</v>
      </c>
      <c r="P317" s="121">
        <f t="shared" si="334"/>
        <v>560000</v>
      </c>
      <c r="Q317" s="165">
        <f t="shared" si="335"/>
        <v>32246.498599439772</v>
      </c>
      <c r="R317" s="166">
        <f t="shared" si="336"/>
        <v>644929.97198879544</v>
      </c>
      <c r="S317" s="222">
        <f t="shared" si="337"/>
        <v>3080.1220306076293</v>
      </c>
      <c r="T317" s="223">
        <f t="shared" si="328"/>
        <v>9.5518030309843974E-2</v>
      </c>
      <c r="U317" s="224">
        <f t="shared" si="338"/>
        <v>33529.411764705881</v>
      </c>
      <c r="V317" s="225">
        <f t="shared" si="339"/>
        <v>670588.23529411759</v>
      </c>
      <c r="W317" s="149">
        <f t="shared" si="331"/>
        <v>9.1863288632157369E-2</v>
      </c>
      <c r="X317" s="139" t="s">
        <v>764</v>
      </c>
      <c r="Y317" s="137" t="s">
        <v>261</v>
      </c>
      <c r="Z317" s="138" t="s">
        <v>930</v>
      </c>
    </row>
    <row r="318" spans="1:26" ht="45" x14ac:dyDescent="0.2">
      <c r="A318" s="63" t="s">
        <v>54</v>
      </c>
      <c r="B318" s="66">
        <f t="shared" si="280"/>
        <v>3</v>
      </c>
      <c r="C318" s="66">
        <v>280</v>
      </c>
      <c r="D318" s="75">
        <v>293</v>
      </c>
      <c r="E318" s="74" t="s">
        <v>597</v>
      </c>
      <c r="F318" s="7" t="s">
        <v>598</v>
      </c>
      <c r="G318" s="423">
        <v>80</v>
      </c>
      <c r="H318" s="28" t="s">
        <v>392</v>
      </c>
      <c r="I318" s="10"/>
      <c r="J318" s="11"/>
      <c r="K318" s="105">
        <f>+(25244*100)/119</f>
        <v>21213.44537815126</v>
      </c>
      <c r="L318" s="121">
        <f t="shared" si="332"/>
        <v>1697075.6302521008</v>
      </c>
      <c r="M318" s="105">
        <f>+(27900*100)/119</f>
        <v>23445.378151260506</v>
      </c>
      <c r="N318" s="121">
        <f t="shared" si="333"/>
        <v>1875630.2521008404</v>
      </c>
      <c r="O318" s="105">
        <f>+(29988*100)/119</f>
        <v>25200</v>
      </c>
      <c r="P318" s="121">
        <f t="shared" si="334"/>
        <v>2016000</v>
      </c>
      <c r="Q318" s="165">
        <f t="shared" si="335"/>
        <v>23286.274509803919</v>
      </c>
      <c r="R318" s="166">
        <f t="shared" si="336"/>
        <v>1862901.9607843135</v>
      </c>
      <c r="S318" s="222">
        <f t="shared" si="337"/>
        <v>1631.387939718702</v>
      </c>
      <c r="T318" s="223">
        <f t="shared" si="328"/>
        <v>7.0057919270506738E-2</v>
      </c>
      <c r="U318" s="224">
        <f t="shared" si="338"/>
        <v>23445.378151260506</v>
      </c>
      <c r="V318" s="225">
        <f t="shared" si="339"/>
        <v>1875630.2521008404</v>
      </c>
      <c r="W318" s="149">
        <f t="shared" si="331"/>
        <v>6.9582496353593384E-2</v>
      </c>
      <c r="X318" s="139" t="s">
        <v>765</v>
      </c>
      <c r="Y318" s="137" t="s">
        <v>905</v>
      </c>
      <c r="Z318" s="138" t="s">
        <v>906</v>
      </c>
    </row>
    <row r="319" spans="1:26" ht="45" x14ac:dyDescent="0.2">
      <c r="A319" s="63" t="s">
        <v>54</v>
      </c>
      <c r="B319" s="66">
        <f t="shared" si="280"/>
        <v>3</v>
      </c>
      <c r="C319" s="192">
        <v>281</v>
      </c>
      <c r="D319" s="75">
        <v>294</v>
      </c>
      <c r="E319" s="74" t="s">
        <v>599</v>
      </c>
      <c r="F319" s="7" t="s">
        <v>600</v>
      </c>
      <c r="G319" s="423">
        <v>80</v>
      </c>
      <c r="H319" s="28" t="s">
        <v>392</v>
      </c>
      <c r="I319" s="10"/>
      <c r="J319" s="11"/>
      <c r="K319" s="105">
        <f>+(14800*100)/119</f>
        <v>12436.974789915967</v>
      </c>
      <c r="L319" s="121">
        <f t="shared" si="332"/>
        <v>994957.98319327738</v>
      </c>
      <c r="M319" s="105">
        <f>+(15000*100)/119</f>
        <v>12605.042016806723</v>
      </c>
      <c r="N319" s="121">
        <f t="shared" si="333"/>
        <v>1008403.3613445378</v>
      </c>
      <c r="O319" s="105">
        <v>15000</v>
      </c>
      <c r="P319" s="121">
        <f t="shared" si="334"/>
        <v>1200000</v>
      </c>
      <c r="Q319" s="165">
        <f t="shared" si="335"/>
        <v>13347.338935574231</v>
      </c>
      <c r="R319" s="166">
        <f t="shared" si="336"/>
        <v>1067787.1148459385</v>
      </c>
      <c r="S319" s="222">
        <f t="shared" si="337"/>
        <v>1170.620375012149</v>
      </c>
      <c r="T319" s="223">
        <f t="shared" si="328"/>
        <v>8.7704401653585964E-2</v>
      </c>
      <c r="U319" s="224">
        <f t="shared" si="338"/>
        <v>12605.042016806723</v>
      </c>
      <c r="V319" s="225">
        <f t="shared" si="339"/>
        <v>1008403.3613445378</v>
      </c>
      <c r="W319" s="149">
        <f t="shared" si="331"/>
        <v>9.286921641763049E-2</v>
      </c>
      <c r="X319" s="139" t="s">
        <v>767</v>
      </c>
      <c r="Y319" s="137" t="s">
        <v>768</v>
      </c>
      <c r="Z319" s="138" t="s">
        <v>929</v>
      </c>
    </row>
    <row r="320" spans="1:26" ht="45" x14ac:dyDescent="0.2">
      <c r="A320" s="63" t="s">
        <v>54</v>
      </c>
      <c r="B320" s="66">
        <f t="shared" si="280"/>
        <v>3</v>
      </c>
      <c r="C320" s="66">
        <v>282</v>
      </c>
      <c r="D320" s="75">
        <v>295</v>
      </c>
      <c r="E320" s="74" t="s">
        <v>365</v>
      </c>
      <c r="F320" s="7" t="s">
        <v>366</v>
      </c>
      <c r="G320" s="423">
        <v>80</v>
      </c>
      <c r="H320" s="28" t="s">
        <v>57</v>
      </c>
      <c r="I320" s="10"/>
      <c r="J320" s="11"/>
      <c r="K320" s="105">
        <f>+(7900*100)/119</f>
        <v>6638.6554621848736</v>
      </c>
      <c r="L320" s="121">
        <f t="shared" si="332"/>
        <v>531092.43697478995</v>
      </c>
      <c r="M320" s="105">
        <f>+(9603*100)/119</f>
        <v>8069.7478991596636</v>
      </c>
      <c r="N320" s="121">
        <f t="shared" si="333"/>
        <v>645579.83193277312</v>
      </c>
      <c r="O320" s="105">
        <f>+(9188*100)/119</f>
        <v>7721.0084033613448</v>
      </c>
      <c r="P320" s="121">
        <f t="shared" si="334"/>
        <v>617680.67226890754</v>
      </c>
      <c r="Q320" s="165">
        <f t="shared" si="335"/>
        <v>7476.4705882352937</v>
      </c>
      <c r="R320" s="166">
        <f t="shared" si="336"/>
        <v>598117.6470588235</v>
      </c>
      <c r="S320" s="222">
        <f t="shared" si="337"/>
        <v>609.29218391046606</v>
      </c>
      <c r="T320" s="223">
        <f t="shared" si="328"/>
        <v>8.1494627273626469E-2</v>
      </c>
      <c r="U320" s="224">
        <f t="shared" si="338"/>
        <v>7721.0084033613448</v>
      </c>
      <c r="V320" s="225">
        <f t="shared" si="339"/>
        <v>617680.67226890754</v>
      </c>
      <c r="W320" s="149">
        <f t="shared" si="331"/>
        <v>7.8913550158190529E-2</v>
      </c>
      <c r="X320" s="139" t="s">
        <v>766</v>
      </c>
      <c r="Y320" s="137" t="s">
        <v>770</v>
      </c>
      <c r="Z320" s="138" t="s">
        <v>771</v>
      </c>
    </row>
    <row r="321" spans="1:26" ht="256" thickBot="1" x14ac:dyDescent="0.25">
      <c r="A321" s="276" t="s">
        <v>54</v>
      </c>
      <c r="B321" s="82">
        <f t="shared" si="280"/>
        <v>3</v>
      </c>
      <c r="C321" s="192">
        <v>283</v>
      </c>
      <c r="D321" s="277">
        <v>296</v>
      </c>
      <c r="E321" s="278" t="s">
        <v>77</v>
      </c>
      <c r="F321" s="87" t="s">
        <v>848</v>
      </c>
      <c r="G321" s="415">
        <v>80</v>
      </c>
      <c r="H321" s="29" t="s">
        <v>57</v>
      </c>
      <c r="I321" s="89"/>
      <c r="J321" s="90"/>
      <c r="K321" s="107">
        <f>+(18000*100)/119</f>
        <v>15126.050420168067</v>
      </c>
      <c r="L321" s="150">
        <f t="shared" si="332"/>
        <v>1210084.0336134452</v>
      </c>
      <c r="M321" s="107">
        <f>+(19500*100)/119</f>
        <v>16386.55462184874</v>
      </c>
      <c r="N321" s="150">
        <f t="shared" si="333"/>
        <v>1310924.3697478992</v>
      </c>
      <c r="O321" s="107">
        <f>+(18500*100)/119</f>
        <v>15546.218487394957</v>
      </c>
      <c r="P321" s="150">
        <f t="shared" si="334"/>
        <v>1243697.4789915965</v>
      </c>
      <c r="Q321" s="318">
        <f t="shared" si="335"/>
        <v>15686.274509803921</v>
      </c>
      <c r="R321" s="310">
        <f t="shared" si="336"/>
        <v>1254901.9607843137</v>
      </c>
      <c r="S321" s="311">
        <f t="shared" si="337"/>
        <v>524.04165080867563</v>
      </c>
      <c r="T321" s="312">
        <f t="shared" si="328"/>
        <v>3.340765523905307E-2</v>
      </c>
      <c r="U321" s="313">
        <f t="shared" si="338"/>
        <v>15546.218487394957</v>
      </c>
      <c r="V321" s="314">
        <f t="shared" si="339"/>
        <v>1243697.4789915965</v>
      </c>
      <c r="W321" s="315">
        <f t="shared" si="331"/>
        <v>3.3708625106071567E-2</v>
      </c>
      <c r="X321" s="141" t="s">
        <v>772</v>
      </c>
      <c r="Y321" s="153" t="s">
        <v>773</v>
      </c>
      <c r="Z321" s="154" t="s">
        <v>774</v>
      </c>
    </row>
    <row r="322" spans="1:26" s="211" customFormat="1" ht="39" thickBot="1" x14ac:dyDescent="0.25">
      <c r="A322" s="58">
        <v>1</v>
      </c>
      <c r="B322" s="284"/>
      <c r="C322" s="284"/>
      <c r="D322" s="72"/>
      <c r="E322" s="59"/>
      <c r="F322" s="405" t="s">
        <v>616</v>
      </c>
      <c r="G322" s="60"/>
      <c r="H322" s="60"/>
      <c r="I322" s="60"/>
      <c r="J322" s="60"/>
      <c r="K322" s="285"/>
      <c r="L322" s="285"/>
      <c r="M322" s="285"/>
      <c r="N322" s="285"/>
      <c r="O322" s="285"/>
      <c r="P322" s="285"/>
      <c r="Q322" s="285"/>
      <c r="R322" s="285"/>
      <c r="S322" s="286"/>
      <c r="T322" s="287"/>
      <c r="U322" s="285"/>
      <c r="V322" s="288"/>
      <c r="W322" s="287"/>
      <c r="X322" s="601"/>
      <c r="Y322" s="601"/>
      <c r="Z322" s="602"/>
    </row>
    <row r="323" spans="1:26" ht="60" x14ac:dyDescent="0.2">
      <c r="A323" s="102" t="s">
        <v>20</v>
      </c>
      <c r="B323" s="192">
        <f t="shared" ref="B323:B382" si="340">+COUNT(K323,M323,O323)</f>
        <v>1</v>
      </c>
      <c r="C323" s="192">
        <v>284</v>
      </c>
      <c r="D323" s="282">
        <v>297</v>
      </c>
      <c r="E323" s="283" t="s">
        <v>617</v>
      </c>
      <c r="F323" s="95" t="s">
        <v>618</v>
      </c>
      <c r="G323" s="281">
        <v>2</v>
      </c>
      <c r="H323" s="83" t="s">
        <v>23</v>
      </c>
      <c r="I323" s="97">
        <v>2</v>
      </c>
      <c r="J323" s="98" t="s">
        <v>24</v>
      </c>
      <c r="K323" s="108">
        <v>5860001</v>
      </c>
      <c r="L323" s="151">
        <f>+K323*G323*I323</f>
        <v>23440004</v>
      </c>
      <c r="M323" s="126"/>
      <c r="N323" s="127"/>
      <c r="O323" s="126"/>
      <c r="P323" s="127"/>
      <c r="Q323" s="319">
        <f>+AVERAGE(K323,M323,O323)</f>
        <v>5860001</v>
      </c>
      <c r="R323" s="320">
        <f>+Q323*G323*I323</f>
        <v>23440004</v>
      </c>
      <c r="S323" s="222">
        <f>_xlfn.STDEV.P(K323,M323,O323)</f>
        <v>0</v>
      </c>
      <c r="T323" s="321">
        <f t="shared" ref="T323:T340" si="341">+S323/Q323</f>
        <v>0</v>
      </c>
      <c r="U323" s="322">
        <f>+MEDIAN(K323,M323,O323)</f>
        <v>5860001</v>
      </c>
      <c r="V323" s="323">
        <f>+U323*G323*I323</f>
        <v>23440004</v>
      </c>
      <c r="W323" s="324">
        <f t="shared" ref="W323:W340" si="342">+S323/U323</f>
        <v>0</v>
      </c>
      <c r="X323" s="326" t="s">
        <v>819</v>
      </c>
      <c r="Y323" s="231"/>
      <c r="Z323" s="327"/>
    </row>
    <row r="324" spans="1:26" ht="60" x14ac:dyDescent="0.2">
      <c r="A324" s="63" t="s">
        <v>20</v>
      </c>
      <c r="B324" s="66">
        <f t="shared" si="340"/>
        <v>1</v>
      </c>
      <c r="C324" s="66">
        <v>285</v>
      </c>
      <c r="D324" s="75">
        <v>298</v>
      </c>
      <c r="E324" s="74" t="s">
        <v>619</v>
      </c>
      <c r="F324" s="7" t="s">
        <v>620</v>
      </c>
      <c r="G324" s="423">
        <v>1</v>
      </c>
      <c r="H324" s="28" t="s">
        <v>23</v>
      </c>
      <c r="I324" s="10">
        <v>2</v>
      </c>
      <c r="J324" s="11" t="s">
        <v>24</v>
      </c>
      <c r="K324" s="105">
        <v>5860001</v>
      </c>
      <c r="L324" s="106">
        <f>+K324*G324*I324</f>
        <v>11720002</v>
      </c>
      <c r="M324" s="122"/>
      <c r="N324" s="123"/>
      <c r="O324" s="122"/>
      <c r="P324" s="123"/>
      <c r="Q324" s="165">
        <f>+AVERAGE(K324,M324,O324)</f>
        <v>5860001</v>
      </c>
      <c r="R324" s="166">
        <f>+Q324*G324*I324</f>
        <v>11720002</v>
      </c>
      <c r="S324" s="222">
        <f>_xlfn.STDEV.P(K324,M324,O324)</f>
        <v>0</v>
      </c>
      <c r="T324" s="223">
        <f t="shared" si="341"/>
        <v>0</v>
      </c>
      <c r="U324" s="224">
        <f>+MEDIAN(K324,M324,O324)</f>
        <v>5860001</v>
      </c>
      <c r="V324" s="225">
        <f>+U324*G324*I324</f>
        <v>11720002</v>
      </c>
      <c r="W324" s="149">
        <f t="shared" si="342"/>
        <v>0</v>
      </c>
      <c r="X324" s="316" t="s">
        <v>819</v>
      </c>
      <c r="Y324" s="137"/>
      <c r="Z324" s="138"/>
    </row>
    <row r="325" spans="1:26" ht="90" x14ac:dyDescent="0.2">
      <c r="A325" s="63" t="s">
        <v>20</v>
      </c>
      <c r="B325" s="66">
        <f t="shared" si="340"/>
        <v>1</v>
      </c>
      <c r="C325" s="192">
        <v>286</v>
      </c>
      <c r="D325" s="75">
        <v>300</v>
      </c>
      <c r="E325" s="74" t="s">
        <v>78</v>
      </c>
      <c r="F325" s="7" t="s">
        <v>79</v>
      </c>
      <c r="G325" s="423">
        <v>2</v>
      </c>
      <c r="H325" s="28" t="s">
        <v>23</v>
      </c>
      <c r="I325" s="10">
        <v>2</v>
      </c>
      <c r="J325" s="11" t="s">
        <v>24</v>
      </c>
      <c r="K325" s="105">
        <v>1602000</v>
      </c>
      <c r="L325" s="106">
        <f>+K325*G325*I325</f>
        <v>6408000</v>
      </c>
      <c r="M325" s="122"/>
      <c r="N325" s="123"/>
      <c r="O325" s="122"/>
      <c r="P325" s="123"/>
      <c r="Q325" s="165">
        <f>+AVERAGE(K325,M325,O325)</f>
        <v>1602000</v>
      </c>
      <c r="R325" s="166">
        <f>+Q325*G325*I325</f>
        <v>6408000</v>
      </c>
      <c r="S325" s="222">
        <f>_xlfn.STDEV.P(K325,M325,O325)</f>
        <v>0</v>
      </c>
      <c r="T325" s="223">
        <f t="shared" si="341"/>
        <v>0</v>
      </c>
      <c r="U325" s="224">
        <f>+MEDIAN(K325,M325,O325)</f>
        <v>1602000</v>
      </c>
      <c r="V325" s="225">
        <f>+U325*G325*I325</f>
        <v>6408000</v>
      </c>
      <c r="W325" s="149">
        <f t="shared" si="342"/>
        <v>0</v>
      </c>
      <c r="X325" s="316" t="s">
        <v>819</v>
      </c>
      <c r="Y325" s="137"/>
      <c r="Z325" s="138"/>
    </row>
    <row r="326" spans="1:26" ht="45" x14ac:dyDescent="0.2">
      <c r="A326" s="63" t="s">
        <v>54</v>
      </c>
      <c r="B326" s="66">
        <f t="shared" si="340"/>
        <v>3</v>
      </c>
      <c r="C326" s="66">
        <v>287</v>
      </c>
      <c r="D326" s="75">
        <v>301</v>
      </c>
      <c r="E326" s="74" t="s">
        <v>125</v>
      </c>
      <c r="F326" s="7" t="s">
        <v>126</v>
      </c>
      <c r="G326" s="423">
        <v>30</v>
      </c>
      <c r="H326" s="12" t="s">
        <v>392</v>
      </c>
      <c r="I326" s="10"/>
      <c r="J326" s="11"/>
      <c r="K326" s="105">
        <f>+(218960*100)/119</f>
        <v>184000</v>
      </c>
      <c r="L326" s="121">
        <f t="shared" ref="L326:L330" si="343">K326*G326</f>
        <v>5520000</v>
      </c>
      <c r="M326" s="105">
        <f>+(111000*5.35%)+111000</f>
        <v>116938.5</v>
      </c>
      <c r="N326" s="121">
        <f t="shared" ref="N326:N330" si="344">G326*M326</f>
        <v>3508155</v>
      </c>
      <c r="O326" s="105">
        <f>+(110000*5.35%)+110000</f>
        <v>115885</v>
      </c>
      <c r="P326" s="121">
        <f t="shared" ref="P326:P330" si="345">G326*O326</f>
        <v>3476550</v>
      </c>
      <c r="Q326" s="165">
        <f t="shared" ref="Q326:Q339" si="346">+AVERAGE(K326,M326,O326)</f>
        <v>138941.16666666666</v>
      </c>
      <c r="R326" s="166">
        <f>+Q326*G326</f>
        <v>4168234.9999999995</v>
      </c>
      <c r="S326" s="222">
        <f t="shared" ref="S326:S340" si="347">_xlfn.STDEV.P(K326,M326,O326)</f>
        <v>31864.309308726937</v>
      </c>
      <c r="T326" s="223">
        <f t="shared" si="341"/>
        <v>0.2293367046871897</v>
      </c>
      <c r="U326" s="224">
        <f t="shared" ref="U326:U339" si="348">+MEDIAN(K326,M326,O326)</f>
        <v>116938.5</v>
      </c>
      <c r="V326" s="225">
        <f>+U326*G326</f>
        <v>3508155</v>
      </c>
      <c r="W326" s="149">
        <f t="shared" si="342"/>
        <v>0.27248775474909409</v>
      </c>
      <c r="X326" s="139" t="s">
        <v>729</v>
      </c>
      <c r="Y326" s="137" t="s">
        <v>730</v>
      </c>
      <c r="Z326" s="138" t="s">
        <v>731</v>
      </c>
    </row>
    <row r="327" spans="1:26" ht="75" x14ac:dyDescent="0.2">
      <c r="A327" s="63" t="s">
        <v>54</v>
      </c>
      <c r="B327" s="66">
        <f t="shared" si="340"/>
        <v>3</v>
      </c>
      <c r="C327" s="192">
        <v>288</v>
      </c>
      <c r="D327" s="75">
        <v>302</v>
      </c>
      <c r="E327" s="74" t="s">
        <v>621</v>
      </c>
      <c r="F327" s="7" t="s">
        <v>622</v>
      </c>
      <c r="G327" s="423">
        <v>30</v>
      </c>
      <c r="H327" s="28" t="s">
        <v>57</v>
      </c>
      <c r="I327" s="10"/>
      <c r="J327" s="11"/>
      <c r="K327" s="105">
        <f>+(18500*100)/119</f>
        <v>15546.218487394957</v>
      </c>
      <c r="L327" s="121">
        <f t="shared" si="343"/>
        <v>466386.55462184874</v>
      </c>
      <c r="M327" s="105">
        <v>35000</v>
      </c>
      <c r="N327" s="121">
        <f t="shared" si="344"/>
        <v>1050000</v>
      </c>
      <c r="O327" s="105">
        <v>30000</v>
      </c>
      <c r="P327" s="121">
        <f t="shared" si="345"/>
        <v>900000</v>
      </c>
      <c r="Q327" s="165">
        <f t="shared" si="346"/>
        <v>26848.73949579832</v>
      </c>
      <c r="R327" s="166">
        <f t="shared" ref="R327:R330" si="349">+Q327*G327</f>
        <v>805462.18487394962</v>
      </c>
      <c r="S327" s="222">
        <f t="shared" si="347"/>
        <v>8248.6457821491167</v>
      </c>
      <c r="T327" s="223">
        <f t="shared" si="341"/>
        <v>0.30722655651823</v>
      </c>
      <c r="U327" s="224">
        <f t="shared" si="348"/>
        <v>30000</v>
      </c>
      <c r="V327" s="225">
        <f t="shared" ref="V327:V330" si="350">+U327*G327</f>
        <v>900000</v>
      </c>
      <c r="W327" s="149">
        <f t="shared" si="342"/>
        <v>0.27495485940497055</v>
      </c>
      <c r="X327" s="139" t="s">
        <v>728</v>
      </c>
      <c r="Y327" s="138" t="s">
        <v>759</v>
      </c>
      <c r="Z327" s="138" t="s">
        <v>752</v>
      </c>
    </row>
    <row r="328" spans="1:26" ht="60" x14ac:dyDescent="0.2">
      <c r="A328" s="63" t="s">
        <v>54</v>
      </c>
      <c r="B328" s="66">
        <f t="shared" si="340"/>
        <v>3</v>
      </c>
      <c r="C328" s="66">
        <v>289</v>
      </c>
      <c r="D328" s="75">
        <v>303</v>
      </c>
      <c r="E328" s="74" t="s">
        <v>623</v>
      </c>
      <c r="F328" s="7" t="s">
        <v>624</v>
      </c>
      <c r="G328" s="423">
        <v>30</v>
      </c>
      <c r="H328" s="28" t="s">
        <v>57</v>
      </c>
      <c r="I328" s="10"/>
      <c r="J328" s="11"/>
      <c r="K328" s="105">
        <f>+(15900*100)/119</f>
        <v>13361.344537815126</v>
      </c>
      <c r="L328" s="121">
        <f t="shared" si="343"/>
        <v>400840.33613445377</v>
      </c>
      <c r="M328" s="105">
        <v>10000</v>
      </c>
      <c r="N328" s="121">
        <f t="shared" si="344"/>
        <v>300000</v>
      </c>
      <c r="O328" s="105">
        <v>15000</v>
      </c>
      <c r="P328" s="121">
        <f t="shared" si="345"/>
        <v>450000</v>
      </c>
      <c r="Q328" s="165">
        <f t="shared" si="346"/>
        <v>12787.114845938375</v>
      </c>
      <c r="R328" s="166">
        <f t="shared" si="349"/>
        <v>383613.44537815126</v>
      </c>
      <c r="S328" s="222">
        <f t="shared" si="347"/>
        <v>2081.2343780033871</v>
      </c>
      <c r="T328" s="223">
        <f t="shared" si="341"/>
        <v>0.16276027884933389</v>
      </c>
      <c r="U328" s="224">
        <f t="shared" si="348"/>
        <v>13361.344537815126</v>
      </c>
      <c r="V328" s="225">
        <f t="shared" si="350"/>
        <v>400840.33613445377</v>
      </c>
      <c r="W328" s="149">
        <f t="shared" si="342"/>
        <v>0.15576534024050506</v>
      </c>
      <c r="X328" s="139" t="s">
        <v>728</v>
      </c>
      <c r="Y328" s="138" t="s">
        <v>759</v>
      </c>
      <c r="Z328" s="138" t="s">
        <v>752</v>
      </c>
    </row>
    <row r="329" spans="1:26" ht="60" x14ac:dyDescent="0.2">
      <c r="A329" s="63" t="s">
        <v>54</v>
      </c>
      <c r="B329" s="66">
        <f t="shared" si="340"/>
        <v>3</v>
      </c>
      <c r="C329" s="192">
        <v>290</v>
      </c>
      <c r="D329" s="75">
        <v>304</v>
      </c>
      <c r="E329" s="74" t="s">
        <v>625</v>
      </c>
      <c r="F329" s="7" t="s">
        <v>626</v>
      </c>
      <c r="G329" s="423">
        <v>30</v>
      </c>
      <c r="H329" s="28" t="s">
        <v>57</v>
      </c>
      <c r="I329" s="10"/>
      <c r="J329" s="11"/>
      <c r="K329" s="105">
        <f>+(5566*100)/119</f>
        <v>4677.3109243697481</v>
      </c>
      <c r="L329" s="121">
        <f t="shared" si="343"/>
        <v>140319.32773109243</v>
      </c>
      <c r="M329" s="105">
        <v>7200</v>
      </c>
      <c r="N329" s="121">
        <f t="shared" si="344"/>
        <v>216000</v>
      </c>
      <c r="O329" s="105">
        <v>9000</v>
      </c>
      <c r="P329" s="121">
        <f t="shared" si="345"/>
        <v>270000</v>
      </c>
      <c r="Q329" s="165">
        <f t="shared" si="346"/>
        <v>6959.1036414565824</v>
      </c>
      <c r="R329" s="166">
        <f t="shared" si="349"/>
        <v>208773.10924369749</v>
      </c>
      <c r="S329" s="222">
        <f t="shared" si="347"/>
        <v>1772.9323173418854</v>
      </c>
      <c r="T329" s="223">
        <f t="shared" si="341"/>
        <v>0.25476446517913909</v>
      </c>
      <c r="U329" s="224">
        <f t="shared" si="348"/>
        <v>7200</v>
      </c>
      <c r="V329" s="225">
        <f t="shared" si="350"/>
        <v>216000</v>
      </c>
      <c r="W329" s="149">
        <f t="shared" si="342"/>
        <v>0.24624059963081743</v>
      </c>
      <c r="X329" s="139" t="s">
        <v>728</v>
      </c>
      <c r="Y329" s="138" t="s">
        <v>759</v>
      </c>
      <c r="Z329" s="138" t="s">
        <v>752</v>
      </c>
    </row>
    <row r="330" spans="1:26" ht="60" x14ac:dyDescent="0.2">
      <c r="A330" s="63" t="s">
        <v>54</v>
      </c>
      <c r="B330" s="66">
        <f t="shared" si="340"/>
        <v>3</v>
      </c>
      <c r="C330" s="66">
        <v>291</v>
      </c>
      <c r="D330" s="75">
        <v>305</v>
      </c>
      <c r="E330" s="74" t="s">
        <v>627</v>
      </c>
      <c r="F330" s="7" t="s">
        <v>628</v>
      </c>
      <c r="G330" s="423">
        <v>30</v>
      </c>
      <c r="H330" s="28" t="s">
        <v>57</v>
      </c>
      <c r="I330" s="10"/>
      <c r="J330" s="11"/>
      <c r="K330" s="105">
        <f>+(5566*100)/119</f>
        <v>4677.3109243697481</v>
      </c>
      <c r="L330" s="121">
        <f t="shared" si="343"/>
        <v>140319.32773109243</v>
      </c>
      <c r="M330" s="105">
        <v>8000</v>
      </c>
      <c r="N330" s="121">
        <f t="shared" si="344"/>
        <v>240000</v>
      </c>
      <c r="O330" s="105">
        <v>10000</v>
      </c>
      <c r="P330" s="121">
        <f t="shared" si="345"/>
        <v>300000</v>
      </c>
      <c r="Q330" s="165">
        <f t="shared" si="346"/>
        <v>7559.1036414565824</v>
      </c>
      <c r="R330" s="166">
        <f t="shared" si="349"/>
        <v>226773.10924369749</v>
      </c>
      <c r="S330" s="222">
        <f t="shared" si="347"/>
        <v>2195.2292132700031</v>
      </c>
      <c r="T330" s="223">
        <f t="shared" si="341"/>
        <v>0.29040866713754954</v>
      </c>
      <c r="U330" s="224">
        <f t="shared" si="348"/>
        <v>8000</v>
      </c>
      <c r="V330" s="225">
        <f t="shared" si="350"/>
        <v>240000</v>
      </c>
      <c r="W330" s="149">
        <f t="shared" si="342"/>
        <v>0.27440365165875041</v>
      </c>
      <c r="X330" s="139" t="s">
        <v>728</v>
      </c>
      <c r="Y330" s="138" t="s">
        <v>759</v>
      </c>
      <c r="Z330" s="138" t="s">
        <v>752</v>
      </c>
    </row>
    <row r="331" spans="1:26" ht="51" x14ac:dyDescent="0.2">
      <c r="A331" s="63" t="s">
        <v>54</v>
      </c>
      <c r="B331" s="66">
        <f t="shared" si="340"/>
        <v>3</v>
      </c>
      <c r="C331" s="192">
        <v>292</v>
      </c>
      <c r="D331" s="75">
        <v>307</v>
      </c>
      <c r="E331" s="74" t="s">
        <v>631</v>
      </c>
      <c r="F331" s="7" t="s">
        <v>632</v>
      </c>
      <c r="G331" s="425">
        <v>60</v>
      </c>
      <c r="H331" s="28" t="s">
        <v>57</v>
      </c>
      <c r="I331" s="10">
        <v>6</v>
      </c>
      <c r="J331" s="11" t="s">
        <v>67</v>
      </c>
      <c r="K331" s="105">
        <v>7100</v>
      </c>
      <c r="L331" s="121">
        <f t="shared" ref="L331:L332" si="351">+K331*G331*I331</f>
        <v>2556000</v>
      </c>
      <c r="M331" s="105">
        <v>4000</v>
      </c>
      <c r="N331" s="148">
        <f t="shared" ref="N331:N332" si="352">+M331*I331*G331</f>
        <v>1440000</v>
      </c>
      <c r="O331" s="105">
        <v>8000</v>
      </c>
      <c r="P331" s="148">
        <f t="shared" ref="P331:P332" si="353">+O331*I331*G331</f>
        <v>2880000</v>
      </c>
      <c r="Q331" s="165">
        <f t="shared" si="346"/>
        <v>6366.666666666667</v>
      </c>
      <c r="R331" s="166">
        <f t="shared" ref="R331:R338" si="354">+Q331*G331*I331</f>
        <v>2292000</v>
      </c>
      <c r="S331" s="222">
        <f t="shared" si="347"/>
        <v>1713.3463034528529</v>
      </c>
      <c r="T331" s="223">
        <f t="shared" si="341"/>
        <v>0.26911198483552662</v>
      </c>
      <c r="U331" s="224">
        <f t="shared" si="348"/>
        <v>7100</v>
      </c>
      <c r="V331" s="225">
        <f t="shared" ref="V331:V338" si="355">+U331*G331*I331</f>
        <v>2556000</v>
      </c>
      <c r="W331" s="149">
        <f t="shared" si="342"/>
        <v>0.24131638076800746</v>
      </c>
      <c r="X331" s="139" t="s">
        <v>633</v>
      </c>
      <c r="Y331" s="138" t="s">
        <v>759</v>
      </c>
      <c r="Z331" s="138" t="s">
        <v>752</v>
      </c>
    </row>
    <row r="332" spans="1:26" ht="75" x14ac:dyDescent="0.2">
      <c r="A332" s="63" t="s">
        <v>54</v>
      </c>
      <c r="B332" s="66">
        <f t="shared" si="340"/>
        <v>3</v>
      </c>
      <c r="C332" s="66">
        <v>293</v>
      </c>
      <c r="D332" s="75">
        <v>308</v>
      </c>
      <c r="E332" s="74" t="s">
        <v>266</v>
      </c>
      <c r="F332" s="7" t="s">
        <v>267</v>
      </c>
      <c r="G332" s="423">
        <v>30</v>
      </c>
      <c r="H332" s="28" t="s">
        <v>57</v>
      </c>
      <c r="I332" s="10">
        <v>7</v>
      </c>
      <c r="J332" s="11" t="s">
        <v>67</v>
      </c>
      <c r="K332" s="105">
        <f>((15000*5.35%)+15000)</f>
        <v>15802.5</v>
      </c>
      <c r="L332" s="121">
        <f t="shared" si="351"/>
        <v>3318525</v>
      </c>
      <c r="M332" s="105">
        <v>22000</v>
      </c>
      <c r="N332" s="148">
        <f t="shared" si="352"/>
        <v>4620000</v>
      </c>
      <c r="O332" s="105">
        <v>16000</v>
      </c>
      <c r="P332" s="148">
        <f t="shared" si="353"/>
        <v>3360000</v>
      </c>
      <c r="Q332" s="165">
        <f t="shared" si="346"/>
        <v>17934.166666666668</v>
      </c>
      <c r="R332" s="166">
        <f t="shared" si="354"/>
        <v>3766175</v>
      </c>
      <c r="S332" s="222">
        <f t="shared" si="347"/>
        <v>2876.108723412397</v>
      </c>
      <c r="T332" s="223">
        <f t="shared" si="341"/>
        <v>0.16037035770154157</v>
      </c>
      <c r="U332" s="224">
        <f t="shared" si="348"/>
        <v>16000</v>
      </c>
      <c r="V332" s="225">
        <f t="shared" si="355"/>
        <v>3360000</v>
      </c>
      <c r="W332" s="149">
        <f t="shared" si="342"/>
        <v>0.17975679521327481</v>
      </c>
      <c r="X332" s="139" t="s">
        <v>813</v>
      </c>
      <c r="Y332" s="137" t="s">
        <v>759</v>
      </c>
      <c r="Z332" s="138" t="s">
        <v>752</v>
      </c>
    </row>
    <row r="333" spans="1:26" ht="60" x14ac:dyDescent="0.2">
      <c r="A333" s="63" t="s">
        <v>54</v>
      </c>
      <c r="B333" s="66">
        <f t="shared" si="340"/>
        <v>3</v>
      </c>
      <c r="C333" s="192">
        <v>294</v>
      </c>
      <c r="D333" s="75">
        <v>309</v>
      </c>
      <c r="E333" s="74" t="s">
        <v>634</v>
      </c>
      <c r="F333" s="7" t="s">
        <v>635</v>
      </c>
      <c r="G333" s="423">
        <v>50</v>
      </c>
      <c r="H333" s="28" t="s">
        <v>57</v>
      </c>
      <c r="I333" s="10"/>
      <c r="J333" s="11"/>
      <c r="K333" s="105">
        <f>+(20000*100)/119</f>
        <v>16806.722689075632</v>
      </c>
      <c r="L333" s="121">
        <f>K333*G333</f>
        <v>840336.13445378165</v>
      </c>
      <c r="M333" s="105">
        <v>58000</v>
      </c>
      <c r="N333" s="121">
        <f>G333*M333</f>
        <v>2900000</v>
      </c>
      <c r="O333" s="105">
        <v>42000</v>
      </c>
      <c r="P333" s="121">
        <f>G333*O333</f>
        <v>2100000</v>
      </c>
      <c r="Q333" s="165">
        <f t="shared" si="346"/>
        <v>38935.574229691876</v>
      </c>
      <c r="R333" s="166">
        <f>+Q333*G333</f>
        <v>1946778.7114845938</v>
      </c>
      <c r="S333" s="222">
        <f t="shared" si="347"/>
        <v>16956.11104941176</v>
      </c>
      <c r="T333" s="223">
        <f t="shared" si="341"/>
        <v>0.43549148522589914</v>
      </c>
      <c r="U333" s="224">
        <f t="shared" si="348"/>
        <v>42000</v>
      </c>
      <c r="V333" s="225">
        <f>+U333*G333</f>
        <v>2100000</v>
      </c>
      <c r="W333" s="149">
        <f t="shared" si="342"/>
        <v>0.40371692974789908</v>
      </c>
      <c r="X333" s="139" t="s">
        <v>728</v>
      </c>
      <c r="Y333" s="138" t="s">
        <v>759</v>
      </c>
      <c r="Z333" s="138" t="s">
        <v>752</v>
      </c>
    </row>
    <row r="334" spans="1:26" ht="60" x14ac:dyDescent="0.2">
      <c r="A334" s="63" t="s">
        <v>54</v>
      </c>
      <c r="B334" s="66">
        <f t="shared" si="340"/>
        <v>3</v>
      </c>
      <c r="C334" s="66">
        <v>295</v>
      </c>
      <c r="D334" s="75">
        <v>310</v>
      </c>
      <c r="E334" s="74" t="s">
        <v>636</v>
      </c>
      <c r="F334" s="7" t="s">
        <v>637</v>
      </c>
      <c r="G334" s="423">
        <v>50</v>
      </c>
      <c r="H334" s="28" t="s">
        <v>57</v>
      </c>
      <c r="I334" s="10"/>
      <c r="J334" s="11"/>
      <c r="K334" s="105">
        <f>+(9401*100)/119</f>
        <v>7900</v>
      </c>
      <c r="L334" s="121">
        <f>K334*G334</f>
        <v>395000</v>
      </c>
      <c r="M334" s="105">
        <f>+(9000*5.35%)+9000</f>
        <v>9481.5</v>
      </c>
      <c r="N334" s="121">
        <f>G334*M334</f>
        <v>474075</v>
      </c>
      <c r="O334" s="105">
        <v>10000</v>
      </c>
      <c r="P334" s="121">
        <f>G334*O334</f>
        <v>500000</v>
      </c>
      <c r="Q334" s="165">
        <f t="shared" si="346"/>
        <v>9127.1666666666661</v>
      </c>
      <c r="R334" s="166">
        <f>+Q334*G334</f>
        <v>456358.33333333331</v>
      </c>
      <c r="S334" s="222">
        <f t="shared" si="347"/>
        <v>893.18310303965973</v>
      </c>
      <c r="T334" s="223">
        <f t="shared" si="341"/>
        <v>9.7859843657906953E-2</v>
      </c>
      <c r="U334" s="224">
        <f t="shared" si="348"/>
        <v>9481.5</v>
      </c>
      <c r="V334" s="225">
        <f>+U334*G334</f>
        <v>474075</v>
      </c>
      <c r="W334" s="149">
        <f t="shared" si="342"/>
        <v>9.420272140902386E-2</v>
      </c>
      <c r="X334" s="139" t="s">
        <v>729</v>
      </c>
      <c r="Y334" s="572" t="s">
        <v>733</v>
      </c>
      <c r="Z334" s="138" t="s">
        <v>759</v>
      </c>
    </row>
    <row r="335" spans="1:26" ht="60" x14ac:dyDescent="0.2">
      <c r="A335" s="63" t="s">
        <v>54</v>
      </c>
      <c r="B335" s="66">
        <f t="shared" si="340"/>
        <v>3</v>
      </c>
      <c r="C335" s="192">
        <v>296</v>
      </c>
      <c r="D335" s="75">
        <v>311</v>
      </c>
      <c r="E335" s="74" t="s">
        <v>638</v>
      </c>
      <c r="F335" s="7" t="s">
        <v>639</v>
      </c>
      <c r="G335" s="423">
        <v>50</v>
      </c>
      <c r="H335" s="28" t="s">
        <v>57</v>
      </c>
      <c r="I335" s="10"/>
      <c r="J335" s="11"/>
      <c r="K335" s="105">
        <f>+(2300*100)/119</f>
        <v>1932.7731092436975</v>
      </c>
      <c r="L335" s="121">
        <f>K335*G335</f>
        <v>96638.655462184877</v>
      </c>
      <c r="M335" s="105">
        <v>5000</v>
      </c>
      <c r="N335" s="121">
        <f>G335*M335</f>
        <v>250000</v>
      </c>
      <c r="O335" s="105">
        <v>3900</v>
      </c>
      <c r="P335" s="121">
        <f>G335*O335</f>
        <v>195000</v>
      </c>
      <c r="Q335" s="165">
        <f t="shared" si="346"/>
        <v>3610.9243697478992</v>
      </c>
      <c r="R335" s="166">
        <f t="shared" ref="R335:R336" si="356">+Q335*G335</f>
        <v>180546.21848739494</v>
      </c>
      <c r="S335" s="222">
        <f t="shared" si="347"/>
        <v>1268.7641598156017</v>
      </c>
      <c r="T335" s="223">
        <f t="shared" si="341"/>
        <v>0.35136824532943123</v>
      </c>
      <c r="U335" s="224">
        <f t="shared" si="348"/>
        <v>3900</v>
      </c>
      <c r="V335" s="225">
        <f t="shared" ref="V335:V336" si="357">+U335*G335</f>
        <v>195000</v>
      </c>
      <c r="W335" s="149">
        <f t="shared" si="342"/>
        <v>0.32532414354246197</v>
      </c>
      <c r="X335" s="139" t="s">
        <v>728</v>
      </c>
      <c r="Y335" s="138" t="s">
        <v>759</v>
      </c>
      <c r="Z335" s="138" t="s">
        <v>806</v>
      </c>
    </row>
    <row r="336" spans="1:26" ht="60" x14ac:dyDescent="0.2">
      <c r="A336" s="63" t="s">
        <v>54</v>
      </c>
      <c r="B336" s="66">
        <f t="shared" si="340"/>
        <v>3</v>
      </c>
      <c r="C336" s="66">
        <v>297</v>
      </c>
      <c r="D336" s="75">
        <v>312</v>
      </c>
      <c r="E336" s="74" t="s">
        <v>640</v>
      </c>
      <c r="F336" s="7" t="s">
        <v>641</v>
      </c>
      <c r="G336" s="423">
        <v>50</v>
      </c>
      <c r="H336" s="28" t="s">
        <v>57</v>
      </c>
      <c r="I336" s="10"/>
      <c r="J336" s="11"/>
      <c r="K336" s="105">
        <f>+(18500*100)/119</f>
        <v>15546.218487394957</v>
      </c>
      <c r="L336" s="121">
        <f>K336*G336</f>
        <v>777310.92436974787</v>
      </c>
      <c r="M336" s="105">
        <v>60000</v>
      </c>
      <c r="N336" s="121">
        <f>G336*M336</f>
        <v>3000000</v>
      </c>
      <c r="O336" s="105">
        <v>65000</v>
      </c>
      <c r="P336" s="121">
        <f>G336*O336</f>
        <v>3250000</v>
      </c>
      <c r="Q336" s="165">
        <f t="shared" si="346"/>
        <v>46848.739495798327</v>
      </c>
      <c r="R336" s="166">
        <f t="shared" si="356"/>
        <v>2342436.9747899165</v>
      </c>
      <c r="S336" s="222">
        <f t="shared" si="347"/>
        <v>22228.14831261104</v>
      </c>
      <c r="T336" s="223">
        <f t="shared" si="341"/>
        <v>0.47446630478936563</v>
      </c>
      <c r="U336" s="224">
        <f t="shared" si="348"/>
        <v>60000</v>
      </c>
      <c r="V336" s="225">
        <f t="shared" si="357"/>
        <v>3000000</v>
      </c>
      <c r="W336" s="149">
        <f t="shared" si="342"/>
        <v>0.37046913854351732</v>
      </c>
      <c r="X336" s="139" t="s">
        <v>728</v>
      </c>
      <c r="Y336" s="138" t="s">
        <v>759</v>
      </c>
      <c r="Z336" s="138" t="s">
        <v>806</v>
      </c>
    </row>
    <row r="337" spans="1:26" ht="75" x14ac:dyDescent="0.2">
      <c r="A337" s="63" t="s">
        <v>54</v>
      </c>
      <c r="B337" s="66">
        <f t="shared" si="340"/>
        <v>3</v>
      </c>
      <c r="C337" s="192">
        <v>298</v>
      </c>
      <c r="D337" s="75">
        <v>313</v>
      </c>
      <c r="E337" s="74" t="s">
        <v>266</v>
      </c>
      <c r="F337" s="7" t="s">
        <v>267</v>
      </c>
      <c r="G337" s="423">
        <v>50</v>
      </c>
      <c r="H337" s="28" t="s">
        <v>57</v>
      </c>
      <c r="I337" s="10">
        <v>5</v>
      </c>
      <c r="J337" s="11" t="s">
        <v>67</v>
      </c>
      <c r="K337" s="105">
        <f>((15000*5.35%)+15000)</f>
        <v>15802.5</v>
      </c>
      <c r="L337" s="121">
        <f t="shared" ref="L337" si="358">+K337*G337*I337</f>
        <v>3950625</v>
      </c>
      <c r="M337" s="105">
        <v>22000</v>
      </c>
      <c r="N337" s="148">
        <f t="shared" ref="N337:N338" si="359">+M337*I337*G337</f>
        <v>5500000</v>
      </c>
      <c r="O337" s="105">
        <v>16000</v>
      </c>
      <c r="P337" s="148">
        <f t="shared" ref="P337:P338" si="360">+O337*I337*G337</f>
        <v>4000000</v>
      </c>
      <c r="Q337" s="165">
        <f t="shared" si="346"/>
        <v>17934.166666666668</v>
      </c>
      <c r="R337" s="166">
        <f t="shared" si="354"/>
        <v>4483541.666666667</v>
      </c>
      <c r="S337" s="222">
        <f t="shared" si="347"/>
        <v>2876.108723412397</v>
      </c>
      <c r="T337" s="223">
        <f t="shared" si="341"/>
        <v>0.16037035770154157</v>
      </c>
      <c r="U337" s="224">
        <f t="shared" si="348"/>
        <v>16000</v>
      </c>
      <c r="V337" s="225">
        <f t="shared" si="355"/>
        <v>4000000</v>
      </c>
      <c r="W337" s="149">
        <f t="shared" si="342"/>
        <v>0.17975679521327481</v>
      </c>
      <c r="X337" s="139" t="s">
        <v>813</v>
      </c>
      <c r="Y337" s="137" t="s">
        <v>759</v>
      </c>
      <c r="Z337" s="138" t="s">
        <v>752</v>
      </c>
    </row>
    <row r="338" spans="1:26" ht="60" x14ac:dyDescent="0.2">
      <c r="A338" s="63" t="s">
        <v>54</v>
      </c>
      <c r="B338" s="66">
        <f t="shared" si="340"/>
        <v>2</v>
      </c>
      <c r="C338" s="66">
        <v>299</v>
      </c>
      <c r="D338" s="75">
        <v>314</v>
      </c>
      <c r="E338" s="74" t="s">
        <v>61</v>
      </c>
      <c r="F338" s="7" t="s">
        <v>723</v>
      </c>
      <c r="G338" s="423">
        <v>1</v>
      </c>
      <c r="H338" s="28" t="s">
        <v>57</v>
      </c>
      <c r="I338" s="10">
        <v>1</v>
      </c>
      <c r="J338" s="11" t="s">
        <v>73</v>
      </c>
      <c r="K338" s="105"/>
      <c r="L338" s="121"/>
      <c r="M338" s="105">
        <v>700000</v>
      </c>
      <c r="N338" s="148">
        <f t="shared" si="359"/>
        <v>700000</v>
      </c>
      <c r="O338" s="105">
        <v>750000</v>
      </c>
      <c r="P338" s="148">
        <f t="shared" si="360"/>
        <v>750000</v>
      </c>
      <c r="Q338" s="165">
        <f t="shared" si="346"/>
        <v>725000</v>
      </c>
      <c r="R338" s="166">
        <f t="shared" si="354"/>
        <v>725000</v>
      </c>
      <c r="S338" s="222">
        <f t="shared" si="347"/>
        <v>25000</v>
      </c>
      <c r="T338" s="223">
        <f t="shared" si="341"/>
        <v>3.4482758620689655E-2</v>
      </c>
      <c r="U338" s="224">
        <f t="shared" si="348"/>
        <v>725000</v>
      </c>
      <c r="V338" s="225">
        <f t="shared" si="355"/>
        <v>725000</v>
      </c>
      <c r="W338" s="149">
        <f t="shared" si="342"/>
        <v>3.4482758620689655E-2</v>
      </c>
      <c r="X338" s="139"/>
      <c r="Y338" s="137" t="s">
        <v>759</v>
      </c>
      <c r="Z338" s="138" t="s">
        <v>752</v>
      </c>
    </row>
    <row r="339" spans="1:26" ht="255" x14ac:dyDescent="0.2">
      <c r="A339" s="276" t="s">
        <v>54</v>
      </c>
      <c r="B339" s="82">
        <f t="shared" si="340"/>
        <v>3</v>
      </c>
      <c r="C339" s="192">
        <v>300</v>
      </c>
      <c r="D339" s="277">
        <v>315</v>
      </c>
      <c r="E339" s="278" t="s">
        <v>77</v>
      </c>
      <c r="F339" s="87" t="s">
        <v>848</v>
      </c>
      <c r="G339" s="415">
        <v>80</v>
      </c>
      <c r="H339" s="29" t="s">
        <v>57</v>
      </c>
      <c r="I339" s="89"/>
      <c r="J339" s="90"/>
      <c r="K339" s="107">
        <f>+(18000*100)/119</f>
        <v>15126.050420168067</v>
      </c>
      <c r="L339" s="150">
        <f>K339*G339</f>
        <v>1210084.0336134452</v>
      </c>
      <c r="M339" s="107">
        <f>+(19500*100)/119</f>
        <v>16386.55462184874</v>
      </c>
      <c r="N339" s="150">
        <f>G339*M339</f>
        <v>1310924.3697478992</v>
      </c>
      <c r="O339" s="107">
        <f>+(18500*100)/119</f>
        <v>15546.218487394957</v>
      </c>
      <c r="P339" s="150">
        <f>G339*O339</f>
        <v>1243697.4789915965</v>
      </c>
      <c r="Q339" s="318">
        <f t="shared" si="346"/>
        <v>15686.274509803921</v>
      </c>
      <c r="R339" s="310">
        <f>+Q339*G339</f>
        <v>1254901.9607843137</v>
      </c>
      <c r="S339" s="311">
        <f t="shared" si="347"/>
        <v>524.04165080867563</v>
      </c>
      <c r="T339" s="312">
        <f t="shared" si="341"/>
        <v>3.340765523905307E-2</v>
      </c>
      <c r="U339" s="313">
        <f t="shared" si="348"/>
        <v>15546.218487394957</v>
      </c>
      <c r="V339" s="314">
        <f>+U339*G339</f>
        <v>1243697.4789915965</v>
      </c>
      <c r="W339" s="315">
        <f t="shared" si="342"/>
        <v>3.3708625106071567E-2</v>
      </c>
      <c r="X339" s="141" t="s">
        <v>772</v>
      </c>
      <c r="Y339" s="153" t="s">
        <v>773</v>
      </c>
      <c r="Z339" s="154" t="s">
        <v>774</v>
      </c>
    </row>
    <row r="340" spans="1:26" ht="76" thickBot="1" x14ac:dyDescent="0.25">
      <c r="A340" s="276" t="s">
        <v>54</v>
      </c>
      <c r="B340" s="82">
        <f t="shared" si="340"/>
        <v>3</v>
      </c>
      <c r="C340" s="66">
        <v>301</v>
      </c>
      <c r="D340" s="277"/>
      <c r="E340" s="278" t="s">
        <v>83</v>
      </c>
      <c r="F340" s="87" t="s">
        <v>852</v>
      </c>
      <c r="G340" s="415">
        <v>30</v>
      </c>
      <c r="H340" s="29" t="s">
        <v>57</v>
      </c>
      <c r="I340" s="89"/>
      <c r="J340" s="90"/>
      <c r="K340" s="107">
        <f>+(357000*100)/119</f>
        <v>300000</v>
      </c>
      <c r="L340" s="150">
        <f>K340*G340</f>
        <v>9000000</v>
      </c>
      <c r="M340" s="107">
        <f>+(357000*100)/119</f>
        <v>300000</v>
      </c>
      <c r="N340" s="150">
        <f>G340*M340</f>
        <v>9000000</v>
      </c>
      <c r="O340" s="107">
        <f>+(357000*100)/119</f>
        <v>300000</v>
      </c>
      <c r="P340" s="150">
        <f>G340*O340</f>
        <v>9000000</v>
      </c>
      <c r="Q340" s="318">
        <f>+AVERAGE(K340,M340,O340)</f>
        <v>300000</v>
      </c>
      <c r="R340" s="310">
        <f>+Q340*G340</f>
        <v>9000000</v>
      </c>
      <c r="S340" s="311">
        <f t="shared" si="347"/>
        <v>0</v>
      </c>
      <c r="T340" s="312">
        <f t="shared" si="341"/>
        <v>0</v>
      </c>
      <c r="U340" s="313">
        <f>+MEDIAN(K340,M340,O340)</f>
        <v>300000</v>
      </c>
      <c r="V340" s="314">
        <f>+U340*G340</f>
        <v>9000000</v>
      </c>
      <c r="W340" s="315">
        <f t="shared" si="342"/>
        <v>0</v>
      </c>
      <c r="X340" s="141" t="s">
        <v>58</v>
      </c>
      <c r="Y340" s="153" t="s">
        <v>58</v>
      </c>
      <c r="Z340" s="154" t="s">
        <v>58</v>
      </c>
    </row>
    <row r="341" spans="1:26" s="211" customFormat="1" ht="57" x14ac:dyDescent="0.2">
      <c r="A341" s="289">
        <v>1</v>
      </c>
      <c r="B341" s="290"/>
      <c r="C341" s="290"/>
      <c r="D341" s="291"/>
      <c r="E341" s="292"/>
      <c r="F341" s="406" t="s">
        <v>642</v>
      </c>
      <c r="G341" s="293"/>
      <c r="H341" s="293"/>
      <c r="I341" s="293"/>
      <c r="J341" s="293"/>
      <c r="K341" s="294"/>
      <c r="L341" s="294"/>
      <c r="M341" s="294"/>
      <c r="N341" s="294"/>
      <c r="O341" s="294"/>
      <c r="P341" s="294"/>
      <c r="Q341" s="294"/>
      <c r="R341" s="294"/>
      <c r="S341" s="295"/>
      <c r="T341" s="296"/>
      <c r="U341" s="294"/>
      <c r="V341" s="297"/>
      <c r="W341" s="296"/>
      <c r="X341" s="603"/>
      <c r="Y341" s="603"/>
      <c r="Z341" s="604"/>
    </row>
    <row r="342" spans="1:26" s="211" customFormat="1" ht="20" thickBot="1" x14ac:dyDescent="0.25">
      <c r="A342" s="298">
        <v>1</v>
      </c>
      <c r="B342" s="299"/>
      <c r="C342" s="299"/>
      <c r="D342" s="300"/>
      <c r="E342" s="301"/>
      <c r="F342" s="407" t="s">
        <v>643</v>
      </c>
      <c r="G342" s="302"/>
      <c r="H342" s="302"/>
      <c r="I342" s="302"/>
      <c r="J342" s="302"/>
      <c r="K342" s="303"/>
      <c r="L342" s="303"/>
      <c r="M342" s="303"/>
      <c r="N342" s="303"/>
      <c r="O342" s="303"/>
      <c r="P342" s="303"/>
      <c r="Q342" s="303"/>
      <c r="R342" s="303"/>
      <c r="S342" s="304"/>
      <c r="T342" s="305"/>
      <c r="U342" s="303"/>
      <c r="V342" s="306"/>
      <c r="W342" s="305"/>
      <c r="X342" s="605"/>
      <c r="Y342" s="605"/>
      <c r="Z342" s="606"/>
    </row>
    <row r="343" spans="1:26" ht="85" x14ac:dyDescent="0.2">
      <c r="A343" s="102" t="s">
        <v>20</v>
      </c>
      <c r="B343" s="192">
        <f t="shared" si="340"/>
        <v>1</v>
      </c>
      <c r="C343" s="192">
        <v>302</v>
      </c>
      <c r="D343" s="282">
        <v>316</v>
      </c>
      <c r="E343" s="283" t="s">
        <v>644</v>
      </c>
      <c r="F343" s="95" t="s">
        <v>645</v>
      </c>
      <c r="G343" s="281">
        <v>1</v>
      </c>
      <c r="H343" s="83" t="s">
        <v>23</v>
      </c>
      <c r="I343" s="97">
        <v>2</v>
      </c>
      <c r="J343" s="98" t="s">
        <v>24</v>
      </c>
      <c r="K343" s="108">
        <v>5860001</v>
      </c>
      <c r="L343" s="151">
        <f>+K343*G343*I343</f>
        <v>11720002</v>
      </c>
      <c r="M343" s="126"/>
      <c r="N343" s="127"/>
      <c r="O343" s="126"/>
      <c r="P343" s="127"/>
      <c r="Q343" s="319">
        <f>+AVERAGE(K343,M343,O343)</f>
        <v>5860001</v>
      </c>
      <c r="R343" s="320">
        <f>+Q343*G343*I343</f>
        <v>11720002</v>
      </c>
      <c r="S343" s="222">
        <f>_xlfn.STDEV.P(K343,M343,O343)</f>
        <v>0</v>
      </c>
      <c r="T343" s="321">
        <f t="shared" ref="T343:T353" si="361">+S343/Q343</f>
        <v>0</v>
      </c>
      <c r="U343" s="322">
        <f>+MEDIAN(K343,M343,O343)</f>
        <v>5860001</v>
      </c>
      <c r="V343" s="323">
        <f>+U343*G343*I343</f>
        <v>11720002</v>
      </c>
      <c r="W343" s="324">
        <f t="shared" ref="W343:W353" si="362">+S343/U343</f>
        <v>0</v>
      </c>
      <c r="X343" s="326" t="s">
        <v>819</v>
      </c>
      <c r="Y343" s="231"/>
      <c r="Z343" s="327"/>
    </row>
    <row r="344" spans="1:26" ht="68" x14ac:dyDescent="0.2">
      <c r="A344" s="63" t="s">
        <v>20</v>
      </c>
      <c r="B344" s="66">
        <f t="shared" si="340"/>
        <v>1</v>
      </c>
      <c r="C344" s="66">
        <v>303</v>
      </c>
      <c r="D344" s="75">
        <v>317</v>
      </c>
      <c r="E344" s="74" t="s">
        <v>617</v>
      </c>
      <c r="F344" s="7" t="s">
        <v>646</v>
      </c>
      <c r="G344" s="423">
        <v>1</v>
      </c>
      <c r="H344" s="28" t="s">
        <v>23</v>
      </c>
      <c r="I344" s="10">
        <v>2</v>
      </c>
      <c r="J344" s="11" t="s">
        <v>24</v>
      </c>
      <c r="K344" s="105">
        <v>5860001</v>
      </c>
      <c r="L344" s="106">
        <f>+K344*G344*I344</f>
        <v>11720002</v>
      </c>
      <c r="M344" s="122"/>
      <c r="N344" s="123"/>
      <c r="O344" s="122"/>
      <c r="P344" s="123"/>
      <c r="Q344" s="165">
        <f>+AVERAGE(K344,M344,O344)</f>
        <v>5860001</v>
      </c>
      <c r="R344" s="166">
        <f>+Q344*G344*I344</f>
        <v>11720002</v>
      </c>
      <c r="S344" s="222">
        <f>_xlfn.STDEV.P(K344,M344,O344)</f>
        <v>0</v>
      </c>
      <c r="T344" s="223">
        <f t="shared" si="361"/>
        <v>0</v>
      </c>
      <c r="U344" s="224">
        <f>+MEDIAN(K344,M344,O344)</f>
        <v>5860001</v>
      </c>
      <c r="V344" s="225">
        <f>+U344*G344*I344</f>
        <v>11720002</v>
      </c>
      <c r="W344" s="149">
        <f t="shared" si="362"/>
        <v>0</v>
      </c>
      <c r="X344" s="316" t="s">
        <v>819</v>
      </c>
      <c r="Y344" s="137"/>
      <c r="Z344" s="138"/>
    </row>
    <row r="345" spans="1:26" ht="51" x14ac:dyDescent="0.2">
      <c r="A345" s="63" t="s">
        <v>20</v>
      </c>
      <c r="B345" s="66">
        <f t="shared" si="340"/>
        <v>1</v>
      </c>
      <c r="C345" s="192">
        <v>304</v>
      </c>
      <c r="D345" s="75">
        <v>319</v>
      </c>
      <c r="E345" s="74" t="s">
        <v>78</v>
      </c>
      <c r="F345" s="7" t="s">
        <v>647</v>
      </c>
      <c r="G345" s="423">
        <v>1</v>
      </c>
      <c r="H345" s="28" t="s">
        <v>23</v>
      </c>
      <c r="I345" s="65">
        <v>2</v>
      </c>
      <c r="J345" s="64" t="s">
        <v>24</v>
      </c>
      <c r="K345" s="105">
        <v>1602000</v>
      </c>
      <c r="L345" s="106">
        <f>+K345*G345*I345</f>
        <v>3204000</v>
      </c>
      <c r="M345" s="122"/>
      <c r="N345" s="123"/>
      <c r="O345" s="122"/>
      <c r="P345" s="123"/>
      <c r="Q345" s="165">
        <f>+AVERAGE(K345,M345,O345)</f>
        <v>1602000</v>
      </c>
      <c r="R345" s="166">
        <f>+Q345*G345*I345</f>
        <v>3204000</v>
      </c>
      <c r="S345" s="222">
        <f>_xlfn.STDEV.P(K345,M345,O345)</f>
        <v>0</v>
      </c>
      <c r="T345" s="223">
        <f t="shared" si="361"/>
        <v>0</v>
      </c>
      <c r="U345" s="224">
        <f>+MEDIAN(K345,M345,O345)</f>
        <v>1602000</v>
      </c>
      <c r="V345" s="225">
        <f>+U345*G345*I345</f>
        <v>3204000</v>
      </c>
      <c r="W345" s="149">
        <f t="shared" si="362"/>
        <v>0</v>
      </c>
      <c r="X345" s="316" t="s">
        <v>819</v>
      </c>
      <c r="Y345" s="137"/>
      <c r="Z345" s="138"/>
    </row>
    <row r="346" spans="1:26" ht="60" x14ac:dyDescent="0.2">
      <c r="A346" s="63" t="s">
        <v>54</v>
      </c>
      <c r="B346" s="66">
        <f t="shared" si="340"/>
        <v>2</v>
      </c>
      <c r="C346" s="66">
        <v>305</v>
      </c>
      <c r="D346" s="75">
        <v>320</v>
      </c>
      <c r="E346" s="74" t="s">
        <v>270</v>
      </c>
      <c r="F346" s="7" t="s">
        <v>724</v>
      </c>
      <c r="G346" s="423">
        <v>1</v>
      </c>
      <c r="H346" s="28" t="s">
        <v>608</v>
      </c>
      <c r="I346" s="65">
        <v>2</v>
      </c>
      <c r="J346" s="64" t="s">
        <v>24</v>
      </c>
      <c r="K346" s="105"/>
      <c r="L346" s="121"/>
      <c r="M346" s="105">
        <v>2000000</v>
      </c>
      <c r="N346" s="148">
        <f>+M346*I346*G346</f>
        <v>4000000</v>
      </c>
      <c r="O346" s="105">
        <v>1500000</v>
      </c>
      <c r="P346" s="148">
        <f>+O346*I346*G346</f>
        <v>3000000</v>
      </c>
      <c r="Q346" s="165">
        <f>+AVERAGE(M346,O346)</f>
        <v>1750000</v>
      </c>
      <c r="R346" s="166">
        <f t="shared" ref="R346:R353" si="363">+Q346*G346*I346</f>
        <v>3500000</v>
      </c>
      <c r="S346" s="222">
        <f>_xlfn.STDEV.P(M346,O346)</f>
        <v>250000</v>
      </c>
      <c r="T346" s="223">
        <f t="shared" si="361"/>
        <v>0.14285714285714285</v>
      </c>
      <c r="U346" s="224">
        <f t="shared" ref="U346:U353" si="364">+MEDIAN(K346,M346,O346)</f>
        <v>1750000</v>
      </c>
      <c r="V346" s="225">
        <f t="shared" ref="V346:V353" si="365">+U346*G346*I346</f>
        <v>3500000</v>
      </c>
      <c r="W346" s="149">
        <f t="shared" si="362"/>
        <v>0.14285714285714285</v>
      </c>
      <c r="X346" s="139"/>
      <c r="Y346" s="137" t="s">
        <v>759</v>
      </c>
      <c r="Z346" s="138" t="s">
        <v>752</v>
      </c>
    </row>
    <row r="347" spans="1:26" ht="34" x14ac:dyDescent="0.2">
      <c r="A347" s="63" t="s">
        <v>54</v>
      </c>
      <c r="B347" s="66">
        <f t="shared" si="340"/>
        <v>3</v>
      </c>
      <c r="C347" s="192">
        <v>306</v>
      </c>
      <c r="D347" s="75">
        <v>321</v>
      </c>
      <c r="E347" s="74" t="s">
        <v>648</v>
      </c>
      <c r="F347" s="7" t="s">
        <v>649</v>
      </c>
      <c r="G347" s="423">
        <v>90</v>
      </c>
      <c r="H347" s="28" t="s">
        <v>57</v>
      </c>
      <c r="I347" s="65"/>
      <c r="J347" s="64"/>
      <c r="K347" s="105">
        <v>2311</v>
      </c>
      <c r="L347" s="121">
        <f t="shared" ref="L347:L352" si="366">K347*G347</f>
        <v>207990</v>
      </c>
      <c r="M347" s="105">
        <v>1704</v>
      </c>
      <c r="N347" s="121">
        <f t="shared" ref="N347:N352" si="367">G347*M347</f>
        <v>153360</v>
      </c>
      <c r="O347" s="105">
        <v>2352</v>
      </c>
      <c r="P347" s="121">
        <f t="shared" ref="P347:P352" si="368">G347*O347</f>
        <v>211680</v>
      </c>
      <c r="Q347" s="165">
        <f t="shared" ref="Q347:Q353" si="369">+AVERAGE(K347,M347,O347)</f>
        <v>2122.3333333333335</v>
      </c>
      <c r="R347" s="166">
        <f>+Q347*G347</f>
        <v>191010</v>
      </c>
      <c r="S347" s="222">
        <f t="shared" ref="S347:S353" si="370">_xlfn.STDEV.P(K347,M347,O347)</f>
        <v>296.27952267336258</v>
      </c>
      <c r="T347" s="223">
        <f t="shared" si="361"/>
        <v>0.13960084310037502</v>
      </c>
      <c r="U347" s="224">
        <f t="shared" si="364"/>
        <v>2311</v>
      </c>
      <c r="V347" s="225">
        <f>+U347*G347</f>
        <v>207990</v>
      </c>
      <c r="W347" s="149">
        <f t="shared" si="362"/>
        <v>0.12820403404299549</v>
      </c>
      <c r="X347" s="139" t="s">
        <v>908</v>
      </c>
      <c r="Y347" s="137" t="s">
        <v>926</v>
      </c>
      <c r="Z347" s="138" t="s">
        <v>927</v>
      </c>
    </row>
    <row r="348" spans="1:26" ht="30" x14ac:dyDescent="0.2">
      <c r="A348" s="63" t="s">
        <v>54</v>
      </c>
      <c r="B348" s="66">
        <f t="shared" si="340"/>
        <v>3</v>
      </c>
      <c r="C348" s="66">
        <v>307</v>
      </c>
      <c r="D348" s="75">
        <v>322</v>
      </c>
      <c r="E348" s="74" t="s">
        <v>650</v>
      </c>
      <c r="F348" s="7" t="s">
        <v>651</v>
      </c>
      <c r="G348" s="423">
        <v>90</v>
      </c>
      <c r="H348" s="28" t="s">
        <v>57</v>
      </c>
      <c r="I348" s="65"/>
      <c r="J348" s="64"/>
      <c r="K348" s="105">
        <f>+(19900*100)/119</f>
        <v>16722.689075630253</v>
      </c>
      <c r="L348" s="121">
        <f t="shared" si="366"/>
        <v>1505042.0168067229</v>
      </c>
      <c r="M348" s="105">
        <f>+(19900*100)/119</f>
        <v>16722.689075630253</v>
      </c>
      <c r="N348" s="121">
        <f t="shared" si="367"/>
        <v>1505042.0168067229</v>
      </c>
      <c r="O348" s="105">
        <f>+(19890*100)/119</f>
        <v>16714.285714285714</v>
      </c>
      <c r="P348" s="121">
        <f t="shared" si="368"/>
        <v>1504285.7142857143</v>
      </c>
      <c r="Q348" s="165">
        <f t="shared" si="369"/>
        <v>16719.887955182072</v>
      </c>
      <c r="R348" s="166">
        <f t="shared" ref="R348:R349" si="371">+Q348*G348</f>
        <v>1504789.9159663864</v>
      </c>
      <c r="S348" s="222">
        <f t="shared" si="370"/>
        <v>3.9613825276562902</v>
      </c>
      <c r="T348" s="223">
        <f t="shared" si="361"/>
        <v>2.3692638002568197E-4</v>
      </c>
      <c r="U348" s="224">
        <f t="shared" si="364"/>
        <v>16722.689075630253</v>
      </c>
      <c r="V348" s="225">
        <f t="shared" ref="V348:V349" si="372">+U348*G348</f>
        <v>1505042.0168067229</v>
      </c>
      <c r="W348" s="149">
        <f t="shared" si="362"/>
        <v>2.3688669386487363E-4</v>
      </c>
      <c r="X348" s="139" t="s">
        <v>262</v>
      </c>
      <c r="Y348" s="137" t="s">
        <v>652</v>
      </c>
      <c r="Z348" s="138" t="s">
        <v>103</v>
      </c>
    </row>
    <row r="349" spans="1:26" ht="45" x14ac:dyDescent="0.2">
      <c r="A349" s="63" t="s">
        <v>54</v>
      </c>
      <c r="B349" s="66">
        <f t="shared" si="340"/>
        <v>3</v>
      </c>
      <c r="C349" s="192">
        <v>308</v>
      </c>
      <c r="D349" s="75">
        <v>323</v>
      </c>
      <c r="E349" s="74" t="s">
        <v>653</v>
      </c>
      <c r="F349" s="7" t="s">
        <v>654</v>
      </c>
      <c r="G349" s="423">
        <v>90</v>
      </c>
      <c r="H349" s="28" t="s">
        <v>57</v>
      </c>
      <c r="I349" s="65"/>
      <c r="J349" s="64"/>
      <c r="K349" s="105">
        <f>+(45000*100)/119</f>
        <v>37815.126050420171</v>
      </c>
      <c r="L349" s="121">
        <f t="shared" si="366"/>
        <v>3403361.3445378155</v>
      </c>
      <c r="M349" s="105">
        <f>+(59900*100)/119</f>
        <v>50336.134453781509</v>
      </c>
      <c r="N349" s="121">
        <f t="shared" si="367"/>
        <v>4530252.1008403357</v>
      </c>
      <c r="O349" s="105">
        <f>+(59900*100)/119</f>
        <v>50336.134453781509</v>
      </c>
      <c r="P349" s="121">
        <f t="shared" si="368"/>
        <v>4530252.1008403357</v>
      </c>
      <c r="Q349" s="165">
        <f t="shared" si="369"/>
        <v>46162.464985994397</v>
      </c>
      <c r="R349" s="166">
        <f t="shared" si="371"/>
        <v>4154621.8487394955</v>
      </c>
      <c r="S349" s="222">
        <f t="shared" si="370"/>
        <v>5902.4599662070477</v>
      </c>
      <c r="T349" s="223">
        <f t="shared" si="361"/>
        <v>0.12786275533591723</v>
      </c>
      <c r="U349" s="224">
        <f t="shared" si="364"/>
        <v>50336.134453781509</v>
      </c>
      <c r="V349" s="225">
        <f t="shared" si="372"/>
        <v>4530252.1008403357</v>
      </c>
      <c r="W349" s="149">
        <f t="shared" si="362"/>
        <v>0.11726089081446389</v>
      </c>
      <c r="X349" s="139" t="s">
        <v>262</v>
      </c>
      <c r="Y349" s="137" t="s">
        <v>595</v>
      </c>
      <c r="Z349" s="138" t="s">
        <v>103</v>
      </c>
    </row>
    <row r="350" spans="1:26" ht="30" x14ac:dyDescent="0.2">
      <c r="A350" s="63" t="s">
        <v>54</v>
      </c>
      <c r="B350" s="66">
        <f t="shared" si="340"/>
        <v>3</v>
      </c>
      <c r="C350" s="66">
        <v>309</v>
      </c>
      <c r="D350" s="75">
        <v>324</v>
      </c>
      <c r="E350" s="74" t="s">
        <v>655</v>
      </c>
      <c r="F350" s="7" t="s">
        <v>656</v>
      </c>
      <c r="G350" s="423">
        <v>90</v>
      </c>
      <c r="H350" s="28" t="s">
        <v>57</v>
      </c>
      <c r="I350" s="65"/>
      <c r="J350" s="64"/>
      <c r="K350" s="105">
        <f>+(1547*100)/119</f>
        <v>1300</v>
      </c>
      <c r="L350" s="121">
        <f t="shared" si="366"/>
        <v>117000</v>
      </c>
      <c r="M350" s="105">
        <v>1429</v>
      </c>
      <c r="N350" s="121">
        <f t="shared" si="367"/>
        <v>128610</v>
      </c>
      <c r="O350" s="105">
        <v>1363</v>
      </c>
      <c r="P350" s="121">
        <f t="shared" si="368"/>
        <v>122670</v>
      </c>
      <c r="Q350" s="165">
        <f t="shared" si="369"/>
        <v>1364</v>
      </c>
      <c r="R350" s="166">
        <f>+Q350*G350</f>
        <v>122760</v>
      </c>
      <c r="S350" s="222">
        <f t="shared" si="370"/>
        <v>52.668776329054772</v>
      </c>
      <c r="T350" s="223">
        <f t="shared" si="361"/>
        <v>3.8613472382004965E-2</v>
      </c>
      <c r="U350" s="224">
        <f t="shared" si="364"/>
        <v>1363</v>
      </c>
      <c r="V350" s="225">
        <f>+U350*G350</f>
        <v>122670</v>
      </c>
      <c r="W350" s="149">
        <f t="shared" si="362"/>
        <v>3.8641802148976355E-2</v>
      </c>
      <c r="X350" s="139" t="s">
        <v>907</v>
      </c>
      <c r="Y350" s="137" t="s">
        <v>908</v>
      </c>
      <c r="Z350" s="138" t="s">
        <v>659</v>
      </c>
    </row>
    <row r="351" spans="1:26" ht="60" x14ac:dyDescent="0.2">
      <c r="A351" s="63" t="s">
        <v>54</v>
      </c>
      <c r="B351" s="66">
        <f t="shared" si="340"/>
        <v>3</v>
      </c>
      <c r="C351" s="192">
        <v>310</v>
      </c>
      <c r="D351" s="75">
        <v>325</v>
      </c>
      <c r="E351" s="74" t="s">
        <v>657</v>
      </c>
      <c r="F351" s="7" t="s">
        <v>658</v>
      </c>
      <c r="G351" s="423">
        <v>90</v>
      </c>
      <c r="H351" s="28" t="s">
        <v>57</v>
      </c>
      <c r="I351" s="65"/>
      <c r="J351" s="64"/>
      <c r="K351" s="105">
        <f>+(35008*100)/119</f>
        <v>29418.487394957981</v>
      </c>
      <c r="L351" s="121">
        <f t="shared" si="366"/>
        <v>2647663.8655462181</v>
      </c>
      <c r="M351" s="105">
        <f>+(33474*100)/119</f>
        <v>28129.411764705881</v>
      </c>
      <c r="N351" s="121">
        <f t="shared" si="367"/>
        <v>2531647.0588235292</v>
      </c>
      <c r="O351" s="105">
        <f>+(36000*100)/119</f>
        <v>30252.100840336134</v>
      </c>
      <c r="P351" s="121">
        <f t="shared" si="368"/>
        <v>2722689.0756302522</v>
      </c>
      <c r="Q351" s="165">
        <f t="shared" si="369"/>
        <v>29266.666666666668</v>
      </c>
      <c r="R351" s="166">
        <f t="shared" ref="R351:R352" si="373">+Q351*G351</f>
        <v>2634000</v>
      </c>
      <c r="S351" s="222">
        <f t="shared" si="370"/>
        <v>873.20840509933373</v>
      </c>
      <c r="T351" s="223">
        <f t="shared" si="361"/>
        <v>2.9836278078564933E-2</v>
      </c>
      <c r="U351" s="224">
        <f t="shared" si="364"/>
        <v>29418.487394957981</v>
      </c>
      <c r="V351" s="225">
        <f t="shared" ref="V351:V352" si="374">+U351*G351</f>
        <v>2647663.8655462181</v>
      </c>
      <c r="W351" s="149">
        <f t="shared" si="362"/>
        <v>2.9682301247377949E-2</v>
      </c>
      <c r="X351" s="139" t="s">
        <v>659</v>
      </c>
      <c r="Y351" s="137" t="s">
        <v>660</v>
      </c>
      <c r="Z351" s="138" t="s">
        <v>496</v>
      </c>
    </row>
    <row r="352" spans="1:26" ht="51" x14ac:dyDescent="0.2">
      <c r="A352" s="63" t="s">
        <v>54</v>
      </c>
      <c r="B352" s="66">
        <f t="shared" si="340"/>
        <v>3</v>
      </c>
      <c r="C352" s="66">
        <v>311</v>
      </c>
      <c r="D352" s="75">
        <v>326</v>
      </c>
      <c r="E352" s="74" t="s">
        <v>661</v>
      </c>
      <c r="F352" s="7" t="s">
        <v>662</v>
      </c>
      <c r="G352" s="423">
        <v>90</v>
      </c>
      <c r="H352" s="28" t="s">
        <v>57</v>
      </c>
      <c r="I352" s="65"/>
      <c r="J352" s="64"/>
      <c r="K352" s="105">
        <v>4000</v>
      </c>
      <c r="L352" s="121">
        <f t="shared" si="366"/>
        <v>360000</v>
      </c>
      <c r="M352" s="105">
        <v>8500</v>
      </c>
      <c r="N352" s="121">
        <f t="shared" si="367"/>
        <v>765000</v>
      </c>
      <c r="O352" s="105">
        <v>5000</v>
      </c>
      <c r="P352" s="121">
        <f t="shared" si="368"/>
        <v>450000</v>
      </c>
      <c r="Q352" s="165">
        <f t="shared" si="369"/>
        <v>5833.333333333333</v>
      </c>
      <c r="R352" s="166">
        <f t="shared" si="373"/>
        <v>525000</v>
      </c>
      <c r="S352" s="222">
        <f t="shared" si="370"/>
        <v>1929.3061504650375</v>
      </c>
      <c r="T352" s="223">
        <f t="shared" si="361"/>
        <v>0.33073819722257786</v>
      </c>
      <c r="U352" s="224">
        <f t="shared" si="364"/>
        <v>5000</v>
      </c>
      <c r="V352" s="225">
        <f t="shared" si="374"/>
        <v>450000</v>
      </c>
      <c r="W352" s="149">
        <f t="shared" si="362"/>
        <v>0.38586123009300749</v>
      </c>
      <c r="X352" s="139" t="s">
        <v>728</v>
      </c>
      <c r="Y352" s="138" t="s">
        <v>759</v>
      </c>
      <c r="Z352" s="138" t="s">
        <v>752</v>
      </c>
    </row>
    <row r="353" spans="1:26" ht="76" thickBot="1" x14ac:dyDescent="0.25">
      <c r="A353" s="276" t="s">
        <v>54</v>
      </c>
      <c r="B353" s="82">
        <f t="shared" si="340"/>
        <v>3</v>
      </c>
      <c r="C353" s="192">
        <v>312</v>
      </c>
      <c r="D353" s="277">
        <v>327</v>
      </c>
      <c r="E353" s="278" t="s">
        <v>266</v>
      </c>
      <c r="F353" s="87" t="s">
        <v>267</v>
      </c>
      <c r="G353" s="415">
        <v>90</v>
      </c>
      <c r="H353" s="29" t="s">
        <v>57</v>
      </c>
      <c r="I353" s="89">
        <v>5</v>
      </c>
      <c r="J353" s="90" t="s">
        <v>67</v>
      </c>
      <c r="K353" s="107">
        <f>((15000*5.35%)+15000)</f>
        <v>15802.5</v>
      </c>
      <c r="L353" s="150">
        <f t="shared" ref="L353" si="375">+K353*G353*I353</f>
        <v>7111125</v>
      </c>
      <c r="M353" s="107">
        <v>22000</v>
      </c>
      <c r="N353" s="190">
        <f>+M353*I353*G353</f>
        <v>9900000</v>
      </c>
      <c r="O353" s="107">
        <v>16000</v>
      </c>
      <c r="P353" s="190">
        <f>+O353*I353*G353</f>
        <v>7200000</v>
      </c>
      <c r="Q353" s="318">
        <f t="shared" si="369"/>
        <v>17934.166666666668</v>
      </c>
      <c r="R353" s="310">
        <f t="shared" si="363"/>
        <v>8070375</v>
      </c>
      <c r="S353" s="311">
        <f t="shared" si="370"/>
        <v>2876.108723412397</v>
      </c>
      <c r="T353" s="312">
        <f t="shared" si="361"/>
        <v>0.16037035770154157</v>
      </c>
      <c r="U353" s="313">
        <f t="shared" si="364"/>
        <v>16000</v>
      </c>
      <c r="V353" s="314">
        <f t="shared" si="365"/>
        <v>7200000</v>
      </c>
      <c r="W353" s="315">
        <f t="shared" si="362"/>
        <v>0.17975679521327481</v>
      </c>
      <c r="X353" s="141" t="s">
        <v>813</v>
      </c>
      <c r="Y353" s="153" t="s">
        <v>759</v>
      </c>
      <c r="Z353" s="154" t="s">
        <v>752</v>
      </c>
    </row>
    <row r="354" spans="1:26" s="211" customFormat="1" ht="20" thickBot="1" x14ac:dyDescent="0.25">
      <c r="A354" s="58">
        <v>1</v>
      </c>
      <c r="B354" s="284"/>
      <c r="C354" s="284"/>
      <c r="D354" s="72"/>
      <c r="E354" s="59"/>
      <c r="F354" s="405" t="s">
        <v>663</v>
      </c>
      <c r="G354" s="60"/>
      <c r="H354" s="60"/>
      <c r="I354" s="60"/>
      <c r="J354" s="60"/>
      <c r="K354" s="285"/>
      <c r="L354" s="285"/>
      <c r="M354" s="285"/>
      <c r="N354" s="285"/>
      <c r="O354" s="285"/>
      <c r="P354" s="285"/>
      <c r="Q354" s="285"/>
      <c r="R354" s="285"/>
      <c r="S354" s="286"/>
      <c r="T354" s="287"/>
      <c r="U354" s="285"/>
      <c r="V354" s="288"/>
      <c r="W354" s="287"/>
      <c r="X354" s="601"/>
      <c r="Y354" s="601"/>
      <c r="Z354" s="602"/>
    </row>
    <row r="355" spans="1:26" ht="85" x14ac:dyDescent="0.2">
      <c r="A355" s="102" t="s">
        <v>20</v>
      </c>
      <c r="B355" s="192">
        <f t="shared" si="340"/>
        <v>1</v>
      </c>
      <c r="C355" s="192">
        <v>313</v>
      </c>
      <c r="D355" s="282">
        <v>328</v>
      </c>
      <c r="E355" s="283" t="s">
        <v>664</v>
      </c>
      <c r="F355" s="95" t="s">
        <v>665</v>
      </c>
      <c r="G355" s="281">
        <v>1</v>
      </c>
      <c r="H355" s="83" t="s">
        <v>23</v>
      </c>
      <c r="I355" s="97">
        <v>3</v>
      </c>
      <c r="J355" s="98" t="s">
        <v>24</v>
      </c>
      <c r="K355" s="108">
        <v>5860001</v>
      </c>
      <c r="L355" s="151">
        <f>+K355*G355*I355</f>
        <v>17580003</v>
      </c>
      <c r="M355" s="126"/>
      <c r="N355" s="127"/>
      <c r="O355" s="126"/>
      <c r="P355" s="127"/>
      <c r="Q355" s="319">
        <f t="shared" ref="Q355:Q360" si="376">+AVERAGE(K355,M355,O355)</f>
        <v>5860001</v>
      </c>
      <c r="R355" s="320">
        <f t="shared" ref="R355:R359" si="377">+Q355*G355*I355</f>
        <v>17580003</v>
      </c>
      <c r="S355" s="222">
        <f t="shared" ref="S355:S360" si="378">_xlfn.STDEV.P(K355,M355,O355)</f>
        <v>0</v>
      </c>
      <c r="T355" s="321">
        <f t="shared" ref="T355:T370" si="379">+S355/Q355</f>
        <v>0</v>
      </c>
      <c r="U355" s="322">
        <f t="shared" ref="U355:U360" si="380">+MEDIAN(K355,M355,O355)</f>
        <v>5860001</v>
      </c>
      <c r="V355" s="323">
        <f t="shared" ref="V355:V359" si="381">+U355*G355*I355</f>
        <v>17580003</v>
      </c>
      <c r="W355" s="324">
        <f t="shared" ref="W355:W370" si="382">+S355/U355</f>
        <v>0</v>
      </c>
      <c r="X355" s="326" t="s">
        <v>819</v>
      </c>
      <c r="Y355" s="231"/>
      <c r="Z355" s="327"/>
    </row>
    <row r="356" spans="1:26" ht="68" x14ac:dyDescent="0.2">
      <c r="A356" s="63" t="s">
        <v>20</v>
      </c>
      <c r="B356" s="66">
        <f t="shared" si="340"/>
        <v>1</v>
      </c>
      <c r="C356" s="66">
        <v>314</v>
      </c>
      <c r="D356" s="75">
        <v>329</v>
      </c>
      <c r="E356" s="74" t="s">
        <v>666</v>
      </c>
      <c r="F356" s="7" t="s">
        <v>667</v>
      </c>
      <c r="G356" s="423">
        <v>1</v>
      </c>
      <c r="H356" s="28" t="s">
        <v>23</v>
      </c>
      <c r="I356" s="10">
        <v>3</v>
      </c>
      <c r="J356" s="11" t="s">
        <v>24</v>
      </c>
      <c r="K356" s="105">
        <v>3224001</v>
      </c>
      <c r="L356" s="106">
        <f>+K356*G356*I356</f>
        <v>9672003</v>
      </c>
      <c r="M356" s="122"/>
      <c r="N356" s="123"/>
      <c r="O356" s="122"/>
      <c r="P356" s="123"/>
      <c r="Q356" s="165">
        <f t="shared" si="376"/>
        <v>3224001</v>
      </c>
      <c r="R356" s="166">
        <f t="shared" si="377"/>
        <v>9672003</v>
      </c>
      <c r="S356" s="222">
        <f t="shared" si="378"/>
        <v>0</v>
      </c>
      <c r="T356" s="223">
        <f t="shared" si="379"/>
        <v>0</v>
      </c>
      <c r="U356" s="224">
        <f t="shared" si="380"/>
        <v>3224001</v>
      </c>
      <c r="V356" s="225">
        <f t="shared" si="381"/>
        <v>9672003</v>
      </c>
      <c r="W356" s="149">
        <f t="shared" si="382"/>
        <v>0</v>
      </c>
      <c r="X356" s="316" t="s">
        <v>819</v>
      </c>
      <c r="Y356" s="137"/>
      <c r="Z356" s="138"/>
    </row>
    <row r="357" spans="1:26" ht="51" x14ac:dyDescent="0.2">
      <c r="A357" s="63" t="s">
        <v>20</v>
      </c>
      <c r="B357" s="66">
        <f t="shared" si="340"/>
        <v>1</v>
      </c>
      <c r="C357" s="192">
        <v>315</v>
      </c>
      <c r="D357" s="75">
        <v>330</v>
      </c>
      <c r="E357" s="74" t="s">
        <v>668</v>
      </c>
      <c r="F357" s="7" t="s">
        <v>669</v>
      </c>
      <c r="G357" s="423">
        <v>1</v>
      </c>
      <c r="H357" s="28" t="s">
        <v>23</v>
      </c>
      <c r="I357" s="10">
        <v>3</v>
      </c>
      <c r="J357" s="11" t="s">
        <v>24</v>
      </c>
      <c r="K357" s="105">
        <v>5114001</v>
      </c>
      <c r="L357" s="106">
        <f>+K357*G357*I357</f>
        <v>15342003</v>
      </c>
      <c r="M357" s="122"/>
      <c r="N357" s="123"/>
      <c r="O357" s="122"/>
      <c r="P357" s="123"/>
      <c r="Q357" s="165">
        <f t="shared" si="376"/>
        <v>5114001</v>
      </c>
      <c r="R357" s="166">
        <f t="shared" si="377"/>
        <v>15342003</v>
      </c>
      <c r="S357" s="222">
        <f t="shared" si="378"/>
        <v>0</v>
      </c>
      <c r="T357" s="223">
        <f t="shared" si="379"/>
        <v>0</v>
      </c>
      <c r="U357" s="224">
        <f t="shared" si="380"/>
        <v>5114001</v>
      </c>
      <c r="V357" s="225">
        <f t="shared" si="381"/>
        <v>15342003</v>
      </c>
      <c r="W357" s="149">
        <f t="shared" si="382"/>
        <v>0</v>
      </c>
      <c r="X357" s="316" t="s">
        <v>819</v>
      </c>
      <c r="Y357" s="137"/>
      <c r="Z357" s="138"/>
    </row>
    <row r="358" spans="1:26" ht="68" x14ac:dyDescent="0.2">
      <c r="A358" s="63" t="s">
        <v>20</v>
      </c>
      <c r="B358" s="66">
        <f t="shared" si="340"/>
        <v>1</v>
      </c>
      <c r="C358" s="66">
        <v>316</v>
      </c>
      <c r="D358" s="75">
        <v>331</v>
      </c>
      <c r="E358" s="74" t="s">
        <v>670</v>
      </c>
      <c r="F358" s="7" t="s">
        <v>671</v>
      </c>
      <c r="G358" s="423">
        <v>1</v>
      </c>
      <c r="H358" s="28" t="s">
        <v>23</v>
      </c>
      <c r="I358" s="10">
        <v>3</v>
      </c>
      <c r="J358" s="11" t="s">
        <v>24</v>
      </c>
      <c r="K358" s="105">
        <v>5114001</v>
      </c>
      <c r="L358" s="106">
        <f>+K358*G358*I358</f>
        <v>15342003</v>
      </c>
      <c r="M358" s="122"/>
      <c r="N358" s="123"/>
      <c r="O358" s="122"/>
      <c r="P358" s="123"/>
      <c r="Q358" s="165">
        <f t="shared" si="376"/>
        <v>5114001</v>
      </c>
      <c r="R358" s="166">
        <f t="shared" si="377"/>
        <v>15342003</v>
      </c>
      <c r="S358" s="222">
        <f t="shared" si="378"/>
        <v>0</v>
      </c>
      <c r="T358" s="223">
        <f t="shared" si="379"/>
        <v>0</v>
      </c>
      <c r="U358" s="224">
        <f t="shared" si="380"/>
        <v>5114001</v>
      </c>
      <c r="V358" s="225">
        <f t="shared" si="381"/>
        <v>15342003</v>
      </c>
      <c r="W358" s="149">
        <f t="shared" si="382"/>
        <v>0</v>
      </c>
      <c r="X358" s="316" t="s">
        <v>819</v>
      </c>
      <c r="Y358" s="137"/>
      <c r="Z358" s="138"/>
    </row>
    <row r="359" spans="1:26" ht="90" x14ac:dyDescent="0.2">
      <c r="A359" s="63" t="s">
        <v>20</v>
      </c>
      <c r="B359" s="66">
        <f t="shared" si="340"/>
        <v>1</v>
      </c>
      <c r="C359" s="192">
        <v>317</v>
      </c>
      <c r="D359" s="75">
        <v>333</v>
      </c>
      <c r="E359" s="74" t="s">
        <v>78</v>
      </c>
      <c r="F359" s="7" t="s">
        <v>79</v>
      </c>
      <c r="G359" s="423">
        <v>2</v>
      </c>
      <c r="H359" s="28" t="s">
        <v>23</v>
      </c>
      <c r="I359" s="10">
        <v>3</v>
      </c>
      <c r="J359" s="11" t="s">
        <v>24</v>
      </c>
      <c r="K359" s="105">
        <v>1602000</v>
      </c>
      <c r="L359" s="332">
        <v>1602000</v>
      </c>
      <c r="M359" s="122"/>
      <c r="N359" s="123"/>
      <c r="O359" s="122"/>
      <c r="P359" s="123"/>
      <c r="Q359" s="165">
        <f t="shared" si="376"/>
        <v>1602000</v>
      </c>
      <c r="R359" s="166">
        <f t="shared" si="377"/>
        <v>9612000</v>
      </c>
      <c r="S359" s="222">
        <f t="shared" si="378"/>
        <v>0</v>
      </c>
      <c r="T359" s="223">
        <f t="shared" si="379"/>
        <v>0</v>
      </c>
      <c r="U359" s="224">
        <f t="shared" si="380"/>
        <v>1602000</v>
      </c>
      <c r="V359" s="225">
        <f t="shared" si="381"/>
        <v>9612000</v>
      </c>
      <c r="W359" s="149">
        <f t="shared" si="382"/>
        <v>0</v>
      </c>
      <c r="X359" s="316" t="s">
        <v>819</v>
      </c>
      <c r="Y359" s="137"/>
      <c r="Z359" s="138"/>
    </row>
    <row r="360" spans="1:26" ht="210" x14ac:dyDescent="0.2">
      <c r="A360" s="63" t="s">
        <v>54</v>
      </c>
      <c r="B360" s="66">
        <f t="shared" si="340"/>
        <v>3</v>
      </c>
      <c r="C360" s="66">
        <v>318</v>
      </c>
      <c r="D360" s="75">
        <v>334</v>
      </c>
      <c r="E360" s="384" t="s">
        <v>878</v>
      </c>
      <c r="F360" s="7" t="s">
        <v>672</v>
      </c>
      <c r="G360" s="423">
        <v>1</v>
      </c>
      <c r="H360" s="28" t="s">
        <v>57</v>
      </c>
      <c r="I360" s="10"/>
      <c r="J360" s="11"/>
      <c r="K360" s="105">
        <f>+(17850000*100)/119</f>
        <v>15000000</v>
      </c>
      <c r="L360" s="121">
        <f>K360*G360</f>
        <v>15000000</v>
      </c>
      <c r="M360" s="105">
        <f>+(17850000*100)/119</f>
        <v>15000000</v>
      </c>
      <c r="N360" s="121">
        <f t="shared" ref="N360:N367" si="383">G360*M360</f>
        <v>15000000</v>
      </c>
      <c r="O360" s="105">
        <f>+(17850000*100)/119</f>
        <v>15000000</v>
      </c>
      <c r="P360" s="121">
        <f t="shared" ref="P360:P367" si="384">G360*O360</f>
        <v>15000000</v>
      </c>
      <c r="Q360" s="165">
        <f t="shared" si="376"/>
        <v>15000000</v>
      </c>
      <c r="R360" s="166">
        <f>+Q360*G360</f>
        <v>15000000</v>
      </c>
      <c r="S360" s="222">
        <f t="shared" si="378"/>
        <v>0</v>
      </c>
      <c r="T360" s="223">
        <f t="shared" si="379"/>
        <v>0</v>
      </c>
      <c r="U360" s="224">
        <f t="shared" si="380"/>
        <v>15000000</v>
      </c>
      <c r="V360" s="225">
        <f>+U360*G360</f>
        <v>15000000</v>
      </c>
      <c r="W360" s="149">
        <f t="shared" si="382"/>
        <v>0</v>
      </c>
      <c r="X360" s="139"/>
      <c r="Y360" s="137"/>
      <c r="Z360" s="138"/>
    </row>
    <row r="361" spans="1:26" ht="34" x14ac:dyDescent="0.2">
      <c r="A361" s="63" t="s">
        <v>54</v>
      </c>
      <c r="B361" s="66">
        <f t="shared" si="340"/>
        <v>3</v>
      </c>
      <c r="C361" s="192">
        <v>319</v>
      </c>
      <c r="D361" s="75">
        <v>335</v>
      </c>
      <c r="E361" s="74" t="s">
        <v>384</v>
      </c>
      <c r="F361" s="7" t="s">
        <v>385</v>
      </c>
      <c r="G361" s="423">
        <v>40</v>
      </c>
      <c r="H361" s="28" t="s">
        <v>823</v>
      </c>
      <c r="I361" s="10"/>
      <c r="J361" s="11"/>
      <c r="K361" s="105">
        <f>+(30198*100)/119</f>
        <v>25376.470588235294</v>
      </c>
      <c r="L361" s="121">
        <f>K361*G361</f>
        <v>1015058.8235294118</v>
      </c>
      <c r="M361" s="105">
        <f>+(20000*100)/119</f>
        <v>16806.722689075632</v>
      </c>
      <c r="N361" s="121">
        <f t="shared" si="383"/>
        <v>672268.90756302525</v>
      </c>
      <c r="O361" s="105">
        <f>+(31000*100)/119</f>
        <v>26050.420168067227</v>
      </c>
      <c r="P361" s="121">
        <f t="shared" si="384"/>
        <v>1042016.8067226891</v>
      </c>
      <c r="Q361" s="165">
        <f t="shared" ref="Q361:Q370" si="385">+AVERAGE(K361,M361,O361)</f>
        <v>22744.537815126052</v>
      </c>
      <c r="R361" s="166">
        <f>+Q361*G361</f>
        <v>909781.51260504208</v>
      </c>
      <c r="S361" s="222">
        <f t="shared" ref="S361:S370" si="386">_xlfn.STDEV.P(K361,M361,O361)</f>
        <v>4207.6746042126179</v>
      </c>
      <c r="T361" s="223">
        <f t="shared" si="379"/>
        <v>0.18499714693759753</v>
      </c>
      <c r="U361" s="224">
        <f t="shared" ref="U361:U370" si="387">+MEDIAN(K361,M361,O361)</f>
        <v>25376.470588235294</v>
      </c>
      <c r="V361" s="225">
        <f>+U361*G361</f>
        <v>1015058.8235294118</v>
      </c>
      <c r="W361" s="149">
        <f t="shared" si="382"/>
        <v>0.16581007944277817</v>
      </c>
      <c r="X361" s="139" t="s">
        <v>755</v>
      </c>
      <c r="Y361" s="137" t="s">
        <v>103</v>
      </c>
      <c r="Z361" s="138" t="s">
        <v>757</v>
      </c>
    </row>
    <row r="362" spans="1:26" ht="60" x14ac:dyDescent="0.2">
      <c r="A362" s="63" t="s">
        <v>54</v>
      </c>
      <c r="B362" s="66">
        <f t="shared" si="340"/>
        <v>3</v>
      </c>
      <c r="C362" s="66">
        <v>320</v>
      </c>
      <c r="D362" s="75">
        <v>336</v>
      </c>
      <c r="E362" s="74" t="s">
        <v>351</v>
      </c>
      <c r="F362" s="7" t="s">
        <v>352</v>
      </c>
      <c r="G362" s="423">
        <v>40</v>
      </c>
      <c r="H362" s="28" t="s">
        <v>57</v>
      </c>
      <c r="I362" s="10"/>
      <c r="J362" s="11"/>
      <c r="K362" s="105">
        <v>36000</v>
      </c>
      <c r="L362" s="121">
        <f>K362*G362</f>
        <v>1440000</v>
      </c>
      <c r="M362" s="105">
        <v>25000</v>
      </c>
      <c r="N362" s="121">
        <f t="shared" si="383"/>
        <v>1000000</v>
      </c>
      <c r="O362" s="105">
        <v>25000</v>
      </c>
      <c r="P362" s="121">
        <f t="shared" si="384"/>
        <v>1000000</v>
      </c>
      <c r="Q362" s="165">
        <f t="shared" si="385"/>
        <v>28666.666666666668</v>
      </c>
      <c r="R362" s="166">
        <f t="shared" ref="R362:R363" si="388">+Q362*G362</f>
        <v>1146666.6666666667</v>
      </c>
      <c r="S362" s="222">
        <f t="shared" si="386"/>
        <v>5185.4497287013482</v>
      </c>
      <c r="T362" s="223">
        <f t="shared" si="379"/>
        <v>0.18088778123376795</v>
      </c>
      <c r="U362" s="224">
        <f t="shared" si="387"/>
        <v>25000</v>
      </c>
      <c r="V362" s="225">
        <f t="shared" ref="V362:V363" si="389">+U362*G362</f>
        <v>1000000</v>
      </c>
      <c r="W362" s="149">
        <f t="shared" si="382"/>
        <v>0.20741798914805393</v>
      </c>
      <c r="X362" s="139" t="s">
        <v>353</v>
      </c>
      <c r="Y362" s="137" t="s">
        <v>759</v>
      </c>
      <c r="Z362" s="138" t="s">
        <v>752</v>
      </c>
    </row>
    <row r="363" spans="1:26" ht="60" x14ac:dyDescent="0.2">
      <c r="A363" s="63" t="s">
        <v>54</v>
      </c>
      <c r="B363" s="66">
        <f t="shared" si="340"/>
        <v>3</v>
      </c>
      <c r="C363" s="192">
        <v>321</v>
      </c>
      <c r="D363" s="75">
        <v>337</v>
      </c>
      <c r="E363" s="74" t="s">
        <v>123</v>
      </c>
      <c r="F363" s="7" t="s">
        <v>124</v>
      </c>
      <c r="G363" s="423">
        <v>40</v>
      </c>
      <c r="H363" s="28" t="s">
        <v>57</v>
      </c>
      <c r="I363" s="10"/>
      <c r="J363" s="11"/>
      <c r="K363" s="105">
        <f>+(2800*100)/119</f>
        <v>2352.9411764705883</v>
      </c>
      <c r="L363" s="121">
        <f>K363*G363</f>
        <v>94117.647058823524</v>
      </c>
      <c r="M363" s="105">
        <f>+(2681*100)/119</f>
        <v>2252.9411764705883</v>
      </c>
      <c r="N363" s="121">
        <f t="shared" si="383"/>
        <v>90117.647058823524</v>
      </c>
      <c r="O363" s="105">
        <v>2479</v>
      </c>
      <c r="P363" s="121">
        <f t="shared" si="384"/>
        <v>99160</v>
      </c>
      <c r="Q363" s="165">
        <f t="shared" si="385"/>
        <v>2361.627450980392</v>
      </c>
      <c r="R363" s="166">
        <f t="shared" si="388"/>
        <v>94465.098039215678</v>
      </c>
      <c r="S363" s="222">
        <f t="shared" si="386"/>
        <v>92.492293183523046</v>
      </c>
      <c r="T363" s="223">
        <f t="shared" si="379"/>
        <v>3.9164641800351001E-2</v>
      </c>
      <c r="U363" s="224">
        <f t="shared" si="387"/>
        <v>2352.9411764705883</v>
      </c>
      <c r="V363" s="225">
        <f t="shared" si="389"/>
        <v>94117.647058823524</v>
      </c>
      <c r="W363" s="149">
        <f t="shared" si="382"/>
        <v>3.9309224602997295E-2</v>
      </c>
      <c r="X363" s="139" t="s">
        <v>353</v>
      </c>
      <c r="Y363" s="137" t="s">
        <v>739</v>
      </c>
      <c r="Z363" s="138" t="s">
        <v>910</v>
      </c>
    </row>
    <row r="364" spans="1:26" ht="135" x14ac:dyDescent="0.2">
      <c r="A364" s="63" t="s">
        <v>54</v>
      </c>
      <c r="B364" s="66">
        <f t="shared" si="340"/>
        <v>3</v>
      </c>
      <c r="C364" s="66">
        <v>322</v>
      </c>
      <c r="D364" s="75">
        <v>338</v>
      </c>
      <c r="E364" s="74" t="s">
        <v>673</v>
      </c>
      <c r="F364" s="7" t="s">
        <v>674</v>
      </c>
      <c r="G364" s="423">
        <v>40</v>
      </c>
      <c r="H364" s="28" t="s">
        <v>823</v>
      </c>
      <c r="I364" s="10"/>
      <c r="J364" s="11"/>
      <c r="K364" s="105">
        <v>37731</v>
      </c>
      <c r="L364" s="121">
        <f>K364*G364</f>
        <v>1509240</v>
      </c>
      <c r="M364" s="105">
        <v>60000</v>
      </c>
      <c r="N364" s="121">
        <f t="shared" si="383"/>
        <v>2400000</v>
      </c>
      <c r="O364" s="105">
        <v>50000</v>
      </c>
      <c r="P364" s="121">
        <f t="shared" si="384"/>
        <v>2000000</v>
      </c>
      <c r="Q364" s="165">
        <f t="shared" si="385"/>
        <v>49243.666666666664</v>
      </c>
      <c r="R364" s="166">
        <f t="shared" ref="R364:R365" si="390">+Q364*G364</f>
        <v>1969746.6666666665</v>
      </c>
      <c r="S364" s="222">
        <f t="shared" si="386"/>
        <v>9106.9980539997669</v>
      </c>
      <c r="T364" s="223">
        <f t="shared" si="379"/>
        <v>0.18493744821330188</v>
      </c>
      <c r="U364" s="224">
        <f t="shared" si="387"/>
        <v>50000</v>
      </c>
      <c r="V364" s="225">
        <f t="shared" ref="V364:V365" si="391">+U364*G364</f>
        <v>2000000</v>
      </c>
      <c r="W364" s="149">
        <f t="shared" si="382"/>
        <v>0.18213996107999533</v>
      </c>
      <c r="X364" s="139" t="s">
        <v>104</v>
      </c>
      <c r="Y364" s="137" t="s">
        <v>753</v>
      </c>
      <c r="Z364" s="138" t="s">
        <v>752</v>
      </c>
    </row>
    <row r="365" spans="1:26" ht="135" x14ac:dyDescent="0.2">
      <c r="A365" s="63" t="s">
        <v>54</v>
      </c>
      <c r="B365" s="66">
        <f t="shared" si="340"/>
        <v>3</v>
      </c>
      <c r="C365" s="192">
        <v>323</v>
      </c>
      <c r="D365" s="75">
        <v>339</v>
      </c>
      <c r="E365" s="74" t="s">
        <v>675</v>
      </c>
      <c r="F365" s="7" t="s">
        <v>676</v>
      </c>
      <c r="G365" s="423">
        <v>40</v>
      </c>
      <c r="H365" s="28" t="s">
        <v>823</v>
      </c>
      <c r="I365" s="10"/>
      <c r="J365" s="11"/>
      <c r="K365" s="105">
        <f>+(122232*100)/119</f>
        <v>102715.96638655462</v>
      </c>
      <c r="L365" s="332">
        <v>1602000</v>
      </c>
      <c r="M365" s="105">
        <f>+(133900*100)/119</f>
        <v>112521.00840336134</v>
      </c>
      <c r="N365" s="121">
        <f t="shared" si="383"/>
        <v>4500840.3361344533</v>
      </c>
      <c r="O365" s="105">
        <f>+(133900*100)/119</f>
        <v>112521.00840336134</v>
      </c>
      <c r="P365" s="121">
        <f t="shared" si="384"/>
        <v>4500840.3361344533</v>
      </c>
      <c r="Q365" s="165">
        <f t="shared" si="385"/>
        <v>109252.66106442576</v>
      </c>
      <c r="R365" s="166">
        <f t="shared" si="390"/>
        <v>4370106.4425770305</v>
      </c>
      <c r="S365" s="222">
        <f t="shared" si="386"/>
        <v>4622.141133268703</v>
      </c>
      <c r="T365" s="223">
        <f t="shared" si="379"/>
        <v>4.2306897500126325E-2</v>
      </c>
      <c r="U365" s="224">
        <f t="shared" si="387"/>
        <v>112521.00840336134</v>
      </c>
      <c r="V365" s="225">
        <f t="shared" si="391"/>
        <v>4500840.3361344533</v>
      </c>
      <c r="W365" s="149">
        <f t="shared" si="382"/>
        <v>4.1078027995442544E-2</v>
      </c>
      <c r="X365" s="570" t="s">
        <v>677</v>
      </c>
      <c r="Y365" s="576" t="s">
        <v>262</v>
      </c>
      <c r="Z365" s="571" t="s">
        <v>103</v>
      </c>
    </row>
    <row r="366" spans="1:26" ht="75" x14ac:dyDescent="0.2">
      <c r="A366" s="63" t="s">
        <v>54</v>
      </c>
      <c r="B366" s="66">
        <f t="shared" si="340"/>
        <v>3</v>
      </c>
      <c r="C366" s="66">
        <v>324</v>
      </c>
      <c r="D366" s="75">
        <v>340</v>
      </c>
      <c r="E366" s="74" t="s">
        <v>382</v>
      </c>
      <c r="F366" s="7" t="s">
        <v>383</v>
      </c>
      <c r="G366" s="423">
        <v>40</v>
      </c>
      <c r="H366" s="28" t="s">
        <v>57</v>
      </c>
      <c r="I366" s="10"/>
      <c r="J366" s="11"/>
      <c r="K366" s="105">
        <f>+(46000*100)/119</f>
        <v>38655.462184873948</v>
      </c>
      <c r="L366" s="121">
        <f>K366*G366</f>
        <v>1546218.4873949578</v>
      </c>
      <c r="M366" s="105">
        <f>+(69900*100)/119</f>
        <v>58739.495798319331</v>
      </c>
      <c r="N366" s="121">
        <f t="shared" si="383"/>
        <v>2349579.8319327733</v>
      </c>
      <c r="O366" s="105">
        <v>45000</v>
      </c>
      <c r="P366" s="121">
        <f t="shared" si="384"/>
        <v>1800000</v>
      </c>
      <c r="Q366" s="165">
        <f t="shared" si="385"/>
        <v>47464.985994397757</v>
      </c>
      <c r="R366" s="166">
        <f>+Q366*G366</f>
        <v>1898599.4397759102</v>
      </c>
      <c r="S366" s="222">
        <f t="shared" si="386"/>
        <v>8382.4904219424025</v>
      </c>
      <c r="T366" s="223">
        <f t="shared" si="379"/>
        <v>0.1766036636549683</v>
      </c>
      <c r="U366" s="224">
        <f t="shared" si="387"/>
        <v>45000</v>
      </c>
      <c r="V366" s="225">
        <f>+U366*G366</f>
        <v>1800000</v>
      </c>
      <c r="W366" s="149">
        <f t="shared" si="382"/>
        <v>0.18627756493205339</v>
      </c>
      <c r="X366" s="139" t="s">
        <v>103</v>
      </c>
      <c r="Y366" s="137" t="s">
        <v>590</v>
      </c>
      <c r="Z366" s="138" t="s">
        <v>752</v>
      </c>
    </row>
    <row r="367" spans="1:26" ht="90" x14ac:dyDescent="0.2">
      <c r="A367" s="63" t="s">
        <v>54</v>
      </c>
      <c r="B367" s="66">
        <f t="shared" si="340"/>
        <v>3</v>
      </c>
      <c r="C367" s="192">
        <v>325</v>
      </c>
      <c r="D367" s="75">
        <v>341</v>
      </c>
      <c r="E367" s="74" t="s">
        <v>252</v>
      </c>
      <c r="F367" s="7" t="s">
        <v>253</v>
      </c>
      <c r="G367" s="423">
        <v>40</v>
      </c>
      <c r="H367" s="28" t="s">
        <v>57</v>
      </c>
      <c r="I367" s="10"/>
      <c r="J367" s="11"/>
      <c r="K367" s="105">
        <f>+(33320*100)/119</f>
        <v>28000</v>
      </c>
      <c r="L367" s="121">
        <f>K367*G367</f>
        <v>1120000</v>
      </c>
      <c r="M367" s="105">
        <f>+(25000*5.35%)+25000</f>
        <v>26337.5</v>
      </c>
      <c r="N367" s="121">
        <f t="shared" si="383"/>
        <v>1053500</v>
      </c>
      <c r="O367" s="105">
        <f>+(10000*5.35%)+10000</f>
        <v>10535</v>
      </c>
      <c r="P367" s="121">
        <f t="shared" si="384"/>
        <v>421400</v>
      </c>
      <c r="Q367" s="165">
        <f t="shared" si="385"/>
        <v>21624.166666666668</v>
      </c>
      <c r="R367" s="166">
        <f>+Q367*G367</f>
        <v>864966.66666666674</v>
      </c>
      <c r="S367" s="222">
        <f t="shared" si="386"/>
        <v>7870.5438009213967</v>
      </c>
      <c r="T367" s="223">
        <f t="shared" si="379"/>
        <v>0.36396980851307087</v>
      </c>
      <c r="U367" s="224">
        <f t="shared" si="387"/>
        <v>26337.5</v>
      </c>
      <c r="V367" s="225">
        <f>+U367*G367</f>
        <v>1053500</v>
      </c>
      <c r="W367" s="149">
        <f t="shared" si="382"/>
        <v>0.29883412628083139</v>
      </c>
      <c r="X367" s="139" t="s">
        <v>729</v>
      </c>
      <c r="Y367" s="137" t="s">
        <v>732</v>
      </c>
      <c r="Z367" s="138" t="s">
        <v>733</v>
      </c>
    </row>
    <row r="368" spans="1:26" ht="75" x14ac:dyDescent="0.2">
      <c r="A368" s="63" t="s">
        <v>54</v>
      </c>
      <c r="B368" s="66">
        <f t="shared" si="340"/>
        <v>3</v>
      </c>
      <c r="C368" s="66">
        <v>326</v>
      </c>
      <c r="D368" s="75">
        <v>342</v>
      </c>
      <c r="E368" s="74" t="s">
        <v>266</v>
      </c>
      <c r="F368" s="7" t="s">
        <v>267</v>
      </c>
      <c r="G368" s="423">
        <v>40</v>
      </c>
      <c r="H368" s="28" t="s">
        <v>57</v>
      </c>
      <c r="I368" s="10">
        <v>8</v>
      </c>
      <c r="J368" s="11" t="s">
        <v>67</v>
      </c>
      <c r="K368" s="105">
        <f>((15000*5.35%)+15000)</f>
        <v>15802.5</v>
      </c>
      <c r="L368" s="121">
        <f t="shared" ref="L368:L370" si="392">+K368*G368*I368</f>
        <v>5056800</v>
      </c>
      <c r="M368" s="105">
        <v>22000</v>
      </c>
      <c r="N368" s="148">
        <f t="shared" ref="N368:N370" si="393">+M368*I368*G368</f>
        <v>7040000</v>
      </c>
      <c r="O368" s="105">
        <v>16000</v>
      </c>
      <c r="P368" s="148">
        <f t="shared" ref="P368:P370" si="394">+O368*I368*G368</f>
        <v>5120000</v>
      </c>
      <c r="Q368" s="165">
        <f t="shared" si="385"/>
        <v>17934.166666666668</v>
      </c>
      <c r="R368" s="166">
        <f t="shared" ref="R368:R370" si="395">+Q368*G368*I368</f>
        <v>5738933.333333334</v>
      </c>
      <c r="S368" s="222">
        <f t="shared" si="386"/>
        <v>2876.108723412397</v>
      </c>
      <c r="T368" s="223">
        <f t="shared" si="379"/>
        <v>0.16037035770154157</v>
      </c>
      <c r="U368" s="224">
        <f t="shared" si="387"/>
        <v>16000</v>
      </c>
      <c r="V368" s="225">
        <f t="shared" ref="V368:V370" si="396">+U368*G368*I368</f>
        <v>5120000</v>
      </c>
      <c r="W368" s="149">
        <f t="shared" si="382"/>
        <v>0.17975679521327481</v>
      </c>
      <c r="X368" s="139" t="s">
        <v>813</v>
      </c>
      <c r="Y368" s="137" t="s">
        <v>759</v>
      </c>
      <c r="Z368" s="138" t="s">
        <v>752</v>
      </c>
    </row>
    <row r="369" spans="1:26" ht="75" x14ac:dyDescent="0.2">
      <c r="A369" s="63" t="s">
        <v>54</v>
      </c>
      <c r="B369" s="66">
        <f t="shared" si="340"/>
        <v>3</v>
      </c>
      <c r="C369" s="192">
        <v>327</v>
      </c>
      <c r="D369" s="75">
        <v>343</v>
      </c>
      <c r="E369" s="74" t="s">
        <v>629</v>
      </c>
      <c r="F369" s="7" t="s">
        <v>630</v>
      </c>
      <c r="G369" s="423">
        <v>30</v>
      </c>
      <c r="H369" s="28" t="s">
        <v>57</v>
      </c>
      <c r="I369" s="10">
        <v>1</v>
      </c>
      <c r="J369" s="11" t="s">
        <v>817</v>
      </c>
      <c r="K369" s="105">
        <v>33000</v>
      </c>
      <c r="L369" s="121">
        <f t="shared" si="392"/>
        <v>990000</v>
      </c>
      <c r="M369" s="105">
        <v>35000</v>
      </c>
      <c r="N369" s="148">
        <f t="shared" si="393"/>
        <v>1050000</v>
      </c>
      <c r="O369" s="105">
        <v>30000</v>
      </c>
      <c r="P369" s="148">
        <f t="shared" si="394"/>
        <v>900000</v>
      </c>
      <c r="Q369" s="165">
        <f t="shared" si="385"/>
        <v>32666.666666666668</v>
      </c>
      <c r="R369" s="166">
        <f t="shared" si="395"/>
        <v>980000</v>
      </c>
      <c r="S369" s="222">
        <f t="shared" si="386"/>
        <v>2054.8046676563254</v>
      </c>
      <c r="T369" s="223">
        <f t="shared" si="379"/>
        <v>6.2902183703765061E-2</v>
      </c>
      <c r="U369" s="224">
        <f t="shared" si="387"/>
        <v>33000</v>
      </c>
      <c r="V369" s="225">
        <f t="shared" si="396"/>
        <v>990000</v>
      </c>
      <c r="W369" s="149">
        <f t="shared" si="382"/>
        <v>6.2266808110797739E-2</v>
      </c>
      <c r="X369" s="139" t="s">
        <v>814</v>
      </c>
      <c r="Y369" s="137" t="s">
        <v>815</v>
      </c>
      <c r="Z369" s="138" t="s">
        <v>816</v>
      </c>
    </row>
    <row r="370" spans="1:26" ht="52" thickBot="1" x14ac:dyDescent="0.25">
      <c r="A370" s="276" t="s">
        <v>54</v>
      </c>
      <c r="B370" s="82">
        <f t="shared" si="340"/>
        <v>3</v>
      </c>
      <c r="C370" s="66">
        <v>328</v>
      </c>
      <c r="D370" s="277">
        <v>344</v>
      </c>
      <c r="E370" s="278" t="s">
        <v>631</v>
      </c>
      <c r="F370" s="87" t="s">
        <v>632</v>
      </c>
      <c r="G370" s="415">
        <v>30</v>
      </c>
      <c r="H370" s="29" t="s">
        <v>57</v>
      </c>
      <c r="I370" s="89">
        <v>8</v>
      </c>
      <c r="J370" s="90" t="s">
        <v>67</v>
      </c>
      <c r="K370" s="107">
        <v>7100</v>
      </c>
      <c r="L370" s="150">
        <f t="shared" si="392"/>
        <v>1704000</v>
      </c>
      <c r="M370" s="107">
        <v>4000</v>
      </c>
      <c r="N370" s="190">
        <f t="shared" si="393"/>
        <v>960000</v>
      </c>
      <c r="O370" s="107">
        <v>8000</v>
      </c>
      <c r="P370" s="190">
        <f t="shared" si="394"/>
        <v>1920000</v>
      </c>
      <c r="Q370" s="318">
        <f t="shared" si="385"/>
        <v>6366.666666666667</v>
      </c>
      <c r="R370" s="310">
        <f t="shared" si="395"/>
        <v>1528000</v>
      </c>
      <c r="S370" s="311">
        <f t="shared" si="386"/>
        <v>1713.3463034528529</v>
      </c>
      <c r="T370" s="312">
        <f t="shared" si="379"/>
        <v>0.26911198483552662</v>
      </c>
      <c r="U370" s="313">
        <f t="shared" si="387"/>
        <v>7100</v>
      </c>
      <c r="V370" s="314">
        <f t="shared" si="396"/>
        <v>1704000</v>
      </c>
      <c r="W370" s="315">
        <f t="shared" si="382"/>
        <v>0.24131638076800746</v>
      </c>
      <c r="X370" s="141" t="s">
        <v>818</v>
      </c>
      <c r="Y370" s="153" t="s">
        <v>759</v>
      </c>
      <c r="Z370" s="154" t="s">
        <v>752</v>
      </c>
    </row>
    <row r="371" spans="1:26" s="211" customFormat="1" ht="39" thickBot="1" x14ac:dyDescent="0.25">
      <c r="A371" s="58">
        <v>1</v>
      </c>
      <c r="B371" s="284"/>
      <c r="C371" s="284"/>
      <c r="D371" s="72"/>
      <c r="E371" s="59"/>
      <c r="F371" s="405" t="s">
        <v>678</v>
      </c>
      <c r="G371" s="60"/>
      <c r="H371" s="60"/>
      <c r="I371" s="60"/>
      <c r="J371" s="60"/>
      <c r="K371" s="112"/>
      <c r="L371" s="113"/>
      <c r="M371" s="113"/>
      <c r="N371" s="113"/>
      <c r="O371" s="113"/>
      <c r="P371" s="113"/>
      <c r="Q371" s="285"/>
      <c r="R371" s="285"/>
      <c r="S371" s="286"/>
      <c r="T371" s="287"/>
      <c r="U371" s="285"/>
      <c r="V371" s="288"/>
      <c r="W371" s="287"/>
      <c r="X371" s="601"/>
      <c r="Y371" s="601"/>
      <c r="Z371" s="602"/>
    </row>
    <row r="372" spans="1:26" ht="85" x14ac:dyDescent="0.2">
      <c r="A372" s="102" t="s">
        <v>20</v>
      </c>
      <c r="B372" s="192">
        <f t="shared" si="340"/>
        <v>1</v>
      </c>
      <c r="C372" s="192">
        <v>329</v>
      </c>
      <c r="D372" s="282">
        <v>345</v>
      </c>
      <c r="E372" s="283" t="s">
        <v>679</v>
      </c>
      <c r="F372" s="95" t="s">
        <v>680</v>
      </c>
      <c r="G372" s="281">
        <v>1</v>
      </c>
      <c r="H372" s="83" t="s">
        <v>23</v>
      </c>
      <c r="I372" s="97">
        <v>1</v>
      </c>
      <c r="J372" s="98" t="s">
        <v>24</v>
      </c>
      <c r="K372" s="108">
        <v>5860001</v>
      </c>
      <c r="L372" s="151">
        <f>+K372*G372*I372</f>
        <v>5860001</v>
      </c>
      <c r="M372" s="126"/>
      <c r="N372" s="127"/>
      <c r="O372" s="126"/>
      <c r="P372" s="127"/>
      <c r="Q372" s="319">
        <f>+AVERAGE(K372,M372,O372)</f>
        <v>5860001</v>
      </c>
      <c r="R372" s="320">
        <f>+Q372*G372*I372</f>
        <v>5860001</v>
      </c>
      <c r="S372" s="222">
        <f>_xlfn.STDEV.P(K372,M372,O372)</f>
        <v>0</v>
      </c>
      <c r="T372" s="321">
        <f t="shared" ref="T372:T392" si="397">+S372/Q372</f>
        <v>0</v>
      </c>
      <c r="U372" s="322">
        <f>+MEDIAN(K372,M372,O372)</f>
        <v>5860001</v>
      </c>
      <c r="V372" s="323">
        <f>+U372*G372*I372</f>
        <v>5860001</v>
      </c>
      <c r="W372" s="324">
        <f t="shared" ref="W372:W392" si="398">+S372/U372</f>
        <v>0</v>
      </c>
      <c r="X372" s="326" t="s">
        <v>819</v>
      </c>
      <c r="Y372" s="231"/>
      <c r="Z372" s="327"/>
    </row>
    <row r="373" spans="1:26" ht="68" x14ac:dyDescent="0.2">
      <c r="A373" s="63" t="s">
        <v>20</v>
      </c>
      <c r="B373" s="66">
        <f t="shared" si="340"/>
        <v>1</v>
      </c>
      <c r="C373" s="66">
        <v>330</v>
      </c>
      <c r="D373" s="75">
        <v>346</v>
      </c>
      <c r="E373" s="74" t="s">
        <v>681</v>
      </c>
      <c r="F373" s="7" t="s">
        <v>682</v>
      </c>
      <c r="G373" s="423">
        <v>1</v>
      </c>
      <c r="H373" s="28" t="s">
        <v>23</v>
      </c>
      <c r="I373" s="10">
        <v>1</v>
      </c>
      <c r="J373" s="11" t="s">
        <v>24</v>
      </c>
      <c r="K373" s="105">
        <v>5114001</v>
      </c>
      <c r="L373" s="106">
        <f>+K373*G373*I373</f>
        <v>5114001</v>
      </c>
      <c r="M373" s="122"/>
      <c r="N373" s="123"/>
      <c r="O373" s="122"/>
      <c r="P373" s="123"/>
      <c r="Q373" s="165">
        <f>+AVERAGE(K373,M373,O373)</f>
        <v>5114001</v>
      </c>
      <c r="R373" s="166">
        <f>+Q373*G373*I373</f>
        <v>5114001</v>
      </c>
      <c r="S373" s="222">
        <f>_xlfn.STDEV.P(K373,M373,O373)</f>
        <v>0</v>
      </c>
      <c r="T373" s="223">
        <f t="shared" si="397"/>
        <v>0</v>
      </c>
      <c r="U373" s="224">
        <f>+MEDIAN(K373,M373,O373)</f>
        <v>5114001</v>
      </c>
      <c r="V373" s="225">
        <f>+U373*G373*I373</f>
        <v>5114001</v>
      </c>
      <c r="W373" s="149">
        <f t="shared" si="398"/>
        <v>0</v>
      </c>
      <c r="X373" s="316" t="s">
        <v>819</v>
      </c>
      <c r="Y373" s="137"/>
      <c r="Z373" s="138"/>
    </row>
    <row r="374" spans="1:26" ht="68" x14ac:dyDescent="0.2">
      <c r="A374" s="63" t="s">
        <v>20</v>
      </c>
      <c r="B374" s="66">
        <f t="shared" si="340"/>
        <v>1</v>
      </c>
      <c r="C374" s="192">
        <v>331</v>
      </c>
      <c r="D374" s="75">
        <v>347</v>
      </c>
      <c r="E374" s="74" t="s">
        <v>683</v>
      </c>
      <c r="F374" s="7" t="s">
        <v>684</v>
      </c>
      <c r="G374" s="423">
        <v>2</v>
      </c>
      <c r="H374" s="28" t="s">
        <v>23</v>
      </c>
      <c r="I374" s="10">
        <v>1</v>
      </c>
      <c r="J374" s="11" t="s">
        <v>24</v>
      </c>
      <c r="K374" s="105">
        <v>5114001</v>
      </c>
      <c r="L374" s="106">
        <f>+K374*G374*I374</f>
        <v>10228002</v>
      </c>
      <c r="M374" s="122"/>
      <c r="N374" s="123"/>
      <c r="O374" s="122"/>
      <c r="P374" s="123"/>
      <c r="Q374" s="165">
        <f>+AVERAGE(K374,M374,O374)</f>
        <v>5114001</v>
      </c>
      <c r="R374" s="166">
        <f>+Q374*G374*I374</f>
        <v>10228002</v>
      </c>
      <c r="S374" s="222">
        <f>_xlfn.STDEV.P(K374,M374,O374)</f>
        <v>0</v>
      </c>
      <c r="T374" s="223">
        <f t="shared" si="397"/>
        <v>0</v>
      </c>
      <c r="U374" s="224">
        <f>+MEDIAN(K374,M374,O374)</f>
        <v>5114001</v>
      </c>
      <c r="V374" s="225">
        <f>+U374*G374*I374</f>
        <v>10228002</v>
      </c>
      <c r="W374" s="149">
        <f t="shared" si="398"/>
        <v>0</v>
      </c>
      <c r="X374" s="316" t="s">
        <v>819</v>
      </c>
      <c r="Y374" s="137"/>
      <c r="Z374" s="138"/>
    </row>
    <row r="375" spans="1:26" ht="90" x14ac:dyDescent="0.2">
      <c r="A375" s="63" t="s">
        <v>20</v>
      </c>
      <c r="B375" s="66">
        <f t="shared" si="340"/>
        <v>1</v>
      </c>
      <c r="C375" s="66">
        <v>332</v>
      </c>
      <c r="D375" s="75">
        <v>348</v>
      </c>
      <c r="E375" s="74" t="s">
        <v>78</v>
      </c>
      <c r="F375" s="7" t="s">
        <v>79</v>
      </c>
      <c r="G375" s="423">
        <v>2</v>
      </c>
      <c r="H375" s="28" t="s">
        <v>23</v>
      </c>
      <c r="I375" s="10">
        <v>3</v>
      </c>
      <c r="J375" s="11" t="s">
        <v>24</v>
      </c>
      <c r="K375" s="105">
        <v>1602000</v>
      </c>
      <c r="L375" s="106">
        <f>+K375*G375*I375</f>
        <v>9612000</v>
      </c>
      <c r="M375" s="122"/>
      <c r="N375" s="123"/>
      <c r="O375" s="122"/>
      <c r="P375" s="123"/>
      <c r="Q375" s="165">
        <f>+AVERAGE(K375,M375,O375)</f>
        <v>1602000</v>
      </c>
      <c r="R375" s="166">
        <f>+Q375*G375*I375</f>
        <v>9612000</v>
      </c>
      <c r="S375" s="222">
        <f>_xlfn.STDEV.P(K375,M375,O375)</f>
        <v>0</v>
      </c>
      <c r="T375" s="223">
        <f t="shared" si="397"/>
        <v>0</v>
      </c>
      <c r="U375" s="224">
        <f>+MEDIAN(K375,M375,O375)</f>
        <v>1602000</v>
      </c>
      <c r="V375" s="225">
        <f>+U375*G375*I375</f>
        <v>9612000</v>
      </c>
      <c r="W375" s="149">
        <f t="shared" si="398"/>
        <v>0</v>
      </c>
      <c r="X375" s="316" t="s">
        <v>819</v>
      </c>
      <c r="Y375" s="137"/>
      <c r="Z375" s="138"/>
    </row>
    <row r="376" spans="1:26" ht="51" x14ac:dyDescent="0.2">
      <c r="A376" s="63" t="s">
        <v>54</v>
      </c>
      <c r="B376" s="66">
        <f t="shared" si="340"/>
        <v>3</v>
      </c>
      <c r="C376" s="192">
        <v>333</v>
      </c>
      <c r="D376" s="75">
        <v>349</v>
      </c>
      <c r="E376" s="74" t="s">
        <v>685</v>
      </c>
      <c r="F376" s="7" t="s">
        <v>686</v>
      </c>
      <c r="G376" s="423">
        <v>60</v>
      </c>
      <c r="H376" s="28" t="s">
        <v>823</v>
      </c>
      <c r="I376" s="10"/>
      <c r="J376" s="11"/>
      <c r="K376" s="105">
        <v>45000</v>
      </c>
      <c r="L376" s="121">
        <f t="shared" ref="L376:L391" si="399">K376*G376</f>
        <v>2700000</v>
      </c>
      <c r="M376" s="105">
        <v>60000</v>
      </c>
      <c r="N376" s="121">
        <f t="shared" ref="N376:N391" si="400">G376*M376</f>
        <v>3600000</v>
      </c>
      <c r="O376" s="105">
        <v>50000</v>
      </c>
      <c r="P376" s="121">
        <f t="shared" ref="P376:P391" si="401">G376*O376</f>
        <v>3000000</v>
      </c>
      <c r="Q376" s="165">
        <f t="shared" ref="Q376:Q392" si="402">+AVERAGE(K376,M376,O376)</f>
        <v>51666.666666666664</v>
      </c>
      <c r="R376" s="166">
        <f t="shared" ref="R376:R381" si="403">+Q376*G376</f>
        <v>3100000</v>
      </c>
      <c r="S376" s="222">
        <f t="shared" ref="S376:S392" si="404">_xlfn.STDEV.P(K376,M376,O376)</f>
        <v>6236.0956446232358</v>
      </c>
      <c r="T376" s="223">
        <f t="shared" si="397"/>
        <v>0.12069862537980457</v>
      </c>
      <c r="U376" s="224">
        <f t="shared" ref="U376:U392" si="405">+MEDIAN(K376,M376,O376)</f>
        <v>50000</v>
      </c>
      <c r="V376" s="225">
        <f t="shared" ref="V376:V381" si="406">+U376*G376</f>
        <v>3000000</v>
      </c>
      <c r="W376" s="149">
        <f t="shared" si="398"/>
        <v>0.12472191289246472</v>
      </c>
      <c r="X376" s="139" t="s">
        <v>754</v>
      </c>
      <c r="Y376" s="137" t="s">
        <v>753</v>
      </c>
      <c r="Z376" s="138" t="s">
        <v>752</v>
      </c>
    </row>
    <row r="377" spans="1:26" ht="30" x14ac:dyDescent="0.2">
      <c r="A377" s="63" t="s">
        <v>54</v>
      </c>
      <c r="B377" s="66">
        <f t="shared" si="340"/>
        <v>3</v>
      </c>
      <c r="C377" s="66">
        <v>334</v>
      </c>
      <c r="D377" s="75">
        <v>354</v>
      </c>
      <c r="E377" s="74" t="s">
        <v>687</v>
      </c>
      <c r="F377" s="7" t="s">
        <v>688</v>
      </c>
      <c r="G377" s="423">
        <v>60</v>
      </c>
      <c r="H377" s="28" t="s">
        <v>823</v>
      </c>
      <c r="I377" s="10"/>
      <c r="J377" s="11"/>
      <c r="K377" s="105">
        <f>+(11000*100)/119</f>
        <v>9243.6974789915967</v>
      </c>
      <c r="L377" s="121">
        <f t="shared" si="399"/>
        <v>554621.84873949585</v>
      </c>
      <c r="M377" s="105">
        <f>+(15000*100)/119</f>
        <v>12605.042016806723</v>
      </c>
      <c r="N377" s="121">
        <f t="shared" si="400"/>
        <v>756302.52100840339</v>
      </c>
      <c r="O377" s="105">
        <f>+(15400*100)/119</f>
        <v>12941.176470588236</v>
      </c>
      <c r="P377" s="121">
        <f t="shared" si="401"/>
        <v>776470.58823529421</v>
      </c>
      <c r="Q377" s="165">
        <f t="shared" si="402"/>
        <v>11596.638655462186</v>
      </c>
      <c r="R377" s="166">
        <f t="shared" si="403"/>
        <v>695798.31932773115</v>
      </c>
      <c r="S377" s="222">
        <f t="shared" si="404"/>
        <v>1669.4301877592479</v>
      </c>
      <c r="T377" s="223">
        <f t="shared" si="397"/>
        <v>0.14395811039373224</v>
      </c>
      <c r="U377" s="224">
        <f t="shared" si="405"/>
        <v>12605.042016806723</v>
      </c>
      <c r="V377" s="225">
        <f t="shared" si="406"/>
        <v>756302.52100840339</v>
      </c>
      <c r="W377" s="149">
        <f t="shared" si="398"/>
        <v>0.13244146156223366</v>
      </c>
      <c r="X377" s="570" t="s">
        <v>689</v>
      </c>
      <c r="Y377" s="576" t="s">
        <v>690</v>
      </c>
      <c r="Z377" s="138" t="s">
        <v>752</v>
      </c>
    </row>
    <row r="378" spans="1:26" ht="30" x14ac:dyDescent="0.2">
      <c r="A378" s="63" t="s">
        <v>54</v>
      </c>
      <c r="B378" s="66">
        <f t="shared" si="340"/>
        <v>3</v>
      </c>
      <c r="C378" s="192">
        <v>335</v>
      </c>
      <c r="D378" s="75">
        <v>350</v>
      </c>
      <c r="E378" s="74" t="s">
        <v>687</v>
      </c>
      <c r="F378" s="7" t="s">
        <v>691</v>
      </c>
      <c r="G378" s="423">
        <v>60</v>
      </c>
      <c r="H378" s="28" t="s">
        <v>823</v>
      </c>
      <c r="I378" s="10"/>
      <c r="J378" s="11"/>
      <c r="K378" s="105">
        <f>+(11000*100)/119</f>
        <v>9243.6974789915967</v>
      </c>
      <c r="L378" s="121">
        <f t="shared" si="399"/>
        <v>554621.84873949585</v>
      </c>
      <c r="M378" s="105">
        <f>+(15000*100)/119</f>
        <v>12605.042016806723</v>
      </c>
      <c r="N378" s="121">
        <f t="shared" si="400"/>
        <v>756302.52100840339</v>
      </c>
      <c r="O378" s="105">
        <f>+(15400*100)/119</f>
        <v>12941.176470588236</v>
      </c>
      <c r="P378" s="121">
        <f t="shared" si="401"/>
        <v>776470.58823529421</v>
      </c>
      <c r="Q378" s="165">
        <f t="shared" si="402"/>
        <v>11596.638655462186</v>
      </c>
      <c r="R378" s="166">
        <f t="shared" si="403"/>
        <v>695798.31932773115</v>
      </c>
      <c r="S378" s="222">
        <f t="shared" si="404"/>
        <v>1669.4301877592479</v>
      </c>
      <c r="T378" s="223">
        <f t="shared" si="397"/>
        <v>0.14395811039373224</v>
      </c>
      <c r="U378" s="224">
        <f t="shared" si="405"/>
        <v>12605.042016806723</v>
      </c>
      <c r="V378" s="225">
        <f t="shared" si="406"/>
        <v>756302.52100840339</v>
      </c>
      <c r="W378" s="149">
        <f t="shared" si="398"/>
        <v>0.13244146156223366</v>
      </c>
      <c r="X378" s="570" t="s">
        <v>689</v>
      </c>
      <c r="Y378" s="576" t="s">
        <v>690</v>
      </c>
      <c r="Z378" s="138" t="s">
        <v>752</v>
      </c>
    </row>
    <row r="379" spans="1:26" ht="17" x14ac:dyDescent="0.2">
      <c r="A379" s="63" t="s">
        <v>54</v>
      </c>
      <c r="B379" s="66">
        <f t="shared" si="340"/>
        <v>3</v>
      </c>
      <c r="C379" s="66">
        <v>336</v>
      </c>
      <c r="D379" s="75">
        <v>351</v>
      </c>
      <c r="E379" s="74" t="s">
        <v>687</v>
      </c>
      <c r="F379" s="7" t="s">
        <v>692</v>
      </c>
      <c r="G379" s="423">
        <v>60</v>
      </c>
      <c r="H379" s="28" t="s">
        <v>823</v>
      </c>
      <c r="I379" s="10"/>
      <c r="J379" s="11"/>
      <c r="K379" s="105">
        <f>+(11000*100)/119</f>
        <v>9243.6974789915967</v>
      </c>
      <c r="L379" s="121">
        <f t="shared" si="399"/>
        <v>554621.84873949585</v>
      </c>
      <c r="M379" s="105">
        <f>+(15000*100)/119</f>
        <v>12605.042016806723</v>
      </c>
      <c r="N379" s="121">
        <f t="shared" si="400"/>
        <v>756302.52100840339</v>
      </c>
      <c r="O379" s="105">
        <f>+(15400*100)/119</f>
        <v>12941.176470588236</v>
      </c>
      <c r="P379" s="121">
        <f t="shared" si="401"/>
        <v>776470.58823529421</v>
      </c>
      <c r="Q379" s="165">
        <f t="shared" si="402"/>
        <v>11596.638655462186</v>
      </c>
      <c r="R379" s="166">
        <f t="shared" si="403"/>
        <v>695798.31932773115</v>
      </c>
      <c r="S379" s="222">
        <f t="shared" si="404"/>
        <v>1669.4301877592479</v>
      </c>
      <c r="T379" s="223">
        <f t="shared" si="397"/>
        <v>0.14395811039373224</v>
      </c>
      <c r="U379" s="224">
        <f t="shared" si="405"/>
        <v>12605.042016806723</v>
      </c>
      <c r="V379" s="225">
        <f t="shared" si="406"/>
        <v>756302.52100840339</v>
      </c>
      <c r="W379" s="149">
        <f t="shared" si="398"/>
        <v>0.13244146156223366</v>
      </c>
      <c r="X379" s="570" t="s">
        <v>689</v>
      </c>
      <c r="Y379" s="576" t="s">
        <v>690</v>
      </c>
      <c r="Z379" s="138" t="s">
        <v>752</v>
      </c>
    </row>
    <row r="380" spans="1:26" ht="17" x14ac:dyDescent="0.2">
      <c r="A380" s="63" t="s">
        <v>54</v>
      </c>
      <c r="B380" s="66">
        <f t="shared" si="340"/>
        <v>3</v>
      </c>
      <c r="C380" s="192">
        <v>337</v>
      </c>
      <c r="D380" s="75">
        <v>352</v>
      </c>
      <c r="E380" s="74" t="s">
        <v>687</v>
      </c>
      <c r="F380" s="7" t="s">
        <v>693</v>
      </c>
      <c r="G380" s="423">
        <v>60</v>
      </c>
      <c r="H380" s="28" t="s">
        <v>823</v>
      </c>
      <c r="I380" s="10"/>
      <c r="J380" s="11"/>
      <c r="K380" s="105">
        <f>+(11000*100)/119</f>
        <v>9243.6974789915967</v>
      </c>
      <c r="L380" s="121">
        <f t="shared" si="399"/>
        <v>554621.84873949585</v>
      </c>
      <c r="M380" s="105">
        <f>+(15000*100)/119</f>
        <v>12605.042016806723</v>
      </c>
      <c r="N380" s="121">
        <f t="shared" si="400"/>
        <v>756302.52100840339</v>
      </c>
      <c r="O380" s="105">
        <f>+(15400*100)/119</f>
        <v>12941.176470588236</v>
      </c>
      <c r="P380" s="121">
        <f t="shared" si="401"/>
        <v>776470.58823529421</v>
      </c>
      <c r="Q380" s="165">
        <f t="shared" si="402"/>
        <v>11596.638655462186</v>
      </c>
      <c r="R380" s="166">
        <f t="shared" si="403"/>
        <v>695798.31932773115</v>
      </c>
      <c r="S380" s="222">
        <f t="shared" si="404"/>
        <v>1669.4301877592479</v>
      </c>
      <c r="T380" s="223">
        <f t="shared" si="397"/>
        <v>0.14395811039373224</v>
      </c>
      <c r="U380" s="224">
        <f t="shared" si="405"/>
        <v>12605.042016806723</v>
      </c>
      <c r="V380" s="225">
        <f t="shared" si="406"/>
        <v>756302.52100840339</v>
      </c>
      <c r="W380" s="149">
        <f t="shared" si="398"/>
        <v>0.13244146156223366</v>
      </c>
      <c r="X380" s="570" t="s">
        <v>689</v>
      </c>
      <c r="Y380" s="576" t="s">
        <v>690</v>
      </c>
      <c r="Z380" s="138" t="s">
        <v>752</v>
      </c>
    </row>
    <row r="381" spans="1:26" ht="17" x14ac:dyDescent="0.2">
      <c r="A381" s="63" t="s">
        <v>54</v>
      </c>
      <c r="B381" s="66">
        <f t="shared" si="340"/>
        <v>3</v>
      </c>
      <c r="C381" s="66">
        <v>338</v>
      </c>
      <c r="D381" s="75">
        <v>353</v>
      </c>
      <c r="E381" s="74" t="s">
        <v>687</v>
      </c>
      <c r="F381" s="7" t="s">
        <v>694</v>
      </c>
      <c r="G381" s="423">
        <v>60</v>
      </c>
      <c r="H381" s="28" t="s">
        <v>823</v>
      </c>
      <c r="I381" s="10"/>
      <c r="J381" s="11"/>
      <c r="K381" s="105">
        <f>+(11000*100)/119</f>
        <v>9243.6974789915967</v>
      </c>
      <c r="L381" s="121">
        <f t="shared" si="399"/>
        <v>554621.84873949585</v>
      </c>
      <c r="M381" s="105">
        <f>+(15000*100)/119</f>
        <v>12605.042016806723</v>
      </c>
      <c r="N381" s="121">
        <f t="shared" si="400"/>
        <v>756302.52100840339</v>
      </c>
      <c r="O381" s="105">
        <f>+(15400*100)/119</f>
        <v>12941.176470588236</v>
      </c>
      <c r="P381" s="121">
        <f t="shared" si="401"/>
        <v>776470.58823529421</v>
      </c>
      <c r="Q381" s="165">
        <f t="shared" si="402"/>
        <v>11596.638655462186</v>
      </c>
      <c r="R381" s="166">
        <f t="shared" si="403"/>
        <v>695798.31932773115</v>
      </c>
      <c r="S381" s="222">
        <f t="shared" si="404"/>
        <v>1669.4301877592479</v>
      </c>
      <c r="T381" s="223">
        <f t="shared" si="397"/>
        <v>0.14395811039373224</v>
      </c>
      <c r="U381" s="224">
        <f t="shared" si="405"/>
        <v>12605.042016806723</v>
      </c>
      <c r="V381" s="225">
        <f t="shared" si="406"/>
        <v>756302.52100840339</v>
      </c>
      <c r="W381" s="149">
        <f t="shared" si="398"/>
        <v>0.13244146156223366</v>
      </c>
      <c r="X381" s="570" t="s">
        <v>689</v>
      </c>
      <c r="Y381" s="576" t="s">
        <v>690</v>
      </c>
      <c r="Z381" s="138" t="s">
        <v>752</v>
      </c>
    </row>
    <row r="382" spans="1:26" ht="34" x14ac:dyDescent="0.2">
      <c r="A382" s="63" t="s">
        <v>54</v>
      </c>
      <c r="B382" s="66">
        <f t="shared" si="340"/>
        <v>3</v>
      </c>
      <c r="C382" s="192">
        <v>339</v>
      </c>
      <c r="D382" s="75">
        <v>355</v>
      </c>
      <c r="E382" s="74" t="s">
        <v>695</v>
      </c>
      <c r="F382" s="7" t="s">
        <v>696</v>
      </c>
      <c r="G382" s="423">
        <v>60</v>
      </c>
      <c r="H382" s="28" t="s">
        <v>57</v>
      </c>
      <c r="I382" s="10"/>
      <c r="J382" s="11"/>
      <c r="K382" s="105">
        <f>+(15300*100)/119</f>
        <v>12857.142857142857</v>
      </c>
      <c r="L382" s="121">
        <f t="shared" si="399"/>
        <v>771428.57142857136</v>
      </c>
      <c r="M382" s="105">
        <f>+(15500*100)/119</f>
        <v>13025.210084033613</v>
      </c>
      <c r="N382" s="121">
        <f t="shared" si="400"/>
        <v>781512.60504201683</v>
      </c>
      <c r="O382" s="105">
        <f>+(17900*100)/119</f>
        <v>15042.01680672269</v>
      </c>
      <c r="P382" s="121">
        <f t="shared" si="401"/>
        <v>902521.00840336143</v>
      </c>
      <c r="Q382" s="165">
        <f t="shared" si="402"/>
        <v>13641.456582633053</v>
      </c>
      <c r="R382" s="166">
        <f t="shared" ref="R382:R387" si="407">+Q382*G382</f>
        <v>818487.39495798317</v>
      </c>
      <c r="S382" s="222">
        <f t="shared" si="404"/>
        <v>992.71961605990782</v>
      </c>
      <c r="T382" s="223">
        <f t="shared" si="397"/>
        <v>7.2772259329237601E-2</v>
      </c>
      <c r="U382" s="224">
        <f t="shared" si="405"/>
        <v>13025.210084033613</v>
      </c>
      <c r="V382" s="225">
        <f t="shared" ref="V382:V387" si="408">+U382*G382</f>
        <v>781512.60504201683</v>
      </c>
      <c r="W382" s="149">
        <f t="shared" si="398"/>
        <v>7.6215247942663891E-2</v>
      </c>
      <c r="X382" s="139" t="s">
        <v>775</v>
      </c>
      <c r="Y382" s="137" t="s">
        <v>776</v>
      </c>
      <c r="Z382" s="138" t="s">
        <v>777</v>
      </c>
    </row>
    <row r="383" spans="1:26" ht="17" x14ac:dyDescent="0.2">
      <c r="A383" s="63" t="s">
        <v>54</v>
      </c>
      <c r="B383" s="66">
        <f t="shared" ref="B383:B400" si="409">+COUNT(K383,M383,O383)</f>
        <v>3</v>
      </c>
      <c r="C383" s="66">
        <v>340</v>
      </c>
      <c r="D383" s="75">
        <v>356</v>
      </c>
      <c r="E383" s="74" t="s">
        <v>697</v>
      </c>
      <c r="F383" s="7" t="s">
        <v>698</v>
      </c>
      <c r="G383" s="423">
        <v>60</v>
      </c>
      <c r="H383" s="28" t="s">
        <v>57</v>
      </c>
      <c r="I383" s="10"/>
      <c r="J383" s="11"/>
      <c r="K383" s="105">
        <f>+(96555*100)/119</f>
        <v>81138.655462184877</v>
      </c>
      <c r="L383" s="121">
        <f t="shared" si="399"/>
        <v>4868319.3277310925</v>
      </c>
      <c r="M383" s="105">
        <f>+(151933*100)/119</f>
        <v>127674.78991596638</v>
      </c>
      <c r="N383" s="121">
        <f t="shared" si="400"/>
        <v>7660487.3949579829</v>
      </c>
      <c r="O383" s="105">
        <f>+(173042*100)/119</f>
        <v>145413.44537815126</v>
      </c>
      <c r="P383" s="121">
        <f t="shared" si="401"/>
        <v>8724806.7226890754</v>
      </c>
      <c r="Q383" s="165">
        <f t="shared" si="402"/>
        <v>118075.63025210083</v>
      </c>
      <c r="R383" s="166">
        <f t="shared" si="407"/>
        <v>7084537.8151260503</v>
      </c>
      <c r="S383" s="222">
        <f t="shared" si="404"/>
        <v>27103.751946605593</v>
      </c>
      <c r="T383" s="223">
        <f t="shared" si="397"/>
        <v>0.22954568939193407</v>
      </c>
      <c r="U383" s="224">
        <f t="shared" si="405"/>
        <v>127674.78991596638</v>
      </c>
      <c r="V383" s="225">
        <f t="shared" si="408"/>
        <v>7660487.3949579829</v>
      </c>
      <c r="W383" s="149">
        <f t="shared" si="398"/>
        <v>0.21228742153752414</v>
      </c>
      <c r="X383" s="139" t="s">
        <v>261</v>
      </c>
      <c r="Y383" s="137" t="s">
        <v>763</v>
      </c>
      <c r="Z383" s="138" t="s">
        <v>778</v>
      </c>
    </row>
    <row r="384" spans="1:26" ht="17" x14ac:dyDescent="0.2">
      <c r="A384" s="63" t="s">
        <v>54</v>
      </c>
      <c r="B384" s="66">
        <f t="shared" si="409"/>
        <v>3</v>
      </c>
      <c r="C384" s="192">
        <v>341</v>
      </c>
      <c r="D384" s="75">
        <v>357</v>
      </c>
      <c r="E384" s="74" t="s">
        <v>565</v>
      </c>
      <c r="F384" s="7" t="s">
        <v>699</v>
      </c>
      <c r="G384" s="423">
        <v>60</v>
      </c>
      <c r="H384" s="28" t="s">
        <v>57</v>
      </c>
      <c r="I384" s="10"/>
      <c r="J384" s="11"/>
      <c r="K384" s="105">
        <f>+(13900*100)/119</f>
        <v>11680.672268907563</v>
      </c>
      <c r="L384" s="121">
        <f t="shared" si="399"/>
        <v>700840.33613445377</v>
      </c>
      <c r="M384" s="105">
        <f>+(15000*100)/119</f>
        <v>12605.042016806723</v>
      </c>
      <c r="N384" s="121">
        <f t="shared" si="400"/>
        <v>756302.52100840339</v>
      </c>
      <c r="O384" s="105">
        <f>+(16000*100)/119</f>
        <v>13445.378151260504</v>
      </c>
      <c r="P384" s="121">
        <f t="shared" si="401"/>
        <v>806722.68907563027</v>
      </c>
      <c r="Q384" s="165">
        <f t="shared" si="402"/>
        <v>12577.030812324929</v>
      </c>
      <c r="R384" s="166">
        <f t="shared" si="407"/>
        <v>754621.84873949573</v>
      </c>
      <c r="S384" s="222">
        <f t="shared" si="404"/>
        <v>720.71038264810102</v>
      </c>
      <c r="T384" s="223">
        <f t="shared" si="397"/>
        <v>5.7303698575806701E-2</v>
      </c>
      <c r="U384" s="224">
        <f t="shared" si="405"/>
        <v>12605.042016806723</v>
      </c>
      <c r="V384" s="225">
        <f t="shared" si="408"/>
        <v>756302.52100840339</v>
      </c>
      <c r="W384" s="149">
        <f t="shared" si="398"/>
        <v>5.7176357023416009E-2</v>
      </c>
      <c r="X384" s="139" t="s">
        <v>747</v>
      </c>
      <c r="Y384" s="137" t="s">
        <v>779</v>
      </c>
      <c r="Z384" s="138" t="s">
        <v>780</v>
      </c>
    </row>
    <row r="385" spans="1:26" ht="34" x14ac:dyDescent="0.2">
      <c r="A385" s="63" t="s">
        <v>54</v>
      </c>
      <c r="B385" s="66">
        <f t="shared" si="409"/>
        <v>3</v>
      </c>
      <c r="C385" s="66">
        <v>342</v>
      </c>
      <c r="D385" s="75">
        <v>358</v>
      </c>
      <c r="E385" s="74" t="s">
        <v>571</v>
      </c>
      <c r="F385" s="7" t="s">
        <v>700</v>
      </c>
      <c r="G385" s="423">
        <v>30</v>
      </c>
      <c r="H385" s="28" t="s">
        <v>57</v>
      </c>
      <c r="I385" s="10"/>
      <c r="J385" s="11"/>
      <c r="K385" s="105">
        <f>+(788*100)/119</f>
        <v>662.18487394957981</v>
      </c>
      <c r="L385" s="121">
        <f t="shared" si="399"/>
        <v>19865.546218487394</v>
      </c>
      <c r="M385" s="105">
        <f>+(704*100)/119</f>
        <v>591.59663865546213</v>
      </c>
      <c r="N385" s="121">
        <f t="shared" si="400"/>
        <v>17747.899159663863</v>
      </c>
      <c r="O385" s="105">
        <f>+(800*100)/119</f>
        <v>672.26890756302521</v>
      </c>
      <c r="P385" s="121">
        <f t="shared" si="401"/>
        <v>20168.067226890755</v>
      </c>
      <c r="Q385" s="165">
        <f t="shared" si="402"/>
        <v>642.01680672268901</v>
      </c>
      <c r="R385" s="166">
        <f t="shared" si="407"/>
        <v>19260.504201680669</v>
      </c>
      <c r="S385" s="222">
        <f t="shared" si="404"/>
        <v>35.889338662290143</v>
      </c>
      <c r="T385" s="223">
        <f t="shared" si="397"/>
        <v>5.5900933256708474E-2</v>
      </c>
      <c r="U385" s="224">
        <f t="shared" si="405"/>
        <v>662.18487394957981</v>
      </c>
      <c r="V385" s="225">
        <f t="shared" si="408"/>
        <v>19865.546218487394</v>
      </c>
      <c r="W385" s="149">
        <f t="shared" si="398"/>
        <v>5.4198366761580297E-2</v>
      </c>
      <c r="X385" s="139" t="s">
        <v>781</v>
      </c>
      <c r="Y385" s="137" t="s">
        <v>782</v>
      </c>
      <c r="Z385" s="138" t="s">
        <v>783</v>
      </c>
    </row>
    <row r="386" spans="1:26" ht="34" x14ac:dyDescent="0.2">
      <c r="A386" s="63" t="s">
        <v>54</v>
      </c>
      <c r="B386" s="66">
        <f t="shared" si="409"/>
        <v>3</v>
      </c>
      <c r="C386" s="192">
        <v>343</v>
      </c>
      <c r="D386" s="75">
        <v>359</v>
      </c>
      <c r="E386" s="74" t="s">
        <v>571</v>
      </c>
      <c r="F386" s="7" t="s">
        <v>701</v>
      </c>
      <c r="G386" s="423">
        <v>30</v>
      </c>
      <c r="H386" s="28" t="s">
        <v>57</v>
      </c>
      <c r="I386" s="10"/>
      <c r="J386" s="11"/>
      <c r="K386" s="105">
        <f>+(707*100)/119</f>
        <v>594.11764705882354</v>
      </c>
      <c r="L386" s="121">
        <f t="shared" si="399"/>
        <v>17823.529411764706</v>
      </c>
      <c r="M386" s="105">
        <f>+(780*100)/119</f>
        <v>655.46218487394958</v>
      </c>
      <c r="N386" s="121">
        <f t="shared" si="400"/>
        <v>19663.865546218487</v>
      </c>
      <c r="O386" s="105">
        <f>+(1000*100)/119</f>
        <v>840.33613445378148</v>
      </c>
      <c r="P386" s="121">
        <f t="shared" si="401"/>
        <v>25210.084033613446</v>
      </c>
      <c r="Q386" s="165">
        <f t="shared" si="402"/>
        <v>696.63865546218494</v>
      </c>
      <c r="R386" s="166">
        <f t="shared" si="407"/>
        <v>20899.159663865546</v>
      </c>
      <c r="S386" s="222">
        <f t="shared" si="404"/>
        <v>104.65024982082953</v>
      </c>
      <c r="T386" s="223">
        <f t="shared" si="397"/>
        <v>0.15022170963424261</v>
      </c>
      <c r="U386" s="224">
        <f t="shared" si="405"/>
        <v>655.46218487394958</v>
      </c>
      <c r="V386" s="225">
        <f t="shared" si="408"/>
        <v>19663.865546218487</v>
      </c>
      <c r="W386" s="149">
        <f t="shared" si="398"/>
        <v>0.15965871447023991</v>
      </c>
      <c r="X386" s="139" t="s">
        <v>781</v>
      </c>
      <c r="Y386" s="137" t="s">
        <v>782</v>
      </c>
      <c r="Z386" s="138" t="s">
        <v>783</v>
      </c>
    </row>
    <row r="387" spans="1:26" ht="34" x14ac:dyDescent="0.2">
      <c r="A387" s="63" t="s">
        <v>54</v>
      </c>
      <c r="B387" s="66">
        <f t="shared" si="409"/>
        <v>3</v>
      </c>
      <c r="C387" s="66">
        <v>344</v>
      </c>
      <c r="D387" s="75">
        <v>360</v>
      </c>
      <c r="E387" s="74" t="s">
        <v>702</v>
      </c>
      <c r="F387" s="7" t="s">
        <v>703</v>
      </c>
      <c r="G387" s="423">
        <v>30</v>
      </c>
      <c r="H387" s="28" t="s">
        <v>57</v>
      </c>
      <c r="I387" s="10"/>
      <c r="J387" s="11"/>
      <c r="K387" s="105">
        <f>+(1178*100)/119</f>
        <v>989.9159663865546</v>
      </c>
      <c r="L387" s="121">
        <f t="shared" si="399"/>
        <v>29697.478991596639</v>
      </c>
      <c r="M387" s="105">
        <f>+(1500*100)/119</f>
        <v>1260.5042016806722</v>
      </c>
      <c r="N387" s="121">
        <f t="shared" si="400"/>
        <v>37815.126050420164</v>
      </c>
      <c r="O387" s="105">
        <f>+(1449*100)/119</f>
        <v>1217.6470588235295</v>
      </c>
      <c r="P387" s="121">
        <f t="shared" si="401"/>
        <v>36529.411764705888</v>
      </c>
      <c r="Q387" s="165">
        <f t="shared" si="402"/>
        <v>1156.0224089635856</v>
      </c>
      <c r="R387" s="166">
        <f t="shared" si="407"/>
        <v>34680.672268907569</v>
      </c>
      <c r="S387" s="222">
        <f t="shared" si="404"/>
        <v>118.75098981388575</v>
      </c>
      <c r="T387" s="223">
        <f t="shared" si="397"/>
        <v>0.10272377844331769</v>
      </c>
      <c r="U387" s="224">
        <f t="shared" si="405"/>
        <v>1217.6470588235295</v>
      </c>
      <c r="V387" s="225">
        <f t="shared" si="408"/>
        <v>36529.411764705888</v>
      </c>
      <c r="W387" s="149">
        <f t="shared" si="398"/>
        <v>9.7524967480002778E-2</v>
      </c>
      <c r="X387" s="139" t="s">
        <v>782</v>
      </c>
      <c r="Y387" s="137" t="s">
        <v>783</v>
      </c>
      <c r="Z387" s="138" t="s">
        <v>781</v>
      </c>
    </row>
    <row r="388" spans="1:26" ht="51" x14ac:dyDescent="0.2">
      <c r="A388" s="63" t="s">
        <v>54</v>
      </c>
      <c r="B388" s="66">
        <f t="shared" si="409"/>
        <v>3</v>
      </c>
      <c r="C388" s="192">
        <v>345</v>
      </c>
      <c r="D388" s="75">
        <v>361</v>
      </c>
      <c r="E388" s="74" t="s">
        <v>704</v>
      </c>
      <c r="F388" s="7" t="s">
        <v>705</v>
      </c>
      <c r="G388" s="423">
        <v>30</v>
      </c>
      <c r="H388" s="28" t="s">
        <v>57</v>
      </c>
      <c r="I388" s="10"/>
      <c r="J388" s="11"/>
      <c r="K388" s="105">
        <f>+(19900*100)/119</f>
        <v>16722.689075630253</v>
      </c>
      <c r="L388" s="121">
        <f t="shared" si="399"/>
        <v>501680.6722689076</v>
      </c>
      <c r="M388" s="105">
        <v>14000</v>
      </c>
      <c r="N388" s="121">
        <f t="shared" si="400"/>
        <v>420000</v>
      </c>
      <c r="O388" s="105">
        <v>18500</v>
      </c>
      <c r="P388" s="121">
        <f t="shared" si="401"/>
        <v>555000</v>
      </c>
      <c r="Q388" s="165">
        <f t="shared" si="402"/>
        <v>16407.563025210085</v>
      </c>
      <c r="R388" s="166">
        <f>+Q388*G388</f>
        <v>492226.89075630257</v>
      </c>
      <c r="S388" s="222">
        <f t="shared" si="404"/>
        <v>1850.5815879951801</v>
      </c>
      <c r="T388" s="223">
        <f t="shared" si="397"/>
        <v>0.11278832725809292</v>
      </c>
      <c r="U388" s="224">
        <f t="shared" si="405"/>
        <v>16722.689075630253</v>
      </c>
      <c r="V388" s="225">
        <f>+U388*G388</f>
        <v>501680.6722689076</v>
      </c>
      <c r="W388" s="149">
        <f t="shared" si="398"/>
        <v>0.1106629190811188</v>
      </c>
      <c r="X388" s="139" t="s">
        <v>261</v>
      </c>
      <c r="Y388" s="137" t="s">
        <v>759</v>
      </c>
      <c r="Z388" s="138" t="s">
        <v>752</v>
      </c>
    </row>
    <row r="389" spans="1:26" ht="17" x14ac:dyDescent="0.2">
      <c r="A389" s="63" t="s">
        <v>54</v>
      </c>
      <c r="B389" s="66">
        <f t="shared" si="409"/>
        <v>3</v>
      </c>
      <c r="C389" s="66">
        <v>346</v>
      </c>
      <c r="D389" s="75">
        <v>362</v>
      </c>
      <c r="E389" s="74" t="s">
        <v>216</v>
      </c>
      <c r="F389" s="7" t="s">
        <v>706</v>
      </c>
      <c r="G389" s="423">
        <v>400</v>
      </c>
      <c r="H389" s="28" t="s">
        <v>57</v>
      </c>
      <c r="I389" s="10"/>
      <c r="J389" s="11"/>
      <c r="K389" s="105">
        <f>+(19400*100)/119</f>
        <v>16302.521008403361</v>
      </c>
      <c r="L389" s="121">
        <f t="shared" si="399"/>
        <v>6521008.4033613447</v>
      </c>
      <c r="M389" s="105">
        <f>+(18150*100)/119</f>
        <v>15252.100840336134</v>
      </c>
      <c r="N389" s="121">
        <f t="shared" si="400"/>
        <v>6100840.3361344533</v>
      </c>
      <c r="O389" s="105">
        <f>+(19850*100)/119</f>
        <v>16680.672268907561</v>
      </c>
      <c r="P389" s="121">
        <f t="shared" si="401"/>
        <v>6672268.9075630242</v>
      </c>
      <c r="Q389" s="165">
        <f t="shared" si="402"/>
        <v>16078.431372549019</v>
      </c>
      <c r="R389" s="166">
        <f>+Q389*G389</f>
        <v>6431372.5490196077</v>
      </c>
      <c r="S389" s="222">
        <f t="shared" si="404"/>
        <v>604.35431401656592</v>
      </c>
      <c r="T389" s="223">
        <f t="shared" si="397"/>
        <v>3.758789026200593E-2</v>
      </c>
      <c r="U389" s="224">
        <f t="shared" si="405"/>
        <v>16302.521008403361</v>
      </c>
      <c r="V389" s="225">
        <f>+U389*G389</f>
        <v>6521008.4033613447</v>
      </c>
      <c r="W389" s="149">
        <f t="shared" si="398"/>
        <v>3.7071218230913069E-2</v>
      </c>
      <c r="X389" s="139" t="s">
        <v>707</v>
      </c>
      <c r="Y389" s="137" t="s">
        <v>103</v>
      </c>
      <c r="Z389" s="138" t="s">
        <v>708</v>
      </c>
    </row>
    <row r="390" spans="1:26" ht="51" x14ac:dyDescent="0.2">
      <c r="A390" s="63" t="s">
        <v>54</v>
      </c>
      <c r="B390" s="66">
        <f t="shared" si="409"/>
        <v>3</v>
      </c>
      <c r="C390" s="192">
        <v>347</v>
      </c>
      <c r="D390" s="75">
        <v>363</v>
      </c>
      <c r="E390" s="74" t="s">
        <v>709</v>
      </c>
      <c r="F390" s="7" t="s">
        <v>710</v>
      </c>
      <c r="G390" s="423">
        <v>10</v>
      </c>
      <c r="H390" s="28" t="s">
        <v>57</v>
      </c>
      <c r="I390" s="10"/>
      <c r="J390" s="11"/>
      <c r="K390" s="105">
        <f>+(53700*100)/119</f>
        <v>45126.050420168067</v>
      </c>
      <c r="L390" s="121">
        <f t="shared" si="399"/>
        <v>451260.50420168065</v>
      </c>
      <c r="M390" s="105">
        <v>50000</v>
      </c>
      <c r="N390" s="121">
        <f t="shared" si="400"/>
        <v>500000</v>
      </c>
      <c r="O390" s="105">
        <f>+(34800*100)/119</f>
        <v>29243.697478991595</v>
      </c>
      <c r="P390" s="121">
        <f t="shared" si="401"/>
        <v>292436.97478991596</v>
      </c>
      <c r="Q390" s="165">
        <f t="shared" si="402"/>
        <v>41456.582633053222</v>
      </c>
      <c r="R390" s="166">
        <f t="shared" ref="R390:R391" si="410">+Q390*G390</f>
        <v>414565.8263305322</v>
      </c>
      <c r="S390" s="222">
        <f t="shared" si="404"/>
        <v>8862.0828615102291</v>
      </c>
      <c r="T390" s="223">
        <f t="shared" si="397"/>
        <v>0.21376780956480756</v>
      </c>
      <c r="U390" s="224">
        <f t="shared" si="405"/>
        <v>45126.050420168067</v>
      </c>
      <c r="V390" s="225">
        <f t="shared" ref="V390:V391" si="411">+U390*G390</f>
        <v>451260.50420168065</v>
      </c>
      <c r="W390" s="149">
        <f t="shared" si="398"/>
        <v>0.19638507644687472</v>
      </c>
      <c r="X390" s="139" t="s">
        <v>575</v>
      </c>
      <c r="Y390" s="137" t="s">
        <v>759</v>
      </c>
      <c r="Z390" s="138" t="s">
        <v>900</v>
      </c>
    </row>
    <row r="391" spans="1:26" ht="17" x14ac:dyDescent="0.2">
      <c r="A391" s="63" t="s">
        <v>54</v>
      </c>
      <c r="B391" s="66">
        <f t="shared" si="409"/>
        <v>3</v>
      </c>
      <c r="C391" s="66">
        <v>348</v>
      </c>
      <c r="D391" s="75">
        <v>364</v>
      </c>
      <c r="E391" s="74" t="s">
        <v>581</v>
      </c>
      <c r="F391" s="7" t="s">
        <v>711</v>
      </c>
      <c r="G391" s="423">
        <v>10</v>
      </c>
      <c r="H391" s="28" t="s">
        <v>57</v>
      </c>
      <c r="I391" s="10"/>
      <c r="J391" s="11"/>
      <c r="K391" s="105">
        <v>12143</v>
      </c>
      <c r="L391" s="121">
        <f t="shared" si="399"/>
        <v>121430</v>
      </c>
      <c r="M391" s="105">
        <v>12521</v>
      </c>
      <c r="N391" s="121">
        <f t="shared" si="400"/>
        <v>125210</v>
      </c>
      <c r="O391" s="105">
        <v>15000</v>
      </c>
      <c r="P391" s="121">
        <f t="shared" si="401"/>
        <v>150000</v>
      </c>
      <c r="Q391" s="165">
        <f t="shared" si="402"/>
        <v>13221.333333333334</v>
      </c>
      <c r="R391" s="166">
        <f t="shared" si="410"/>
        <v>132213.33333333334</v>
      </c>
      <c r="S391" s="222">
        <f t="shared" si="404"/>
        <v>1267.1391224153549</v>
      </c>
      <c r="T391" s="223">
        <f t="shared" si="397"/>
        <v>9.5840494333553461E-2</v>
      </c>
      <c r="U391" s="224">
        <f t="shared" si="405"/>
        <v>12521</v>
      </c>
      <c r="V391" s="225">
        <f t="shared" si="411"/>
        <v>125210</v>
      </c>
      <c r="W391" s="149">
        <f t="shared" si="398"/>
        <v>0.10120111192519407</v>
      </c>
      <c r="X391" s="139" t="s">
        <v>829</v>
      </c>
      <c r="Y391" s="137" t="s">
        <v>261</v>
      </c>
      <c r="Z391" s="138" t="s">
        <v>752</v>
      </c>
    </row>
    <row r="392" spans="1:26" ht="256" thickBot="1" x14ac:dyDescent="0.25">
      <c r="A392" s="276" t="s">
        <v>54</v>
      </c>
      <c r="B392" s="82">
        <f t="shared" si="409"/>
        <v>3</v>
      </c>
      <c r="C392" s="192">
        <v>349</v>
      </c>
      <c r="D392" s="277">
        <v>365</v>
      </c>
      <c r="E392" s="278" t="s">
        <v>77</v>
      </c>
      <c r="F392" s="87" t="s">
        <v>848</v>
      </c>
      <c r="G392" s="415">
        <v>60</v>
      </c>
      <c r="H392" s="29" t="s">
        <v>57</v>
      </c>
      <c r="I392" s="89">
        <v>2</v>
      </c>
      <c r="J392" s="90" t="s">
        <v>67</v>
      </c>
      <c r="K392" s="107">
        <f>+(18000*100)/119</f>
        <v>15126.050420168067</v>
      </c>
      <c r="L392" s="150">
        <f t="shared" ref="L392" si="412">+K392*G392*I392</f>
        <v>1815126.0504201681</v>
      </c>
      <c r="M392" s="107">
        <f>+(19500*100)/119</f>
        <v>16386.55462184874</v>
      </c>
      <c r="N392" s="190">
        <f>+M392*I392*G392</f>
        <v>1966386.5546218487</v>
      </c>
      <c r="O392" s="107">
        <f>+(18500*100)/119</f>
        <v>15546.218487394957</v>
      </c>
      <c r="P392" s="190">
        <f>+O392*I392*G392</f>
        <v>1865546.218487395</v>
      </c>
      <c r="Q392" s="318">
        <f t="shared" si="402"/>
        <v>15686.274509803921</v>
      </c>
      <c r="R392" s="310">
        <f t="shared" ref="R392" si="413">+Q392*G392*I392</f>
        <v>1882352.9411764706</v>
      </c>
      <c r="S392" s="311">
        <f t="shared" si="404"/>
        <v>524.04165080867563</v>
      </c>
      <c r="T392" s="312">
        <f t="shared" si="397"/>
        <v>3.340765523905307E-2</v>
      </c>
      <c r="U392" s="313">
        <f t="shared" si="405"/>
        <v>15546.218487394957</v>
      </c>
      <c r="V392" s="314">
        <f t="shared" ref="V392" si="414">+U392*G392*I392</f>
        <v>1865546.218487395</v>
      </c>
      <c r="W392" s="315">
        <f t="shared" si="398"/>
        <v>3.3708625106071567E-2</v>
      </c>
      <c r="X392" s="141" t="s">
        <v>784</v>
      </c>
      <c r="Y392" s="153" t="s">
        <v>773</v>
      </c>
      <c r="Z392" s="154" t="s">
        <v>774</v>
      </c>
    </row>
    <row r="393" spans="1:26" s="211" customFormat="1" ht="20" thickBot="1" x14ac:dyDescent="0.25">
      <c r="A393" s="58">
        <v>1</v>
      </c>
      <c r="B393" s="284"/>
      <c r="C393" s="284"/>
      <c r="D393" s="72"/>
      <c r="E393" s="59"/>
      <c r="F393" s="405" t="s">
        <v>712</v>
      </c>
      <c r="G393" s="60"/>
      <c r="H393" s="60"/>
      <c r="I393" s="60"/>
      <c r="J393" s="60"/>
      <c r="K393" s="112"/>
      <c r="L393" s="113"/>
      <c r="M393" s="113"/>
      <c r="N393" s="113"/>
      <c r="O393" s="113"/>
      <c r="P393" s="113"/>
      <c r="Q393" s="285"/>
      <c r="R393" s="285"/>
      <c r="S393" s="286"/>
      <c r="T393" s="287"/>
      <c r="U393" s="285"/>
      <c r="V393" s="288"/>
      <c r="W393" s="287"/>
      <c r="X393" s="601"/>
      <c r="Y393" s="601"/>
      <c r="Z393" s="602"/>
    </row>
    <row r="394" spans="1:26" ht="85" x14ac:dyDescent="0.2">
      <c r="A394" s="102" t="s">
        <v>20</v>
      </c>
      <c r="B394" s="192">
        <f t="shared" si="409"/>
        <v>1</v>
      </c>
      <c r="C394" s="192">
        <v>350</v>
      </c>
      <c r="D394" s="282">
        <v>366</v>
      </c>
      <c r="E394" s="283" t="s">
        <v>713</v>
      </c>
      <c r="F394" s="95" t="s">
        <v>714</v>
      </c>
      <c r="G394" s="281">
        <v>1</v>
      </c>
      <c r="H394" s="83" t="s">
        <v>23</v>
      </c>
      <c r="I394" s="97">
        <v>2</v>
      </c>
      <c r="J394" s="98" t="s">
        <v>24</v>
      </c>
      <c r="K394" s="108">
        <v>5860001</v>
      </c>
      <c r="L394" s="151">
        <f>+K394*G394*I394</f>
        <v>11720002</v>
      </c>
      <c r="M394" s="126"/>
      <c r="N394" s="127"/>
      <c r="O394" s="126"/>
      <c r="P394" s="127"/>
      <c r="Q394" s="319">
        <f>+AVERAGE(K394,M394,O394)</f>
        <v>5860001</v>
      </c>
      <c r="R394" s="320">
        <f t="shared" ref="R394:R396" si="415">+Q394*G394*I394</f>
        <v>11720002</v>
      </c>
      <c r="S394" s="222">
        <f>_xlfn.STDEV.P(K394,M394,O394)</f>
        <v>0</v>
      </c>
      <c r="T394" s="321">
        <f t="shared" ref="T394:T399" si="416">+S394/Q394</f>
        <v>0</v>
      </c>
      <c r="U394" s="322">
        <f>+MEDIAN(K394,M394,O394)</f>
        <v>5860001</v>
      </c>
      <c r="V394" s="323">
        <f t="shared" ref="V394:V396" si="417">+U394*G394*I394</f>
        <v>11720002</v>
      </c>
      <c r="W394" s="324">
        <f t="shared" ref="W394:W399" si="418">+S394/U394</f>
        <v>0</v>
      </c>
      <c r="X394" s="326" t="s">
        <v>819</v>
      </c>
      <c r="Y394" s="231"/>
      <c r="Z394" s="327"/>
    </row>
    <row r="395" spans="1:26" ht="85" x14ac:dyDescent="0.2">
      <c r="A395" s="63" t="s">
        <v>20</v>
      </c>
      <c r="B395" s="66">
        <f t="shared" si="409"/>
        <v>1</v>
      </c>
      <c r="C395" s="66">
        <v>351</v>
      </c>
      <c r="D395" s="75">
        <v>367</v>
      </c>
      <c r="E395" s="74" t="s">
        <v>715</v>
      </c>
      <c r="F395" s="7" t="s">
        <v>716</v>
      </c>
      <c r="G395" s="423">
        <v>1</v>
      </c>
      <c r="H395" s="28" t="s">
        <v>23</v>
      </c>
      <c r="I395" s="10">
        <v>2</v>
      </c>
      <c r="J395" s="11" t="s">
        <v>24</v>
      </c>
      <c r="K395" s="105">
        <v>5860001</v>
      </c>
      <c r="L395" s="106">
        <f>+K395*G395*I395</f>
        <v>11720002</v>
      </c>
      <c r="M395" s="122"/>
      <c r="N395" s="123"/>
      <c r="O395" s="122"/>
      <c r="P395" s="123"/>
      <c r="Q395" s="165">
        <f>+AVERAGE(K395,M395,O395)</f>
        <v>5860001</v>
      </c>
      <c r="R395" s="166">
        <f t="shared" si="415"/>
        <v>11720002</v>
      </c>
      <c r="S395" s="222">
        <f>_xlfn.STDEV.P(K395,M395,O395)</f>
        <v>0</v>
      </c>
      <c r="T395" s="223">
        <f t="shared" si="416"/>
        <v>0</v>
      </c>
      <c r="U395" s="224">
        <f>+MEDIAN(K395,M395,O395)</f>
        <v>5860001</v>
      </c>
      <c r="V395" s="225">
        <f t="shared" si="417"/>
        <v>11720002</v>
      </c>
      <c r="W395" s="149">
        <f t="shared" si="418"/>
        <v>0</v>
      </c>
      <c r="X395" s="316" t="s">
        <v>819</v>
      </c>
      <c r="Y395" s="137"/>
      <c r="Z395" s="138"/>
    </row>
    <row r="396" spans="1:26" ht="90" x14ac:dyDescent="0.2">
      <c r="A396" s="63" t="s">
        <v>20</v>
      </c>
      <c r="B396" s="66">
        <f t="shared" si="409"/>
        <v>1</v>
      </c>
      <c r="C396" s="192">
        <v>352</v>
      </c>
      <c r="D396" s="75">
        <v>368</v>
      </c>
      <c r="E396" s="74" t="s">
        <v>78</v>
      </c>
      <c r="F396" s="7" t="s">
        <v>79</v>
      </c>
      <c r="G396" s="423">
        <v>2</v>
      </c>
      <c r="H396" s="28" t="s">
        <v>23</v>
      </c>
      <c r="I396" s="10">
        <v>2</v>
      </c>
      <c r="J396" s="11" t="s">
        <v>24</v>
      </c>
      <c r="K396" s="105">
        <v>1602000</v>
      </c>
      <c r="L396" s="106">
        <f>+K396*G396*I396</f>
        <v>6408000</v>
      </c>
      <c r="M396" s="122"/>
      <c r="N396" s="123"/>
      <c r="O396" s="122"/>
      <c r="P396" s="123"/>
      <c r="Q396" s="165">
        <f>+AVERAGE(K396,M396,O396)</f>
        <v>1602000</v>
      </c>
      <c r="R396" s="166">
        <f t="shared" si="415"/>
        <v>6408000</v>
      </c>
      <c r="S396" s="222">
        <f>_xlfn.STDEV.P(K396,M396,O396)</f>
        <v>0</v>
      </c>
      <c r="T396" s="223">
        <f t="shared" si="416"/>
        <v>0</v>
      </c>
      <c r="U396" s="224">
        <f>+MEDIAN(K396,M396,O396)</f>
        <v>1602000</v>
      </c>
      <c r="V396" s="225">
        <f t="shared" si="417"/>
        <v>6408000</v>
      </c>
      <c r="W396" s="149">
        <f t="shared" si="418"/>
        <v>0</v>
      </c>
      <c r="X396" s="316" t="s">
        <v>819</v>
      </c>
      <c r="Y396" s="137"/>
      <c r="Z396" s="138"/>
    </row>
    <row r="397" spans="1:26" ht="135" x14ac:dyDescent="0.2">
      <c r="A397" s="63" t="s">
        <v>54</v>
      </c>
      <c r="B397" s="66">
        <f t="shared" si="409"/>
        <v>3</v>
      </c>
      <c r="C397" s="66">
        <v>353</v>
      </c>
      <c r="D397" s="75">
        <v>369</v>
      </c>
      <c r="E397" s="74" t="s">
        <v>834</v>
      </c>
      <c r="F397" s="7" t="s">
        <v>717</v>
      </c>
      <c r="G397" s="423">
        <v>1</v>
      </c>
      <c r="H397" s="28" t="s">
        <v>392</v>
      </c>
      <c r="I397" s="10"/>
      <c r="J397" s="11"/>
      <c r="K397" s="105">
        <v>20000000</v>
      </c>
      <c r="L397" s="121">
        <f>K397*G397</f>
        <v>20000000</v>
      </c>
      <c r="M397" s="105">
        <v>20000000</v>
      </c>
      <c r="N397" s="121">
        <f>G397*M397</f>
        <v>20000000</v>
      </c>
      <c r="O397" s="105">
        <v>20000000</v>
      </c>
      <c r="P397" s="121">
        <f>G397*O397</f>
        <v>20000000</v>
      </c>
      <c r="Q397" s="165">
        <f>+AVERAGE(K397,M397,O397)</f>
        <v>20000000</v>
      </c>
      <c r="R397" s="166">
        <f t="shared" ref="R397:R398" si="419">+Q397*G397</f>
        <v>20000000</v>
      </c>
      <c r="S397" s="222">
        <f>_xlfn.STDEV.P(K397,M397,O397)</f>
        <v>0</v>
      </c>
      <c r="T397" s="223">
        <f t="shared" si="416"/>
        <v>0</v>
      </c>
      <c r="U397" s="224">
        <f>+MEDIAN(K397,M397,O397)</f>
        <v>20000000</v>
      </c>
      <c r="V397" s="225">
        <f>+U397*G39</f>
        <v>20000000</v>
      </c>
      <c r="W397" s="149">
        <f t="shared" si="418"/>
        <v>0</v>
      </c>
      <c r="X397" s="139"/>
      <c r="Y397" s="137"/>
      <c r="Z397" s="138"/>
    </row>
    <row r="398" spans="1:26" ht="105" x14ac:dyDescent="0.2">
      <c r="A398" s="63" t="s">
        <v>54</v>
      </c>
      <c r="B398" s="66">
        <f t="shared" si="409"/>
        <v>3</v>
      </c>
      <c r="C398" s="192">
        <v>354</v>
      </c>
      <c r="D398" s="75">
        <v>370</v>
      </c>
      <c r="E398" s="74" t="s">
        <v>835</v>
      </c>
      <c r="F398" s="7" t="s">
        <v>718</v>
      </c>
      <c r="G398" s="423">
        <v>1</v>
      </c>
      <c r="H398" s="28" t="s">
        <v>392</v>
      </c>
      <c r="I398" s="10"/>
      <c r="J398" s="11"/>
      <c r="K398" s="105">
        <v>15000000</v>
      </c>
      <c r="L398" s="121">
        <f>K398*G398</f>
        <v>15000000</v>
      </c>
      <c r="M398" s="105">
        <v>15000000</v>
      </c>
      <c r="N398" s="121">
        <f>G398*M398</f>
        <v>15000000</v>
      </c>
      <c r="O398" s="105">
        <v>15000000</v>
      </c>
      <c r="P398" s="121">
        <f>G398*O398</f>
        <v>15000000</v>
      </c>
      <c r="Q398" s="165">
        <f>+AVERAGE(K398,M398,O398)</f>
        <v>15000000</v>
      </c>
      <c r="R398" s="166">
        <f t="shared" si="419"/>
        <v>15000000</v>
      </c>
      <c r="S398" s="222">
        <f>_xlfn.STDEV.P(K398,M398,O398)</f>
        <v>0</v>
      </c>
      <c r="T398" s="223">
        <f t="shared" si="416"/>
        <v>0</v>
      </c>
      <c r="U398" s="224">
        <f>+MEDIAN(K398,M398,O398)</f>
        <v>15000000</v>
      </c>
      <c r="V398" s="225">
        <f>+U398*G398</f>
        <v>15000000</v>
      </c>
      <c r="W398" s="149">
        <f t="shared" si="418"/>
        <v>0</v>
      </c>
      <c r="X398" s="139"/>
      <c r="Y398" s="137"/>
      <c r="Z398" s="138"/>
    </row>
    <row r="399" spans="1:26" ht="256" thickBot="1" x14ac:dyDescent="0.25">
      <c r="A399" s="63" t="s">
        <v>54</v>
      </c>
      <c r="B399" s="66">
        <f t="shared" si="409"/>
        <v>3</v>
      </c>
      <c r="C399" s="66">
        <v>355</v>
      </c>
      <c r="D399" s="75">
        <v>371</v>
      </c>
      <c r="E399" s="74" t="s">
        <v>77</v>
      </c>
      <c r="F399" s="7" t="s">
        <v>848</v>
      </c>
      <c r="G399" s="423">
        <v>100</v>
      </c>
      <c r="H399" s="28" t="s">
        <v>57</v>
      </c>
      <c r="I399" s="10">
        <v>2</v>
      </c>
      <c r="J399" s="11" t="s">
        <v>67</v>
      </c>
      <c r="K399" s="333">
        <f>+(18000*100)/119</f>
        <v>15126.050420168067</v>
      </c>
      <c r="L399" s="121">
        <f t="shared" ref="L399" si="420">+K399*G399*I399</f>
        <v>3025210.0840336136</v>
      </c>
      <c r="M399" s="333">
        <f>+(19500*100)/119</f>
        <v>16386.55462184874</v>
      </c>
      <c r="N399" s="148">
        <f>+M399*I399*G399</f>
        <v>3277310.9243697478</v>
      </c>
      <c r="O399" s="105">
        <f>+(18500*100)/119</f>
        <v>15546.218487394957</v>
      </c>
      <c r="P399" s="148">
        <f>+O399*I399*G399</f>
        <v>3109243.6974789915</v>
      </c>
      <c r="Q399" s="165">
        <f t="shared" ref="Q399" si="421">+AVERAGE(K399,M399,O399)</f>
        <v>15686.274509803921</v>
      </c>
      <c r="R399" s="166">
        <f t="shared" ref="R399" si="422">+Q399*G399*I399</f>
        <v>3137254.9019607841</v>
      </c>
      <c r="S399" s="222">
        <f t="shared" ref="S399" si="423">_xlfn.STDEV.P(K399,M399,O399)</f>
        <v>524.04165080867563</v>
      </c>
      <c r="T399" s="223">
        <f t="shared" si="416"/>
        <v>3.340765523905307E-2</v>
      </c>
      <c r="U399" s="224">
        <f t="shared" ref="U399" si="424">+MEDIAN(K399,M399,O399)</f>
        <v>15546.218487394957</v>
      </c>
      <c r="V399" s="225">
        <f t="shared" ref="V399" si="425">+U399*G399*I399</f>
        <v>3109243.6974789915</v>
      </c>
      <c r="W399" s="149">
        <f t="shared" si="418"/>
        <v>3.3708625106071567E-2</v>
      </c>
      <c r="X399" s="139" t="s">
        <v>784</v>
      </c>
      <c r="Y399" s="137" t="s">
        <v>773</v>
      </c>
      <c r="Z399" s="138" t="s">
        <v>774</v>
      </c>
    </row>
    <row r="400" spans="1:26" s="386" customFormat="1" ht="18" thickBot="1" x14ac:dyDescent="0.25">
      <c r="A400" s="508" t="s">
        <v>54</v>
      </c>
      <c r="B400" s="66">
        <f t="shared" si="409"/>
        <v>3</v>
      </c>
      <c r="C400" s="509">
        <v>356</v>
      </c>
      <c r="D400" s="510">
        <v>372</v>
      </c>
      <c r="E400" s="511" t="s">
        <v>719</v>
      </c>
      <c r="F400" s="512" t="s">
        <v>397</v>
      </c>
      <c r="G400" s="513">
        <v>1</v>
      </c>
      <c r="H400" s="514" t="s">
        <v>392</v>
      </c>
      <c r="I400" s="515"/>
      <c r="J400" s="516"/>
      <c r="K400" s="385">
        <v>100000000</v>
      </c>
      <c r="L400" s="517">
        <f>+K400*G400</f>
        <v>100000000</v>
      </c>
      <c r="M400" s="385">
        <v>100000000</v>
      </c>
      <c r="N400" s="518">
        <f>M400*G400</f>
        <v>100000000</v>
      </c>
      <c r="O400" s="385">
        <v>100000000</v>
      </c>
      <c r="P400" s="518">
        <f>O400*G400</f>
        <v>100000000</v>
      </c>
      <c r="Q400" s="519">
        <f t="shared" ref="Q400" si="426">+AVERAGE(K400,M400,O400)</f>
        <v>100000000</v>
      </c>
      <c r="R400" s="520">
        <f>+Q400*G400</f>
        <v>100000000</v>
      </c>
      <c r="S400" s="521">
        <f t="shared" ref="S400" si="427">_xlfn.STDEV.P(K400,M400,O400)</f>
        <v>0</v>
      </c>
      <c r="T400" s="522">
        <f t="shared" ref="T400" si="428">+S400/Q400</f>
        <v>0</v>
      </c>
      <c r="U400" s="523">
        <f>+MEDIAN(K400,M400)</f>
        <v>100000000</v>
      </c>
      <c r="V400" s="524">
        <f>+U400*G400</f>
        <v>100000000</v>
      </c>
      <c r="W400" s="525">
        <f t="shared" ref="W400" si="429">+S400/U400</f>
        <v>0</v>
      </c>
      <c r="X400" s="526"/>
      <c r="Y400" s="527"/>
      <c r="Z400" s="528"/>
    </row>
    <row r="401" spans="2:26" ht="18" thickBot="1" x14ac:dyDescent="0.25">
      <c r="B401" s="192"/>
      <c r="C401" s="167"/>
      <c r="K401" s="25" t="s">
        <v>308</v>
      </c>
      <c r="Q401" s="136"/>
      <c r="R401" s="136"/>
      <c r="U401" s="136"/>
      <c r="V401" s="136"/>
      <c r="X401" s="120" t="s">
        <v>720</v>
      </c>
      <c r="Y401" s="120" t="s">
        <v>720</v>
      </c>
      <c r="Z401" s="120" t="s">
        <v>720</v>
      </c>
    </row>
    <row r="402" spans="2:26" ht="24" thickBot="1" x14ac:dyDescent="0.25">
      <c r="Q402" s="558" t="s">
        <v>836</v>
      </c>
      <c r="R402" s="559"/>
      <c r="U402" s="560" t="s">
        <v>840</v>
      </c>
      <c r="V402" s="561"/>
      <c r="W402" s="120"/>
    </row>
    <row r="403" spans="2:26" ht="24" x14ac:dyDescent="0.2">
      <c r="B403" s="158" t="s">
        <v>839</v>
      </c>
      <c r="C403" s="159" t="s">
        <v>842</v>
      </c>
      <c r="D403" s="159"/>
      <c r="Q403" s="426" t="s">
        <v>837</v>
      </c>
      <c r="R403" s="155">
        <f>SUM(R4:R400)</f>
        <v>3244258209.3712673</v>
      </c>
      <c r="U403" s="426" t="s">
        <v>837</v>
      </c>
      <c r="V403" s="529">
        <f>SUM(V4:V400)</f>
        <v>3259662367.3645577</v>
      </c>
      <c r="W403" s="120"/>
    </row>
    <row r="404" spans="2:26" ht="24" x14ac:dyDescent="0.2">
      <c r="B404" s="160">
        <f>SUMPRODUCT(LEN(B4:B400)-LEN(SUBSTITUTE(B4:B400,"0","")))</f>
        <v>0</v>
      </c>
      <c r="C404" s="160">
        <v>0</v>
      </c>
      <c r="D404" s="160" cm="1">
        <f t="array" ref="D404">SUMPRODUCT(LEN(D4:D400)-LEN(SUBSTITUTE(D4:D400,"0","")))</f>
        <v>65</v>
      </c>
      <c r="Q404" s="427" t="s">
        <v>838</v>
      </c>
      <c r="R404" s="156">
        <f>R403*0.19</f>
        <v>616409059.78054082</v>
      </c>
      <c r="U404" s="427" t="s">
        <v>838</v>
      </c>
      <c r="V404" s="530">
        <f>V403*0.19</f>
        <v>619335849.79926598</v>
      </c>
      <c r="W404" s="120"/>
    </row>
    <row r="405" spans="2:26" ht="25" thickBot="1" x14ac:dyDescent="0.25">
      <c r="B405" s="160">
        <f>SUMPRODUCT(LEN(B4:B400)-LEN(SUBSTITUTE(B4:B400,"1","")))</f>
        <v>81</v>
      </c>
      <c r="C405" s="160">
        <v>1</v>
      </c>
      <c r="D405" s="160" cm="1">
        <f t="array" ref="D405">SUMPRODUCT(LEN(D5:D401)-LEN(SUBSTITUTE(D5:D401,"1","")))</f>
        <v>166</v>
      </c>
      <c r="Q405" s="428" t="s">
        <v>839</v>
      </c>
      <c r="R405" s="157">
        <f>R403+R404</f>
        <v>3860667269.1518083</v>
      </c>
      <c r="U405" s="428" t="s">
        <v>839</v>
      </c>
      <c r="V405" s="531">
        <f>V403+V404</f>
        <v>3878998217.1638236</v>
      </c>
      <c r="W405" s="120"/>
    </row>
    <row r="406" spans="2:26" x14ac:dyDescent="0.2">
      <c r="B406" s="160">
        <f>SUMPRODUCT(LEN(B4:B400)-LEN(SUBSTITUTE(B4:B400,"2","")))</f>
        <v>12</v>
      </c>
      <c r="C406" s="160">
        <v>2</v>
      </c>
      <c r="D406" s="160" cm="1">
        <f t="array" ref="D406">SUMPRODUCT(LEN(D6:D401)-LEN(SUBSTITUTE(D6:D401,"2","")))</f>
        <v>166</v>
      </c>
      <c r="W406" s="120"/>
    </row>
    <row r="407" spans="2:26" x14ac:dyDescent="0.2">
      <c r="B407" s="160">
        <f>SUMPRODUCT(LEN(B4:B400)-LEN(SUBSTITUTE(B4:B400,"3","")))</f>
        <v>261</v>
      </c>
      <c r="C407" s="160">
        <v>3</v>
      </c>
      <c r="D407" s="160" cm="1">
        <f t="array" ref="D407">SUMPRODUCT(LEN(D7:D401)-LEN(SUBSTITUTE(D7:D401,"3","")))</f>
        <v>144</v>
      </c>
      <c r="W407" s="120"/>
    </row>
    <row r="408" spans="2:26" x14ac:dyDescent="0.2">
      <c r="W408" s="120"/>
    </row>
    <row r="409" spans="2:26" x14ac:dyDescent="0.2">
      <c r="W409" s="120"/>
    </row>
    <row r="410" spans="2:26" x14ac:dyDescent="0.2">
      <c r="W410" s="120"/>
    </row>
    <row r="411" spans="2:26" ht="170" customHeight="1" x14ac:dyDescent="0.2">
      <c r="E411" s="563" t="s">
        <v>841</v>
      </c>
      <c r="F411" s="563"/>
      <c r="G411" s="563"/>
      <c r="H411" s="563"/>
      <c r="I411" s="563"/>
      <c r="J411" s="563"/>
      <c r="K411" s="563"/>
      <c r="W411" s="120"/>
    </row>
    <row r="412" spans="2:26" ht="370" customHeight="1" x14ac:dyDescent="0.2">
      <c r="E412" s="562" t="s">
        <v>881</v>
      </c>
      <c r="F412" s="562"/>
      <c r="G412" s="562"/>
      <c r="H412" s="562"/>
      <c r="I412" s="562"/>
      <c r="J412" s="562"/>
      <c r="K412" s="562"/>
      <c r="W412" s="120"/>
    </row>
  </sheetData>
  <autoFilter ref="A3:XFC407" xr:uid="{AA9021DD-73E5-0442-8A00-ABC07F1B8633}"/>
  <mergeCells count="12">
    <mergeCell ref="Q402:R402"/>
    <mergeCell ref="U402:V402"/>
    <mergeCell ref="E412:K412"/>
    <mergeCell ref="E411:K411"/>
    <mergeCell ref="K2:L2"/>
    <mergeCell ref="M2:N2"/>
    <mergeCell ref="O2:P2"/>
    <mergeCell ref="C2:C3"/>
    <mergeCell ref="B2:B3"/>
    <mergeCell ref="A2:A3"/>
    <mergeCell ref="Q2:W2"/>
    <mergeCell ref="X2:Z2"/>
  </mergeCells>
  <conditionalFormatting sqref="T3">
    <cfRule type="cellIs" dxfId="1" priority="2" operator="greaterThan">
      <formula>0.2</formula>
    </cfRule>
  </conditionalFormatting>
  <conditionalFormatting sqref="W3">
    <cfRule type="cellIs" dxfId="0" priority="1" operator="greaterThan">
      <formula>0.2</formula>
    </cfRule>
  </conditionalFormatting>
  <hyperlinks>
    <hyperlink ref="X33" r:id="rId1" display="TECNICARPAS" xr:uid="{CF6DC3C9-6CCE-4D1F-9B98-F0288114ECBE}"/>
    <hyperlink ref="X36" r:id="rId2" xr:uid="{E8DB8F07-D705-4BBC-ACB1-C4487DBBD5BD}"/>
    <hyperlink ref="X38" r:id="rId3" xr:uid="{4E7BE31E-4F73-4CA0-81ED-BCBA712941A7}"/>
    <hyperlink ref="X157" r:id="rId4" xr:uid="{DC98F200-B196-40D5-BC11-30E5BB7D7C25}"/>
    <hyperlink ref="X212" r:id="rId5" xr:uid="{E87E533A-CFAA-4C98-AECC-815E03FEBB48}"/>
    <hyperlink ref="X224" r:id="rId6" xr:uid="{6398D74E-D02E-43F4-BFF2-84226BCAF93B}"/>
    <hyperlink ref="X246" r:id="rId7" xr:uid="{CF021C11-28B5-4DD7-88A4-0C57FE23F3E2}"/>
    <hyperlink ref="Y33" r:id="rId8" display="D&amp;R PRODUCCIONES" xr:uid="{EDB87F4E-AEFE-480E-8397-950747FB1A66}"/>
    <hyperlink ref="Y36" r:id="rId9" xr:uid="{F60F53B1-C18E-46C7-BD0F-BD48EAA60D2B}"/>
    <hyperlink ref="Y38" r:id="rId10" xr:uid="{93F0A387-30CD-4B5B-BEDD-DD253440F1E7}"/>
    <hyperlink ref="Y157" r:id="rId11" xr:uid="{70D5FC54-1589-487E-AC45-B1C1A2145B24}"/>
    <hyperlink ref="X209" r:id="rId12" xr:uid="{B27E1EAB-BE99-48E9-9D02-A9A3F0C4608E}"/>
    <hyperlink ref="Y212" r:id="rId13" xr:uid="{91E90E12-AB10-4617-B1A6-C0E6F501DBD3}"/>
    <hyperlink ref="Y224" r:id="rId14" xr:uid="{0F7E7966-5955-4CA2-882F-CBFD4FFF9511}"/>
    <hyperlink ref="X37" r:id="rId15" xr:uid="{1480243C-12A5-4F3F-A8A6-D8BC92A2FB7D}"/>
    <hyperlink ref="Y37" r:id="rId16" xr:uid="{7EA13471-12C2-49EF-A83B-AB4F0575E439}"/>
    <hyperlink ref="Z37" r:id="rId17" xr:uid="{20496B5F-E291-475F-9E60-E526B5945CAB}"/>
    <hyperlink ref="X102" r:id="rId18" xr:uid="{283FF84F-C5E0-4914-AAD8-FC55D7E2CD7D}"/>
    <hyperlink ref="Y102" r:id="rId19" xr:uid="{CBF1E5EE-A1BF-453B-A03B-619E372B9B4D}"/>
    <hyperlink ref="Z102" r:id="rId20" xr:uid="{4AC803DB-D02F-43A5-9E47-DE62DD26FA5A}"/>
    <hyperlink ref="X103" r:id="rId21" xr:uid="{DAD40852-E525-4846-A78E-D1DF0787D69C}"/>
    <hyperlink ref="X255" r:id="rId22" xr:uid="{21ECF8C2-DDEA-45EB-8F26-93A9FF2957AC}"/>
    <hyperlink ref="Y255" r:id="rId23" xr:uid="{76639CC6-70CD-44BA-AE81-C3BC23C452C7}"/>
    <hyperlink ref="X256" r:id="rId24" display="DECLATON " xr:uid="{5C568C5A-BA77-4DDF-B251-61EC2627478A}"/>
    <hyperlink ref="Y256" r:id="rId25" xr:uid="{56B94DD4-403E-40DF-A9C7-0EAE68F2D66A}"/>
    <hyperlink ref="Z256" r:id="rId26" display="PUNTO BLANCO" xr:uid="{6CCA085C-4C0F-42A1-9361-6292A55C3F38}"/>
    <hyperlink ref="Z255" r:id="rId27" xr:uid="{2E82141F-1F6F-4C79-9C59-D4D943B16D10}"/>
    <hyperlink ref="X40" r:id="rId28" xr:uid="{093B1D8D-D020-43C0-8141-8236ACC0B802}"/>
    <hyperlink ref="Y40" r:id="rId29" xr:uid="{6B286159-44F4-48AA-964C-AAE469A25D07}"/>
    <hyperlink ref="X41" r:id="rId30" xr:uid="{00B62A44-116D-4923-957F-0F80E0751B57}"/>
    <hyperlink ref="Y41" r:id="rId31" xr:uid="{9AB9A533-8876-44CB-BBF8-F7F52FC8440D}"/>
    <hyperlink ref="X110" r:id="rId32" xr:uid="{45BBD8AC-6B84-495D-9E36-245B33318B49}"/>
    <hyperlink ref="X111:X116" r:id="rId33" display="BISUTERIA FINA" xr:uid="{97B4D893-7570-4402-9F99-1F74D704E1D4}"/>
    <hyperlink ref="Y110" r:id="rId34" xr:uid="{BC89959F-0AD4-4C51-A9AD-954C3425DAEC}"/>
    <hyperlink ref="Y111:Y116" r:id="rId35" display="ECLIPSE SAN VICTORINO" xr:uid="{3E7A75AD-BB7B-4D14-BD4B-F1584657E40D}"/>
    <hyperlink ref="Z110" r:id="rId36" xr:uid="{86D5278C-CBE5-4149-BC81-B44C1A6FD53C}"/>
    <hyperlink ref="Z111:Z116" r:id="rId37" display="REMATICO" xr:uid="{3AF698EC-45F8-4842-8A47-BB107A39A966}"/>
    <hyperlink ref="X118" r:id="rId38" xr:uid="{A3558B92-44CE-48FB-A88E-317B6D3B1EA7}"/>
    <hyperlink ref="Y118" r:id="rId39" xr:uid="{844F1877-2E62-4A09-B59A-1679D7A53743}"/>
    <hyperlink ref="Z118" r:id="rId40" xr:uid="{312CDB22-D9D1-4E21-96FB-07C2D6449C48}"/>
    <hyperlink ref="X119" r:id="rId41" xr:uid="{24DB94FA-9955-46AF-92E1-A44E40F34FAC}"/>
    <hyperlink ref="X120" r:id="rId42" xr:uid="{7E64527A-2453-45A5-8644-C0C1A38A5EFA}"/>
    <hyperlink ref="Y119" r:id="rId43" xr:uid="{1C070ABF-273C-4D13-B42A-FA8EC385BE5C}"/>
    <hyperlink ref="Y120" r:id="rId44" xr:uid="{28807417-496A-4BBB-80E9-949065FD9AFE}"/>
    <hyperlink ref="Z119" r:id="rId45" xr:uid="{1FD7F20F-7EF7-484B-9947-06ED72D6733F}"/>
    <hyperlink ref="Z120" r:id="rId46" xr:uid="{543AD564-94DC-45BE-A3EE-F80CD6BF0FB2}"/>
    <hyperlink ref="X123" r:id="rId47" xr:uid="{69DFE81D-27AF-4336-AE4F-60982D860788}"/>
    <hyperlink ref="Y123" r:id="rId48" xr:uid="{6B803576-A26C-4014-8F23-50C0B77FF9B5}"/>
    <hyperlink ref="Z123" r:id="rId49" xr:uid="{17D08122-5250-4739-90FA-C6E02BABFE91}"/>
    <hyperlink ref="X117" r:id="rId50" xr:uid="{73475FE4-6392-46D0-AD65-42E288C5D539}"/>
    <hyperlink ref="Y117" r:id="rId51" xr:uid="{9E1A7207-1B9B-4E3B-91D7-C6C883FA46AC}"/>
    <hyperlink ref="Z117" r:id="rId52" xr:uid="{2631BF52-6C7F-4C7F-A216-6C2BACA8E316}"/>
    <hyperlink ref="X124" r:id="rId53" xr:uid="{E467BB66-0C42-4B41-9414-82CCE848FB8D}"/>
    <hyperlink ref="Y124" r:id="rId54" xr:uid="{93E5CB17-4E8E-436C-AD96-A53CB94A0B37}"/>
    <hyperlink ref="Z124" r:id="rId55" xr:uid="{6DD1EF4D-6D51-4F90-A781-00139C881C74}"/>
    <hyperlink ref="X301" r:id="rId56" xr:uid="{D770CAB4-75EF-4CF8-A148-C9F7CA47B87D}"/>
    <hyperlink ref="Y301" r:id="rId57" xr:uid="{B161C839-52A9-4BCF-98F9-561F8E6B6D53}"/>
    <hyperlink ref="Z301" r:id="rId58" xr:uid="{5003D06B-4FAA-4CFD-9E05-664D40A3E44C}"/>
    <hyperlink ref="Y128" r:id="rId59" xr:uid="{8A4C743E-1BC2-4EA4-9D29-58293395A498}"/>
    <hyperlink ref="Z128" r:id="rId60" xr:uid="{5F8C8457-032D-44A1-AE86-FB2DBFAEB351}"/>
    <hyperlink ref="X127" r:id="rId61" xr:uid="{CCB01D47-161D-4489-945C-CC926BD7B868}"/>
    <hyperlink ref="Y127" r:id="rId62" xr:uid="{DCC1A6B1-69DC-4B6D-B376-162918D6AC88}"/>
    <hyperlink ref="Z127" r:id="rId63" xr:uid="{52033DF8-2447-4141-9DBD-C673F0FA143C}"/>
    <hyperlink ref="Z40" r:id="rId64" xr:uid="{835FE2B6-EE6B-42C7-BC94-C4AC42971C6E}"/>
    <hyperlink ref="Z41" r:id="rId65" xr:uid="{56084251-0A64-421F-9B7A-D6D507595444}"/>
    <hyperlink ref="X100" r:id="rId66" xr:uid="{B32671C2-B73B-4C5F-9032-2F9E073720F8}"/>
    <hyperlink ref="Y100" r:id="rId67" xr:uid="{C8B13DAC-AA21-4067-A26A-E13856D48B2D}"/>
    <hyperlink ref="X109" r:id="rId68" xr:uid="{75C60C89-76FE-4E7D-A7D5-27BF4670179C}"/>
    <hyperlink ref="X126" r:id="rId69" xr:uid="{4CE2DFAD-EBB0-4DCA-9E81-FEEE9DC659DA}"/>
    <hyperlink ref="Z126" r:id="rId70" xr:uid="{F708F96D-AED1-47FF-BB7D-A5302FAE0121}"/>
    <hyperlink ref="X121" r:id="rId71" xr:uid="{0E084C47-7DE4-4946-83BC-484E937A0BF6}"/>
    <hyperlink ref="Z121" r:id="rId72" xr:uid="{2D7FEA2E-460D-499D-B66B-F6E000F8343C}"/>
    <hyperlink ref="Z36" r:id="rId73" xr:uid="{1DBD2B82-9ECD-4381-9A6F-E42EC13E859A}"/>
    <hyperlink ref="Z38" r:id="rId74" xr:uid="{73D885D4-2155-4E31-BF33-30BC9D8E8ABE}"/>
    <hyperlink ref="Z157" r:id="rId75" xr:uid="{DE5D6CC5-AA86-4A32-A063-2B78F0866A96}"/>
    <hyperlink ref="Z212" r:id="rId76" xr:uid="{2A7DE326-A4DF-412C-9F1D-08C19DC08722}"/>
    <hyperlink ref="Z224" r:id="rId77" xr:uid="{BC8FB0DF-9F4A-4319-80EF-9B4031BB3C0B}"/>
    <hyperlink ref="X257" r:id="rId78" xr:uid="{45E59CBC-E1DC-435B-AF06-A2005007A214}"/>
    <hyperlink ref="Y257" r:id="rId79" xr:uid="{AFB103E3-E7C1-4F88-9621-6988F7257280}"/>
    <hyperlink ref="Z257" r:id="rId80" xr:uid="{A55D1874-7A4F-4DFE-82DC-611A295C4D44}"/>
    <hyperlink ref="Z100" r:id="rId81" xr:uid="{7D1A5E8B-1343-464B-A2FE-636CAAE5680A}"/>
    <hyperlink ref="X125" r:id="rId82" xr:uid="{3E11BB45-1045-4665-8694-C5CD05760906}"/>
    <hyperlink ref="Y125" r:id="rId83" xr:uid="{7427F04F-0007-4FD2-BABB-AFBA2E81F600}"/>
    <hyperlink ref="Z125" r:id="rId84" xr:uid="{95471E82-4AE1-4DBB-BCD1-DA2780A06C2F}"/>
    <hyperlink ref="X304" r:id="rId85" xr:uid="{C3A84F2C-0B2C-4B5A-882D-7919E687B99A}"/>
    <hyperlink ref="Y304" r:id="rId86" xr:uid="{1ED737D8-E72B-4BE9-8A5F-4E84EB15AC7B}"/>
    <hyperlink ref="Z304" r:id="rId87" xr:uid="{94F7A532-2552-4613-AE0A-BADDED74253F}"/>
    <hyperlink ref="Y246" r:id="rId88" xr:uid="{D8C77634-87C1-48F5-A2DF-2E8ABB6653AD}"/>
    <hyperlink ref="X259" r:id="rId89" xr:uid="{188767E6-326C-4685-A614-2BF45179FD1B}"/>
    <hyperlink ref="Y259" r:id="rId90" xr:uid="{2731DABE-69DD-4C07-9A45-B3D35537A8C1}"/>
    <hyperlink ref="X258" r:id="rId91" xr:uid="{47B0A708-0642-4CE5-B184-966C7622B0A9}"/>
    <hyperlink ref="Y258" r:id="rId92" xr:uid="{4190B1C3-213B-42BB-BB0E-EB5D4ACF7D62}"/>
    <hyperlink ref="X263" r:id="rId93" xr:uid="{0349CDA4-776B-4363-9FFA-D4E07E706282}"/>
    <hyperlink ref="Y263" r:id="rId94" xr:uid="{8AEBF520-D4D1-441A-A360-885132C9FC25}"/>
    <hyperlink ref="Z263" r:id="rId95" xr:uid="{25D6217F-EE31-4B66-8D9B-4AA0D0D662E5}"/>
    <hyperlink ref="X365" r:id="rId96" xr:uid="{B9F5FFEE-09F1-4FEF-A0FC-5A42DB250066}"/>
    <hyperlink ref="Y365" r:id="rId97" xr:uid="{F7121EF3-37EE-4686-884D-EDB3F42689F7}"/>
    <hyperlink ref="Z365" r:id="rId98" xr:uid="{431F2723-51E3-405E-B864-040075B64734}"/>
    <hyperlink ref="X210" r:id="rId99" xr:uid="{60C81863-227F-4216-9166-2063BC9BC524}"/>
    <hyperlink ref="Y210" r:id="rId100" xr:uid="{DA8CE4C7-0F01-4A77-A6B5-BA9026D89A7F}"/>
    <hyperlink ref="X95" r:id="rId101" display="DECATHLON" xr:uid="{8F87B70C-20DB-4853-8B4C-6EC16E7BDFCF}"/>
    <hyperlink ref="Y95" r:id="rId102" xr:uid="{2C8922AE-C3E0-49F6-91D1-D37D6F2D9A01}"/>
    <hyperlink ref="Z95" r:id="rId103" xr:uid="{27108116-3980-411B-BD7C-CD9F0EF3526E}"/>
    <hyperlink ref="Z246" r:id="rId104" xr:uid="{456787E0-BF4E-4E75-AAB5-EA29ADF1BA7D}"/>
    <hyperlink ref="Z258" r:id="rId105" xr:uid="{FD98375B-7AF0-428C-BD1D-41635E1197F0}"/>
    <hyperlink ref="X197" r:id="rId106" xr:uid="{8D0BF3E3-41A3-4311-99A9-EE91645803D3}"/>
    <hyperlink ref="Z197" r:id="rId107" xr:uid="{8432B9EF-1F2F-4101-91A1-083D9C1D8752}"/>
    <hyperlink ref="Y197" r:id="rId108" xr:uid="{B925D4B1-FF10-4F4E-B515-56EB4FF4ED8C}"/>
    <hyperlink ref="Y305" r:id="rId109" xr:uid="{FCA92A37-6CC1-46CB-8D9F-5755018ACF75}"/>
    <hyperlink ref="Z305" r:id="rId110" xr:uid="{C2748F13-DBDC-45E0-937C-7A6FCFC09713}"/>
    <hyperlink ref="Y302" r:id="rId111" xr:uid="{17B3219C-CB85-4AB7-83A2-A0DF9D78C96E}"/>
    <hyperlink ref="Z302" r:id="rId112" xr:uid="{C5940E3B-021B-4B11-A5E4-1C900247CB88}"/>
    <hyperlink ref="X377" r:id="rId113" xr:uid="{A043F365-885B-49B5-8EEA-911BAB41FA22}"/>
    <hyperlink ref="X378" r:id="rId114" xr:uid="{022194C0-6A46-46F7-815B-3197A83A8D1B}"/>
    <hyperlink ref="X379" r:id="rId115" xr:uid="{78B9FC93-63C3-463B-9368-D808A104618D}"/>
    <hyperlink ref="X380" r:id="rId116" xr:uid="{F3730B34-72EB-4B6D-BE46-EF03356BC5C4}"/>
    <hyperlink ref="X381" r:id="rId117" xr:uid="{EDF8A0E8-DFB0-4987-8E6F-C213FFFFE396}"/>
    <hyperlink ref="Y377" r:id="rId118" xr:uid="{6BEC76C4-5957-46A8-96C0-177D1EFCF534}"/>
    <hyperlink ref="Y378" r:id="rId119" xr:uid="{A8E78F86-E742-4C69-ABA8-8849B5DCB613}"/>
    <hyperlink ref="Y379" r:id="rId120" xr:uid="{01844C3A-0F02-40A3-B365-BBC69E38F7D4}"/>
    <hyperlink ref="Y380" r:id="rId121" xr:uid="{E59DEFC4-D188-488C-9087-A0294ABA23DE}"/>
    <hyperlink ref="Y381" r:id="rId122" xr:uid="{C75ADBD9-727B-49FD-83BD-1C726E41B6E3}"/>
    <hyperlink ref="X307" r:id="rId123" xr:uid="{AA05EE48-DF70-4C3F-878F-00F6E8AF3BEA}"/>
    <hyperlink ref="Y307" r:id="rId124" xr:uid="{73B5EA8C-A8CB-48ED-A4A5-D45DD680FF13}"/>
    <hyperlink ref="Z307" r:id="rId125" xr:uid="{496D9CA7-D507-4E96-A04F-75B3D8EED6FD}"/>
    <hyperlink ref="X96" r:id="rId126" xr:uid="{5A2945F5-D95A-47CE-9E4B-923C22881233}"/>
    <hyperlink ref="Y96" r:id="rId127" xr:uid="{87B25721-4762-431E-8741-D2774661A4C0}"/>
    <hyperlink ref="Z96" r:id="rId128" xr:uid="{C1FEA2E9-5066-43CC-B82D-EE0488DBB510}"/>
    <hyperlink ref="X97" r:id="rId129" xr:uid="{A52FBEE2-0B50-4014-B5E4-3A3158C3B315}"/>
    <hyperlink ref="Y97" r:id="rId130" xr:uid="{69F719C2-2AF4-455D-81BF-4FC6ACF2B838}"/>
    <hyperlink ref="Y194" r:id="rId131" xr:uid="{D645C2DF-756A-4F5E-BF56-64F770FE5B4B}"/>
    <hyperlink ref="X302" r:id="rId132" xr:uid="{7903BA24-A813-4056-9D8D-99036BBA3C79}"/>
    <hyperlink ref="Y303" r:id="rId133" xr:uid="{89994B34-77F3-48CA-980B-7C7E314914A0}"/>
    <hyperlink ref="X305" r:id="rId134" xr:uid="{ABBCD3AD-B8F6-43A4-A041-CFB0F0931D88}"/>
    <hyperlink ref="X194" r:id="rId135" xr:uid="{9B78E933-E7DB-41BC-9625-A02CC3AD1DA1}"/>
    <hyperlink ref="Z194" r:id="rId136" xr:uid="{50E44766-E53D-4892-8501-B5802D795562}"/>
    <hyperlink ref="K210:L210" r:id="rId137" display="C" xr:uid="{F3DD6E3F-8292-BF46-8BC3-46BE6D201A12}"/>
    <hyperlink ref="M210" r:id="rId138" display="C" xr:uid="{0BD8F694-303E-0547-8377-E1B7EEF2492A}"/>
    <hyperlink ref="O210" r:id="rId139" display="C" xr:uid="{65A5A5A8-2B44-054D-B659-775D07D23EF3}"/>
    <hyperlink ref="Y245" r:id="rId140" xr:uid="{D8667AAC-5FE1-9D48-8088-4FE54D6FFAF1}"/>
    <hyperlink ref="Z245" r:id="rId141" display="D&amp;R PRODUCCIONES" xr:uid="{C6ECE514-FEFB-3E43-8797-AA73D103FD1C}"/>
    <hyperlink ref="X260" r:id="rId142" xr:uid="{10FA3BDA-E163-0F4D-B1C4-2025EF65621F}"/>
    <hyperlink ref="X267" r:id="rId143" xr:uid="{698B7211-8160-2947-9779-16ECB9BDD9D8}"/>
    <hyperlink ref="Y122" r:id="rId144" xr:uid="{F6969F0F-4927-CF49-A1E5-F75A844391E6}"/>
    <hyperlink ref="Z122" r:id="rId145" xr:uid="{4D206CE7-C4FC-DC45-A898-E9360CFF0D37}"/>
    <hyperlink ref="X170" r:id="rId146" xr:uid="{25B38269-6E54-FC43-B8D5-F31BE6DE086D}"/>
    <hyperlink ref="Y170" r:id="rId147" xr:uid="{712BFF2E-1D9F-C743-862E-608F972072C9}"/>
    <hyperlink ref="Z170" r:id="rId148" xr:uid="{8DDEDE05-1928-AA4E-9957-BA4E091BB232}"/>
    <hyperlink ref="Z97" r:id="rId149" xr:uid="{0B89E06F-ADA4-3448-879A-64AE495C1D4A}"/>
    <hyperlink ref="X129" r:id="rId150" xr:uid="{DFF953EF-813F-1340-B27D-CF838C5BA1FA}"/>
    <hyperlink ref="Y129" r:id="rId151" xr:uid="{BC243CCE-0E7E-D448-B5EF-2C430068C0EB}"/>
    <hyperlink ref="Z129" r:id="rId152" xr:uid="{EF229E58-F375-AB4D-A3FD-49387E4E204E}"/>
    <hyperlink ref="X244" r:id="rId153" display="TECNICARPAS" xr:uid="{57F04F3F-999A-AD42-823D-3E559D68A642}"/>
    <hyperlink ref="Y244" r:id="rId154" display="D&amp;R PRODUCCIONES" xr:uid="{073D3AC8-D8A6-AD47-BDB8-EB7AA966890E}"/>
  </hyperlinks>
  <pageMargins left="0.7" right="0.7" top="0.75" bottom="0.75" header="0.3" footer="0.3"/>
  <pageSetup paperSize="3" fitToWidth="0" fitToHeight="0" orientation="portrait" horizontalDpi="4294967294" verticalDpi="4294967294" r:id="rId155"/>
  <rowBreaks count="1" manualBreakCount="1">
    <brk id="363" max="16383" man="1"/>
  </rowBreaks>
  <legacyDrawing r:id="rId15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A8B61-2D95-D244-A62E-52FE58572455}">
  <dimension ref="A2:C11"/>
  <sheetViews>
    <sheetView workbookViewId="0">
      <selection activeCell="A2" sqref="A2:C11"/>
    </sheetView>
  </sheetViews>
  <sheetFormatPr baseColWidth="10" defaultRowHeight="16" x14ac:dyDescent="0.2"/>
  <cols>
    <col min="2" max="2" width="35.6640625" customWidth="1"/>
    <col min="3" max="3" width="22.6640625" customWidth="1"/>
  </cols>
  <sheetData>
    <row r="2" spans="1:3" x14ac:dyDescent="0.2">
      <c r="A2" s="540"/>
      <c r="B2" s="540"/>
      <c r="C2" s="540"/>
    </row>
    <row r="3" spans="1:3" x14ac:dyDescent="0.2">
      <c r="A3" s="66"/>
      <c r="B3" s="541"/>
      <c r="C3" s="540"/>
    </row>
    <row r="4" spans="1:3" x14ac:dyDescent="0.2">
      <c r="A4" s="66"/>
      <c r="B4" s="43"/>
      <c r="C4" s="540"/>
    </row>
    <row r="5" spans="1:3" x14ac:dyDescent="0.2">
      <c r="A5" s="66"/>
      <c r="B5" s="43"/>
      <c r="C5" s="540"/>
    </row>
    <row r="6" spans="1:3" x14ac:dyDescent="0.2">
      <c r="A6" s="66"/>
      <c r="B6" s="43"/>
      <c r="C6" s="540"/>
    </row>
    <row r="7" spans="1:3" x14ac:dyDescent="0.2">
      <c r="A7" s="536"/>
      <c r="B7" s="539"/>
      <c r="C7" s="540"/>
    </row>
    <row r="8" spans="1:3" x14ac:dyDescent="0.2">
      <c r="A8" s="542"/>
      <c r="B8" s="543"/>
      <c r="C8" s="540"/>
    </row>
    <row r="9" spans="1:3" x14ac:dyDescent="0.2">
      <c r="A9" s="66"/>
      <c r="B9" s="43"/>
      <c r="C9" s="540"/>
    </row>
    <row r="10" spans="1:3" x14ac:dyDescent="0.2">
      <c r="A10" s="66"/>
      <c r="B10" s="43"/>
      <c r="C10" s="540"/>
    </row>
    <row r="11" spans="1:3" x14ac:dyDescent="0.2">
      <c r="A11" s="192"/>
      <c r="B11" s="544"/>
      <c r="C11" s="540"/>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F7B417-BF2B-B84E-8E47-71AE3D55AE99}">
  <dimension ref="A1:AG46"/>
  <sheetViews>
    <sheetView topLeftCell="B1" zoomScale="75" zoomScaleNormal="91" workbookViewId="0">
      <selection activeCell="T1" sqref="T1:AG1048576"/>
    </sheetView>
  </sheetViews>
  <sheetFormatPr baseColWidth="10" defaultRowHeight="16" x14ac:dyDescent="0.2"/>
  <cols>
    <col min="1" max="1" width="10.83203125" style="371"/>
    <col min="2" max="2" width="118.33203125" customWidth="1"/>
    <col min="3" max="5" width="18.33203125" hidden="1" customWidth="1"/>
    <col min="6" max="7" width="18.33203125" style="341" hidden="1" customWidth="1"/>
    <col min="8" max="8" width="18.33203125" style="341" customWidth="1"/>
    <col min="9" max="9" width="9.1640625" customWidth="1"/>
    <col min="10" max="10" width="19.5" style="371" bestFit="1" customWidth="1"/>
    <col min="11" max="11" width="20" style="371" bestFit="1" customWidth="1"/>
    <col min="12" max="14" width="20" style="371" customWidth="1"/>
    <col min="15" max="15" width="18" style="371" bestFit="1" customWidth="1"/>
    <col min="16" max="16" width="18" style="371" customWidth="1"/>
    <col min="17" max="17" width="24.5" style="371" bestFit="1" customWidth="1"/>
    <col min="18" max="18" width="24.5" style="371" customWidth="1"/>
    <col min="19" max="19" width="3.1640625" style="374" customWidth="1"/>
    <col min="20" max="20" width="14" style="371" hidden="1" customWidth="1"/>
    <col min="21" max="21" width="16.83203125" style="371" hidden="1" customWidth="1"/>
    <col min="22" max="23" width="22.6640625" style="371" hidden="1" customWidth="1"/>
    <col min="24" max="25" width="10.83203125" hidden="1" customWidth="1"/>
    <col min="26" max="26" width="19.5" hidden="1" customWidth="1"/>
    <col min="27" max="27" width="16.83203125" hidden="1" customWidth="1"/>
    <col min="28" max="28" width="15.33203125" hidden="1" customWidth="1"/>
    <col min="29" max="29" width="10.83203125" hidden="1" customWidth="1"/>
    <col min="30" max="30" width="0" hidden="1" customWidth="1"/>
    <col min="31" max="31" width="19.1640625" hidden="1" customWidth="1"/>
    <col min="32" max="32" width="20.5" hidden="1" customWidth="1"/>
    <col min="33" max="33" width="16.1640625" hidden="1" customWidth="1"/>
  </cols>
  <sheetData>
    <row r="1" spans="1:33" ht="51" x14ac:dyDescent="0.2">
      <c r="C1" s="343" t="s">
        <v>14</v>
      </c>
      <c r="D1" s="461" t="s">
        <v>873</v>
      </c>
      <c r="E1" s="483" t="s">
        <v>836</v>
      </c>
      <c r="F1" s="471" t="s">
        <v>18</v>
      </c>
      <c r="G1" s="495" t="s">
        <v>873</v>
      </c>
      <c r="H1" s="498" t="s">
        <v>840</v>
      </c>
      <c r="J1" s="361"/>
      <c r="K1" s="76" t="s">
        <v>14</v>
      </c>
      <c r="L1" s="76" t="s">
        <v>873</v>
      </c>
      <c r="M1" s="378" t="s">
        <v>836</v>
      </c>
      <c r="N1" s="376" t="s">
        <v>901</v>
      </c>
      <c r="O1" s="342" t="s">
        <v>18</v>
      </c>
      <c r="P1" s="376" t="s">
        <v>873</v>
      </c>
      <c r="Q1" s="376" t="s">
        <v>840</v>
      </c>
      <c r="R1" s="376" t="s">
        <v>901</v>
      </c>
      <c r="S1" s="372"/>
      <c r="T1" s="342" t="s">
        <v>871</v>
      </c>
      <c r="U1" s="342" t="s">
        <v>870</v>
      </c>
      <c r="V1" s="355" t="s">
        <v>874</v>
      </c>
      <c r="W1" s="355" t="s">
        <v>875</v>
      </c>
    </row>
    <row r="2" spans="1:33" ht="34" x14ac:dyDescent="0.2">
      <c r="B2" s="344" t="s">
        <v>861</v>
      </c>
      <c r="C2" s="345">
        <f>SUM('ESPECIFICACIONES TECNICAS'!R4:R13)</f>
        <v>461082880</v>
      </c>
      <c r="D2" s="462">
        <f>C2*19%</f>
        <v>87605747.200000003</v>
      </c>
      <c r="E2" s="484">
        <f>C2+D2</f>
        <v>548688627.20000005</v>
      </c>
      <c r="F2" s="472">
        <f>SUM('ESPECIFICACIONES TECNICAS'!V4:V13)</f>
        <v>461128090</v>
      </c>
      <c r="G2" s="496">
        <f>F2*19%</f>
        <v>87614337.099999994</v>
      </c>
      <c r="H2" s="499">
        <f>F2+G2</f>
        <v>548742427.10000002</v>
      </c>
      <c r="J2" s="356" t="s">
        <v>861</v>
      </c>
      <c r="K2" s="362">
        <f>C2</f>
        <v>461082880</v>
      </c>
      <c r="L2" s="362">
        <f>K2*19%</f>
        <v>87605747.200000003</v>
      </c>
      <c r="M2" s="379">
        <f>K2+L2</f>
        <v>548688627.20000005</v>
      </c>
      <c r="N2" s="537">
        <f>M2/$M$8</f>
        <v>0.14212274432045197</v>
      </c>
      <c r="O2" s="362">
        <f>F2</f>
        <v>461128090</v>
      </c>
      <c r="P2" s="363">
        <f>O2*19%</f>
        <v>87614337.099999994</v>
      </c>
      <c r="Q2" s="380">
        <f>O2+P2</f>
        <v>548742427.10000002</v>
      </c>
      <c r="R2" s="537">
        <f>Q2/$Q$8</f>
        <v>0.14146498564292181</v>
      </c>
      <c r="S2" s="373"/>
      <c r="T2" s="361"/>
      <c r="U2" s="361"/>
      <c r="V2" s="362">
        <f>M2</f>
        <v>548688627.20000005</v>
      </c>
      <c r="W2" s="362">
        <f>Q2</f>
        <v>548742427.10000002</v>
      </c>
      <c r="Y2" s="371"/>
      <c r="Z2" s="371"/>
      <c r="AA2" s="376" t="s">
        <v>840</v>
      </c>
      <c r="AB2" s="371"/>
      <c r="AD2" s="371"/>
      <c r="AE2" s="371"/>
      <c r="AF2" s="376" t="s">
        <v>836</v>
      </c>
      <c r="AG2" s="371"/>
    </row>
    <row r="3" spans="1:33" ht="38" x14ac:dyDescent="0.2">
      <c r="B3" s="336" t="s">
        <v>45</v>
      </c>
      <c r="C3" s="346">
        <f>C4+C5+C7+C8</f>
        <v>708381381.5773108</v>
      </c>
      <c r="D3" s="463">
        <f t="shared" ref="D3:D46" si="0">C3*19%</f>
        <v>134592462.49968904</v>
      </c>
      <c r="E3" s="485">
        <f t="shared" ref="E3:E46" si="1">C3+D3</f>
        <v>842973844.0769999</v>
      </c>
      <c r="F3" s="473">
        <f>F4+F5+F7+F8</f>
        <v>708501472.3896358</v>
      </c>
      <c r="G3" s="463">
        <f t="shared" ref="G3:G46" si="2">F3*19%</f>
        <v>134615279.75403079</v>
      </c>
      <c r="H3" s="485">
        <f t="shared" ref="H3:H46" si="3">F3+G3</f>
        <v>843116752.14366663</v>
      </c>
      <c r="J3" s="364" t="s">
        <v>865</v>
      </c>
      <c r="K3" s="362">
        <f>SUM('ESPECIFICACIONES TECNICAS'!R15:R85)</f>
        <v>708381381.5773108</v>
      </c>
      <c r="L3" s="362">
        <f>K3*19%</f>
        <v>134592462.49968904</v>
      </c>
      <c r="M3" s="379">
        <f t="shared" ref="M3:M8" si="4">K3+L3</f>
        <v>842973844.0769999</v>
      </c>
      <c r="N3" s="537">
        <f>M3/$M$8</f>
        <v>0.21834926071269584</v>
      </c>
      <c r="O3" s="362">
        <f>SUM('ESPECIFICACIONES TECNICAS'!V15:V85)</f>
        <v>708501472.38963592</v>
      </c>
      <c r="P3" s="363">
        <f t="shared" ref="P3:P8" si="5">O3*19%</f>
        <v>134615279.75403082</v>
      </c>
      <c r="Q3" s="380">
        <f t="shared" ref="Q3:Q7" si="6">O3+P3</f>
        <v>843116752.14366674</v>
      </c>
      <c r="R3" s="537">
        <f t="shared" ref="R3:R7" si="7">Q3/$Q$8</f>
        <v>0.21735425100559111</v>
      </c>
      <c r="S3" s="373"/>
      <c r="T3" s="361">
        <v>2375</v>
      </c>
      <c r="U3" s="357">
        <v>1238295000</v>
      </c>
      <c r="V3" s="365">
        <f>U3-M3</f>
        <v>395321155.9230001</v>
      </c>
      <c r="W3" s="365">
        <f>U3-Q3</f>
        <v>395178247.85633326</v>
      </c>
      <c r="Y3" s="361">
        <v>2375</v>
      </c>
      <c r="Z3" s="364" t="s">
        <v>865</v>
      </c>
      <c r="AA3" s="363">
        <f>Q3+Q7</f>
        <v>962116752.14366674</v>
      </c>
      <c r="AB3" s="371"/>
      <c r="AD3" s="361">
        <v>2375</v>
      </c>
      <c r="AE3" s="364" t="s">
        <v>865</v>
      </c>
      <c r="AF3" s="363">
        <f>M3+M7</f>
        <v>961973844.0769999</v>
      </c>
      <c r="AG3" s="371"/>
    </row>
    <row r="4" spans="1:33" ht="19" x14ac:dyDescent="0.2">
      <c r="B4" s="336" t="s">
        <v>863</v>
      </c>
      <c r="C4" s="347">
        <f>SUM('ESPECIFICACIONES TECNICAS'!R15:R16)</f>
        <v>46880008</v>
      </c>
      <c r="D4" s="464">
        <f t="shared" si="0"/>
        <v>8907201.5199999996</v>
      </c>
      <c r="E4" s="486">
        <f t="shared" si="1"/>
        <v>55787209.519999996</v>
      </c>
      <c r="F4" s="474">
        <f>SUM('ESPECIFICACIONES TECNICAS'!V15:V16)</f>
        <v>46880008</v>
      </c>
      <c r="G4" s="497">
        <f t="shared" si="2"/>
        <v>8907201.5199999996</v>
      </c>
      <c r="H4" s="500">
        <f t="shared" si="3"/>
        <v>55787209.519999996</v>
      </c>
      <c r="J4" s="366" t="s">
        <v>866</v>
      </c>
      <c r="K4" s="362">
        <f>SUM('ESPECIFICACIONES TECNICAS'!R88:R185)</f>
        <v>1225689431.615406</v>
      </c>
      <c r="L4" s="362">
        <f t="shared" ref="L4:L7" si="8">K4*19%</f>
        <v>232880992.00692716</v>
      </c>
      <c r="M4" s="379">
        <f t="shared" si="4"/>
        <v>1458570423.6223333</v>
      </c>
      <c r="N4" s="537">
        <f>M4/$M$8</f>
        <v>0.37780267553147157</v>
      </c>
      <c r="O4" s="362">
        <f>SUM('ESPECIFICACIONES TECNICAS'!V88:V185)</f>
        <v>1229965293.8310924</v>
      </c>
      <c r="P4" s="363">
        <f t="shared" si="5"/>
        <v>233693405.82790756</v>
      </c>
      <c r="Q4" s="380">
        <f t="shared" si="6"/>
        <v>1463658699.6589999</v>
      </c>
      <c r="R4" s="537">
        <f t="shared" si="7"/>
        <v>0.37732904675815254</v>
      </c>
      <c r="S4" s="373"/>
      <c r="T4" s="361">
        <v>2375</v>
      </c>
      <c r="U4" s="358">
        <v>1228825000</v>
      </c>
      <c r="V4" s="365">
        <f>U4-M4</f>
        <v>-229745423.62233329</v>
      </c>
      <c r="W4" s="365">
        <f>U4-Q4</f>
        <v>-234833699.65899992</v>
      </c>
      <c r="Y4" s="361">
        <v>2375</v>
      </c>
      <c r="Z4" s="366" t="s">
        <v>866</v>
      </c>
      <c r="AA4" s="363">
        <f>Q4</f>
        <v>1463658699.6589999</v>
      </c>
      <c r="AB4" s="363">
        <f>AA4-U4</f>
        <v>234833699.65899992</v>
      </c>
      <c r="AD4" s="361">
        <v>2375</v>
      </c>
      <c r="AE4" s="366" t="s">
        <v>866</v>
      </c>
      <c r="AF4" s="363">
        <f>M4</f>
        <v>1458570423.6223333</v>
      </c>
      <c r="AG4" s="363">
        <f>AF4-U4</f>
        <v>229745423.62233329</v>
      </c>
    </row>
    <row r="5" spans="1:33" ht="38" x14ac:dyDescent="0.2">
      <c r="B5" s="336" t="s">
        <v>52</v>
      </c>
      <c r="C5" s="347">
        <f>C6</f>
        <v>340031143.55714279</v>
      </c>
      <c r="D5" s="464">
        <f t="shared" si="0"/>
        <v>64605917.275857128</v>
      </c>
      <c r="E5" s="486">
        <f t="shared" si="1"/>
        <v>404637060.83299994</v>
      </c>
      <c r="F5" s="475">
        <f>F6</f>
        <v>341451686.97450978</v>
      </c>
      <c r="G5" s="464">
        <f t="shared" si="2"/>
        <v>64875820.525156856</v>
      </c>
      <c r="H5" s="486">
        <f t="shared" si="3"/>
        <v>406327507.49966663</v>
      </c>
      <c r="J5" s="367" t="s">
        <v>867</v>
      </c>
      <c r="K5" s="362">
        <f>SUM('ESPECIFICACIONES TECNICAS'!R188:R237)</f>
        <v>75320274.954742298</v>
      </c>
      <c r="L5" s="362">
        <f t="shared" si="8"/>
        <v>14310852.241401037</v>
      </c>
      <c r="M5" s="379">
        <f t="shared" si="4"/>
        <v>89631127.196143329</v>
      </c>
      <c r="N5" s="537">
        <f t="shared" ref="N5:N7" si="9">M5/$M$8</f>
        <v>2.32164858941173E-2</v>
      </c>
      <c r="O5" s="362">
        <f>SUM('ESPECIFICACIONES TECNICAS'!V188:V237)</f>
        <v>78087475.096773118</v>
      </c>
      <c r="P5" s="363">
        <f t="shared" si="5"/>
        <v>14836620.268386893</v>
      </c>
      <c r="Q5" s="380">
        <f t="shared" si="6"/>
        <v>92924095.365160018</v>
      </c>
      <c r="R5" s="537">
        <f t="shared" si="7"/>
        <v>2.3955694270234165E-2</v>
      </c>
      <c r="S5" s="373"/>
      <c r="T5" s="361">
        <v>2375</v>
      </c>
      <c r="U5" s="359">
        <v>837734000</v>
      </c>
      <c r="V5" s="365">
        <f>U5-M5</f>
        <v>748102872.80385661</v>
      </c>
      <c r="W5" s="365">
        <f t="shared" ref="W5:W7" si="10">U5-Q5</f>
        <v>744809904.63484001</v>
      </c>
      <c r="Y5" s="361">
        <v>2375</v>
      </c>
      <c r="Z5" s="367" t="s">
        <v>867</v>
      </c>
      <c r="AA5" s="363">
        <f>Q5+Q2</f>
        <v>641666522.46516001</v>
      </c>
      <c r="AB5" s="371"/>
      <c r="AD5" s="361">
        <v>2375</v>
      </c>
      <c r="AE5" s="367" t="s">
        <v>867</v>
      </c>
      <c r="AF5" s="363">
        <f>M5+M2</f>
        <v>638319754.39614344</v>
      </c>
      <c r="AG5" s="371"/>
    </row>
    <row r="6" spans="1:33" ht="19" x14ac:dyDescent="0.2">
      <c r="A6" s="371" t="s">
        <v>902</v>
      </c>
      <c r="B6" s="336" t="s">
        <v>53</v>
      </c>
      <c r="C6" s="345">
        <f>SUM('ESPECIFICACIONES TECNICAS'!R19:R28)</f>
        <v>340031143.55714279</v>
      </c>
      <c r="D6" s="462">
        <f t="shared" si="0"/>
        <v>64605917.275857128</v>
      </c>
      <c r="E6" s="484">
        <f t="shared" si="1"/>
        <v>404637060.83299994</v>
      </c>
      <c r="F6" s="472">
        <f>SUM('ESPECIFICACIONES TECNICAS'!V19:V28)</f>
        <v>341451686.97450978</v>
      </c>
      <c r="G6" s="496">
        <f t="shared" si="2"/>
        <v>64875820.525156856</v>
      </c>
      <c r="H6" s="499">
        <f t="shared" si="3"/>
        <v>406327507.49966663</v>
      </c>
      <c r="J6" s="368" t="s">
        <v>868</v>
      </c>
      <c r="K6" s="362">
        <f>SUM('ESPECIFICACIONES TECNICAS'!R239:R399)</f>
        <v>673784241.22380936</v>
      </c>
      <c r="L6" s="362">
        <f t="shared" si="8"/>
        <v>128019005.83252378</v>
      </c>
      <c r="M6" s="379">
        <f t="shared" si="4"/>
        <v>801803247.05633318</v>
      </c>
      <c r="N6" s="537">
        <f t="shared" si="9"/>
        <v>0.20768514641576191</v>
      </c>
      <c r="O6" s="362">
        <f>SUM('ESPECIFICACIONES TECNICAS'!V239:V399)</f>
        <v>681980036.04705846</v>
      </c>
      <c r="P6" s="363">
        <f t="shared" si="5"/>
        <v>129576206.8489411</v>
      </c>
      <c r="Q6" s="380">
        <f t="shared" si="6"/>
        <v>811556242.89599955</v>
      </c>
      <c r="R6" s="537">
        <f t="shared" si="7"/>
        <v>0.20921799842676342</v>
      </c>
      <c r="S6" s="373"/>
      <c r="T6" s="361">
        <v>2380</v>
      </c>
      <c r="U6" s="360">
        <v>862335000</v>
      </c>
      <c r="V6" s="365">
        <f>U6-M6</f>
        <v>60531752.943666816</v>
      </c>
      <c r="W6" s="365">
        <f t="shared" si="10"/>
        <v>50778757.104000449</v>
      </c>
      <c r="Y6" s="361">
        <v>2380</v>
      </c>
      <c r="Z6" s="368" t="s">
        <v>868</v>
      </c>
      <c r="AA6" s="363">
        <f>Q6</f>
        <v>811556242.89599955</v>
      </c>
      <c r="AB6" s="371"/>
      <c r="AD6" s="361">
        <v>2380</v>
      </c>
      <c r="AE6" s="368" t="s">
        <v>868</v>
      </c>
      <c r="AF6" s="363">
        <f>M6</f>
        <v>801803247.05633318</v>
      </c>
      <c r="AG6" s="371"/>
    </row>
    <row r="7" spans="1:33" ht="19" x14ac:dyDescent="0.2">
      <c r="A7" s="371" t="s">
        <v>902</v>
      </c>
      <c r="B7" s="336" t="s">
        <v>80</v>
      </c>
      <c r="C7" s="347">
        <f>SUM('ESPECIFICACIONES TECNICAS'!R30:R45)</f>
        <v>88854775.784313723</v>
      </c>
      <c r="D7" s="464">
        <f t="shared" si="0"/>
        <v>16882407.399019606</v>
      </c>
      <c r="E7" s="486">
        <f t="shared" si="1"/>
        <v>105737183.18333334</v>
      </c>
      <c r="F7" s="474">
        <f>SUM('ESPECIFICACIONES TECNICAS'!V30:V45)</f>
        <v>89765968.039215669</v>
      </c>
      <c r="G7" s="497">
        <f t="shared" si="2"/>
        <v>17055533.927450977</v>
      </c>
      <c r="H7" s="500">
        <f t="shared" si="3"/>
        <v>106821501.96666664</v>
      </c>
      <c r="J7" s="361" t="s">
        <v>869</v>
      </c>
      <c r="K7" s="362">
        <f>'ESPECIFICACIONES TECNICAS'!R400</f>
        <v>100000000</v>
      </c>
      <c r="L7" s="362">
        <f t="shared" si="8"/>
        <v>19000000</v>
      </c>
      <c r="M7" s="379">
        <f t="shared" si="4"/>
        <v>119000000</v>
      </c>
      <c r="N7" s="537">
        <f t="shared" si="9"/>
        <v>3.0823687125501591E-2</v>
      </c>
      <c r="O7" s="362">
        <f>'ESPECIFICACIONES TECNICAS'!V400</f>
        <v>100000000</v>
      </c>
      <c r="P7" s="363">
        <f t="shared" si="5"/>
        <v>19000000</v>
      </c>
      <c r="Q7" s="380">
        <f t="shared" si="6"/>
        <v>119000000</v>
      </c>
      <c r="R7" s="537">
        <f t="shared" si="7"/>
        <v>3.0678023896336875E-2</v>
      </c>
      <c r="S7" s="373"/>
      <c r="T7" s="361"/>
      <c r="U7" s="361"/>
      <c r="V7" s="365">
        <f t="shared" ref="V7" si="11">U7-M7</f>
        <v>-119000000</v>
      </c>
      <c r="W7" s="365">
        <f t="shared" si="10"/>
        <v>-119000000</v>
      </c>
    </row>
    <row r="8" spans="1:33" ht="38" x14ac:dyDescent="0.2">
      <c r="B8" s="336" t="s">
        <v>853</v>
      </c>
      <c r="C8" s="347">
        <f>SUM(C9:C11)</f>
        <v>232615454.23585433</v>
      </c>
      <c r="D8" s="464">
        <f t="shared" si="0"/>
        <v>44196936.30481232</v>
      </c>
      <c r="E8" s="486">
        <f t="shared" si="1"/>
        <v>276812390.54066664</v>
      </c>
      <c r="F8" s="474">
        <f>SUM(F9:F11)</f>
        <v>230403809.37591037</v>
      </c>
      <c r="G8" s="497">
        <f t="shared" si="2"/>
        <v>43776723.781422973</v>
      </c>
      <c r="H8" s="500">
        <f t="shared" si="3"/>
        <v>274180533.15733337</v>
      </c>
      <c r="J8" s="369" t="s">
        <v>872</v>
      </c>
      <c r="K8" s="370">
        <f>SUM(K2:K7)</f>
        <v>3244258209.3712683</v>
      </c>
      <c r="L8" s="370">
        <f>SUM(L2:L7)</f>
        <v>616409059.78054094</v>
      </c>
      <c r="M8" s="379">
        <f t="shared" si="4"/>
        <v>3860667269.1518092</v>
      </c>
      <c r="N8" s="381"/>
      <c r="O8" s="370">
        <f t="shared" ref="O8" si="12">SUM(O2:O7)</f>
        <v>3259662367.3645601</v>
      </c>
      <c r="P8" s="377">
        <f t="shared" si="5"/>
        <v>619335849.79926646</v>
      </c>
      <c r="Q8" s="381">
        <f>O8+P8</f>
        <v>3878998217.1638265</v>
      </c>
      <c r="R8" s="381"/>
      <c r="S8" s="373"/>
      <c r="T8" s="362"/>
      <c r="U8" s="370">
        <f>SUM(U3:U6)</f>
        <v>4167189000</v>
      </c>
      <c r="V8" s="370"/>
      <c r="W8" s="370"/>
      <c r="Y8" s="371"/>
      <c r="Z8" s="371"/>
      <c r="AA8" s="376" t="s">
        <v>840</v>
      </c>
      <c r="AB8" s="355" t="s">
        <v>893</v>
      </c>
      <c r="AD8" s="371"/>
      <c r="AE8" s="371"/>
      <c r="AF8" s="376" t="s">
        <v>936</v>
      </c>
      <c r="AG8" s="355" t="s">
        <v>893</v>
      </c>
    </row>
    <row r="9" spans="1:33" ht="19" x14ac:dyDescent="0.2">
      <c r="A9" s="371" t="s">
        <v>902</v>
      </c>
      <c r="B9" s="336" t="s">
        <v>854</v>
      </c>
      <c r="C9" s="345">
        <f>SUM('ESPECIFICACIONES TECNICAS'!R48:R58)</f>
        <v>54054858.5417367</v>
      </c>
      <c r="D9" s="462">
        <f t="shared" si="0"/>
        <v>10270423.122929974</v>
      </c>
      <c r="E9" s="484">
        <f t="shared" si="1"/>
        <v>64325281.664666675</v>
      </c>
      <c r="F9" s="472">
        <f>SUM('ESPECIFICACIONES TECNICAS'!V48:V58)</f>
        <v>54601197.463305317</v>
      </c>
      <c r="G9" s="496">
        <f t="shared" si="2"/>
        <v>10374227.51802801</v>
      </c>
      <c r="H9" s="499">
        <f t="shared" si="3"/>
        <v>64975424.98133333</v>
      </c>
      <c r="K9" s="375"/>
      <c r="L9" s="375"/>
      <c r="M9" s="382"/>
      <c r="N9" s="382"/>
      <c r="O9" s="375"/>
      <c r="P9" s="375"/>
      <c r="Q9" s="382"/>
      <c r="R9" s="382"/>
      <c r="Y9" s="369">
        <v>2375</v>
      </c>
      <c r="Z9" s="364" t="s">
        <v>865</v>
      </c>
      <c r="AA9" s="363">
        <f>AA3+AB4</f>
        <v>1196950451.8026667</v>
      </c>
      <c r="AB9" s="533">
        <f>U3-AA9</f>
        <v>41344548.197333336</v>
      </c>
      <c r="AD9" s="369">
        <v>2375</v>
      </c>
      <c r="AE9" s="364" t="s">
        <v>865</v>
      </c>
      <c r="AF9" s="363">
        <f>AF3+AG4</f>
        <v>1191719267.6993332</v>
      </c>
      <c r="AG9" s="533">
        <f>U3-AF9</f>
        <v>46575732.300666809</v>
      </c>
    </row>
    <row r="10" spans="1:33" ht="19" x14ac:dyDescent="0.2">
      <c r="A10" s="371" t="s">
        <v>902</v>
      </c>
      <c r="B10" s="336" t="s">
        <v>855</v>
      </c>
      <c r="C10" s="345">
        <f>'ESPECIFICACIONES TECNICAS'!R60</f>
        <v>10000000</v>
      </c>
      <c r="D10" s="462">
        <f t="shared" si="0"/>
        <v>1900000</v>
      </c>
      <c r="E10" s="484">
        <f t="shared" si="1"/>
        <v>11900000</v>
      </c>
      <c r="F10" s="472">
        <f>'ESPECIFICACIONES TECNICAS'!V60</f>
        <v>10000000</v>
      </c>
      <c r="G10" s="496">
        <f t="shared" si="2"/>
        <v>1900000</v>
      </c>
      <c r="H10" s="499">
        <f t="shared" si="3"/>
        <v>11900000</v>
      </c>
      <c r="U10" s="363"/>
      <c r="Y10" s="369">
        <v>2375</v>
      </c>
      <c r="Z10" s="366" t="s">
        <v>866</v>
      </c>
      <c r="AA10" s="534">
        <f>U4</f>
        <v>1228825000</v>
      </c>
      <c r="AB10" s="533">
        <f>U4-AA10</f>
        <v>0</v>
      </c>
      <c r="AD10" s="369">
        <v>2375</v>
      </c>
      <c r="AE10" s="366" t="s">
        <v>866</v>
      </c>
      <c r="AF10" s="534">
        <f>U4</f>
        <v>1228825000</v>
      </c>
      <c r="AG10" s="533">
        <f>U4-AF10</f>
        <v>0</v>
      </c>
    </row>
    <row r="11" spans="1:33" ht="19" x14ac:dyDescent="0.2">
      <c r="A11" s="371" t="s">
        <v>902</v>
      </c>
      <c r="B11" s="336" t="s">
        <v>133</v>
      </c>
      <c r="C11" s="345">
        <f>SUM('ESPECIFICACIONES TECNICAS'!R62:R85)</f>
        <v>168560595.69411764</v>
      </c>
      <c r="D11" s="462">
        <f t="shared" si="0"/>
        <v>32026513.181882352</v>
      </c>
      <c r="E11" s="484">
        <f t="shared" si="1"/>
        <v>200587108.87599999</v>
      </c>
      <c r="F11" s="476">
        <f>SUM('ESPECIFICACIONES TECNICAS'!V62:V85)</f>
        <v>165802611.91260505</v>
      </c>
      <c r="G11" s="462">
        <f t="shared" si="2"/>
        <v>31502496.263394959</v>
      </c>
      <c r="H11" s="484">
        <f t="shared" si="3"/>
        <v>197305108.176</v>
      </c>
      <c r="Y11" s="369">
        <v>2375</v>
      </c>
      <c r="Z11" s="367" t="s">
        <v>867</v>
      </c>
      <c r="AA11" s="535">
        <f>AA5</f>
        <v>641666522.46516001</v>
      </c>
      <c r="AB11" s="533">
        <f>U5-AA11-1</f>
        <v>196067476.53483999</v>
      </c>
      <c r="AD11" s="369">
        <v>2375</v>
      </c>
      <c r="AE11" s="367" t="s">
        <v>867</v>
      </c>
      <c r="AF11" s="535">
        <f>AF5</f>
        <v>638319754.39614344</v>
      </c>
      <c r="AG11" s="533">
        <f>U5-AF11</f>
        <v>199414245.60385656</v>
      </c>
    </row>
    <row r="12" spans="1:33" ht="38" x14ac:dyDescent="0.2">
      <c r="B12" s="337" t="s">
        <v>226</v>
      </c>
      <c r="C12" s="349">
        <f>C13+C14+C19</f>
        <v>1225689431.6154063</v>
      </c>
      <c r="D12" s="465">
        <f t="shared" si="0"/>
        <v>232880992.00692719</v>
      </c>
      <c r="E12" s="487">
        <f t="shared" si="1"/>
        <v>1458570423.6223335</v>
      </c>
      <c r="F12" s="477">
        <f>F13+F14+F19</f>
        <v>1229965293.8310924</v>
      </c>
      <c r="G12" s="465">
        <f t="shared" si="2"/>
        <v>233693405.82790756</v>
      </c>
      <c r="H12" s="487">
        <f t="shared" si="3"/>
        <v>1463658699.6589999</v>
      </c>
      <c r="Q12" s="363"/>
      <c r="R12" s="363"/>
      <c r="U12" s="363"/>
      <c r="Y12" s="532">
        <v>2380</v>
      </c>
      <c r="Z12" s="368" t="s">
        <v>868</v>
      </c>
      <c r="AA12" s="535">
        <f>AA6</f>
        <v>811556242.89599955</v>
      </c>
      <c r="AB12" s="533">
        <f>U6-AA12</f>
        <v>50778757.104000449</v>
      </c>
      <c r="AD12" s="532">
        <v>2380</v>
      </c>
      <c r="AE12" s="368" t="s">
        <v>868</v>
      </c>
      <c r="AF12" s="535">
        <f>AF6</f>
        <v>801803247.05633318</v>
      </c>
      <c r="AG12" s="533">
        <f>U6-AF12</f>
        <v>60531752.943666816</v>
      </c>
    </row>
    <row r="13" spans="1:33" ht="19" x14ac:dyDescent="0.2">
      <c r="B13" s="337" t="s">
        <v>861</v>
      </c>
      <c r="C13" s="348">
        <f>SUM('ESPECIFICACIONES TECNICAS'!R88:R89)</f>
        <v>70320012</v>
      </c>
      <c r="D13" s="466">
        <f t="shared" si="0"/>
        <v>13360802.279999999</v>
      </c>
      <c r="E13" s="488">
        <f t="shared" si="1"/>
        <v>83680814.280000001</v>
      </c>
      <c r="F13" s="478">
        <f>SUM('ESPECIFICACIONES TECNICAS'!V88:V89)</f>
        <v>70320012</v>
      </c>
      <c r="G13" s="466">
        <f t="shared" si="2"/>
        <v>13360802.279999999</v>
      </c>
      <c r="H13" s="488">
        <f t="shared" si="3"/>
        <v>83680814.280000001</v>
      </c>
      <c r="Q13" s="382"/>
      <c r="R13" s="382"/>
      <c r="U13" s="363"/>
      <c r="Y13" s="371"/>
      <c r="Z13" s="371"/>
      <c r="AA13" s="363">
        <f>AA9+AA10+AA11+AA12</f>
        <v>3878998217.163826</v>
      </c>
      <c r="AB13" s="533">
        <f>SUM(AB9:AB12)</f>
        <v>288190781.83617377</v>
      </c>
      <c r="AD13" s="371"/>
      <c r="AE13" s="371"/>
      <c r="AF13" s="363">
        <f>AF9+AF10+AF11+AF12</f>
        <v>3860667269.1518097</v>
      </c>
      <c r="AG13" s="533">
        <f>SUM(AG9:AG12)</f>
        <v>306521730.84819019</v>
      </c>
    </row>
    <row r="14" spans="1:33" ht="42" x14ac:dyDescent="0.2">
      <c r="B14" s="337" t="s">
        <v>231</v>
      </c>
      <c r="C14" s="348">
        <f>C15+C16+C17+C18</f>
        <v>857106790.51820731</v>
      </c>
      <c r="D14" s="466">
        <f t="shared" si="0"/>
        <v>162850290.19845939</v>
      </c>
      <c r="E14" s="488">
        <f t="shared" si="1"/>
        <v>1019957080.7166667</v>
      </c>
      <c r="F14" s="478">
        <f>F15+F16+F17+F18</f>
        <v>857842805.33613431</v>
      </c>
      <c r="G14" s="466">
        <f t="shared" si="2"/>
        <v>162990133.01386553</v>
      </c>
      <c r="H14" s="488">
        <f t="shared" si="3"/>
        <v>1020832938.3499999</v>
      </c>
      <c r="Y14" s="371"/>
      <c r="Z14" s="371"/>
      <c r="AA14" s="371"/>
    </row>
    <row r="15" spans="1:33" ht="19" x14ac:dyDescent="0.2">
      <c r="A15" s="371" t="s">
        <v>902</v>
      </c>
      <c r="B15" s="337" t="s">
        <v>232</v>
      </c>
      <c r="C15" s="345">
        <f>SUM('ESPECIFICACIONES TECNICAS'!R92:R105)</f>
        <v>360674455.25210083</v>
      </c>
      <c r="D15" s="462">
        <f t="shared" si="0"/>
        <v>68528146.49789916</v>
      </c>
      <c r="E15" s="484">
        <f t="shared" si="1"/>
        <v>429202601.75</v>
      </c>
      <c r="F15" s="476">
        <f>SUM('ESPECIFICACIONES TECNICAS'!V92:V105)</f>
        <v>355905401.8067227</v>
      </c>
      <c r="G15" s="462">
        <f t="shared" si="2"/>
        <v>67622026.34327732</v>
      </c>
      <c r="H15" s="484">
        <f t="shared" si="3"/>
        <v>423527428.15000004</v>
      </c>
    </row>
    <row r="16" spans="1:33" ht="19" x14ac:dyDescent="0.2">
      <c r="A16" s="371" t="s">
        <v>902</v>
      </c>
      <c r="B16" s="337" t="s">
        <v>268</v>
      </c>
      <c r="C16" s="345">
        <f>SUM('ESPECIFICACIONES TECNICAS'!R107:R130)</f>
        <v>246372415.6862745</v>
      </c>
      <c r="D16" s="462">
        <f t="shared" si="0"/>
        <v>46810758.980392158</v>
      </c>
      <c r="E16" s="484">
        <f t="shared" si="1"/>
        <v>293183174.66666663</v>
      </c>
      <c r="F16" s="476">
        <f>SUM('ESPECIFICACIONES TECNICAS'!V107:V130)</f>
        <v>250879160</v>
      </c>
      <c r="G16" s="462">
        <f t="shared" si="2"/>
        <v>47667040.399999999</v>
      </c>
      <c r="H16" s="484">
        <f t="shared" si="3"/>
        <v>298546200.39999998</v>
      </c>
    </row>
    <row r="17" spans="1:8" ht="19" x14ac:dyDescent="0.2">
      <c r="A17" s="371" t="s">
        <v>902</v>
      </c>
      <c r="B17" s="337" t="s">
        <v>324</v>
      </c>
      <c r="C17" s="345">
        <f>SUM('ESPECIFICACIONES TECNICAS'!R132:R139)</f>
        <v>154156124.24369749</v>
      </c>
      <c r="D17" s="462">
        <f t="shared" si="0"/>
        <v>29289663.606302526</v>
      </c>
      <c r="E17" s="484">
        <f t="shared" si="1"/>
        <v>183445787.85000002</v>
      </c>
      <c r="F17" s="476">
        <f>SUM('ESPECIFICACIONES TECNICAS'!V132:V139)</f>
        <v>155095228.10924369</v>
      </c>
      <c r="G17" s="462">
        <f t="shared" si="2"/>
        <v>29468093.340756301</v>
      </c>
      <c r="H17" s="484">
        <f t="shared" si="3"/>
        <v>184563321.44999999</v>
      </c>
    </row>
    <row r="18" spans="1:8" ht="19" x14ac:dyDescent="0.2">
      <c r="A18" s="371" t="s">
        <v>902</v>
      </c>
      <c r="B18" s="337" t="s">
        <v>335</v>
      </c>
      <c r="C18" s="345">
        <f>SUM('ESPECIFICACIONES TECNICAS'!R141:R147)</f>
        <v>95903795.336134464</v>
      </c>
      <c r="D18" s="462">
        <f t="shared" si="0"/>
        <v>18221721.113865547</v>
      </c>
      <c r="E18" s="484">
        <f t="shared" si="1"/>
        <v>114125516.45000002</v>
      </c>
      <c r="F18" s="476">
        <f>SUM('ESPECIFICACIONES TECNICAS'!V141:V147)</f>
        <v>95963015.420168072</v>
      </c>
      <c r="G18" s="462">
        <f t="shared" si="2"/>
        <v>18232972.929831933</v>
      </c>
      <c r="H18" s="484">
        <f t="shared" si="3"/>
        <v>114195988.35000001</v>
      </c>
    </row>
    <row r="19" spans="1:8" ht="38" x14ac:dyDescent="0.2">
      <c r="B19" s="337" t="s">
        <v>345</v>
      </c>
      <c r="C19" s="348">
        <f>C20+C21+C22+C23+C24</f>
        <v>298262629.0971989</v>
      </c>
      <c r="D19" s="466">
        <f t="shared" si="0"/>
        <v>56669899.528467789</v>
      </c>
      <c r="E19" s="488">
        <f t="shared" si="1"/>
        <v>354932528.62566668</v>
      </c>
      <c r="F19" s="478">
        <f>F20+F21+F22+F23+F24</f>
        <v>301802476.49495798</v>
      </c>
      <c r="G19" s="466">
        <f t="shared" si="2"/>
        <v>57342470.534042016</v>
      </c>
      <c r="H19" s="488">
        <f t="shared" si="3"/>
        <v>359144947.02899998</v>
      </c>
    </row>
    <row r="20" spans="1:8" ht="38" x14ac:dyDescent="0.2">
      <c r="A20" s="371" t="s">
        <v>902</v>
      </c>
      <c r="B20" s="337" t="s">
        <v>346</v>
      </c>
      <c r="C20" s="345">
        <f>SUM('ESPECIFICACIONES TECNICAS'!R150:R157)</f>
        <v>76656053.235294119</v>
      </c>
      <c r="D20" s="462">
        <f t="shared" si="0"/>
        <v>14564650.114705883</v>
      </c>
      <c r="E20" s="484">
        <f t="shared" si="1"/>
        <v>91220703.349999994</v>
      </c>
      <c r="F20" s="476">
        <f>SUM('ESPECIFICACIONES TECNICAS'!V150:V157)</f>
        <v>79335911.764705881</v>
      </c>
      <c r="G20" s="462">
        <f t="shared" si="2"/>
        <v>15073823.235294119</v>
      </c>
      <c r="H20" s="484">
        <f t="shared" si="3"/>
        <v>94409735</v>
      </c>
    </row>
    <row r="21" spans="1:8" ht="19" x14ac:dyDescent="0.2">
      <c r="A21" s="371" t="s">
        <v>902</v>
      </c>
      <c r="B21" s="337" t="s">
        <v>358</v>
      </c>
      <c r="C21" s="345">
        <f>SUM('ESPECIFICACIONES TECNICAS'!R159:R166)</f>
        <v>37956342.563025206</v>
      </c>
      <c r="D21" s="462">
        <f t="shared" si="0"/>
        <v>7211705.0869747894</v>
      </c>
      <c r="E21" s="484">
        <f t="shared" si="1"/>
        <v>45168047.649999999</v>
      </c>
      <c r="F21" s="476">
        <f>SUM('ESPECIFICACIONES TECNICAS'!V159:V166)</f>
        <v>37318229.890756302</v>
      </c>
      <c r="G21" s="462">
        <f t="shared" si="2"/>
        <v>7090463.6792436978</v>
      </c>
      <c r="H21" s="484">
        <f t="shared" si="3"/>
        <v>44408693.57</v>
      </c>
    </row>
    <row r="22" spans="1:8" ht="19" x14ac:dyDescent="0.2">
      <c r="A22" s="371" t="s">
        <v>902</v>
      </c>
      <c r="B22" s="337" t="s">
        <v>371</v>
      </c>
      <c r="C22" s="345">
        <f>SUM('ESPECIFICACIONES TECNICAS'!R168:R173)</f>
        <v>94859661.724649861</v>
      </c>
      <c r="D22" s="462">
        <f t="shared" si="0"/>
        <v>18023335.727683473</v>
      </c>
      <c r="E22" s="484">
        <f t="shared" si="1"/>
        <v>112882997.45233333</v>
      </c>
      <c r="F22" s="476">
        <f>SUM('ESPECIFICACIONES TECNICAS'!V168:V173)</f>
        <v>96717297.578991592</v>
      </c>
      <c r="G22" s="462">
        <f t="shared" si="2"/>
        <v>18376286.540008403</v>
      </c>
      <c r="H22" s="484">
        <f t="shared" si="3"/>
        <v>115093584.11899999</v>
      </c>
    </row>
    <row r="23" spans="1:8" ht="38" x14ac:dyDescent="0.2">
      <c r="A23" s="371" t="s">
        <v>902</v>
      </c>
      <c r="B23" s="337" t="s">
        <v>378</v>
      </c>
      <c r="C23" s="345">
        <f>SUM('ESPECIFICACIONES TECNICAS'!R175:R176)</f>
        <v>17925101.039215688</v>
      </c>
      <c r="D23" s="462">
        <f t="shared" si="0"/>
        <v>3405769.1974509805</v>
      </c>
      <c r="E23" s="484">
        <f t="shared" si="1"/>
        <v>21330870.236666668</v>
      </c>
      <c r="F23" s="476">
        <f>SUM('ESPECIFICACIONES TECNICAS'!V175:V176)</f>
        <v>17922019.806722689</v>
      </c>
      <c r="G23" s="462">
        <f t="shared" si="2"/>
        <v>3405183.7632773109</v>
      </c>
      <c r="H23" s="484">
        <f t="shared" si="3"/>
        <v>21327203.57</v>
      </c>
    </row>
    <row r="24" spans="1:8" ht="19" x14ac:dyDescent="0.2">
      <c r="A24" s="371" t="s">
        <v>902</v>
      </c>
      <c r="B24" s="337" t="s">
        <v>379</v>
      </c>
      <c r="C24" s="345">
        <f>SUM('ESPECIFICACIONES TECNICAS'!R178:R185)</f>
        <v>70865470.535014018</v>
      </c>
      <c r="D24" s="462">
        <f t="shared" si="0"/>
        <v>13464439.401652664</v>
      </c>
      <c r="E24" s="484">
        <f t="shared" si="1"/>
        <v>84329909.936666682</v>
      </c>
      <c r="F24" s="476">
        <f>SUM('ESPECIFICACIONES TECNICAS'!V178:V185)</f>
        <v>70509017.453781515</v>
      </c>
      <c r="G24" s="462">
        <f t="shared" si="2"/>
        <v>13396713.316218488</v>
      </c>
      <c r="H24" s="484">
        <f t="shared" si="3"/>
        <v>83905730.770000011</v>
      </c>
    </row>
    <row r="25" spans="1:8" ht="38" x14ac:dyDescent="0.2">
      <c r="B25" s="338" t="s">
        <v>862</v>
      </c>
      <c r="C25" s="352">
        <f>C26+C27+C28+C32</f>
        <v>75320274.954742298</v>
      </c>
      <c r="D25" s="467">
        <f t="shared" si="0"/>
        <v>14310852.241401037</v>
      </c>
      <c r="E25" s="489">
        <f t="shared" si="1"/>
        <v>89631127.196143329</v>
      </c>
      <c r="F25" s="479">
        <f>F26+F27+F28+F32</f>
        <v>78087475.096773103</v>
      </c>
      <c r="G25" s="467">
        <f t="shared" si="2"/>
        <v>14836620.268386889</v>
      </c>
      <c r="H25" s="489">
        <f t="shared" si="3"/>
        <v>92924095.365159988</v>
      </c>
    </row>
    <row r="26" spans="1:8" ht="19" x14ac:dyDescent="0.2">
      <c r="B26" s="339" t="s">
        <v>864</v>
      </c>
      <c r="C26" s="345">
        <f>SUM('ESPECIFICACIONES TECNICAS'!R188:R189)</f>
        <v>447733.4</v>
      </c>
      <c r="D26" s="462">
        <f t="shared" si="0"/>
        <v>85069.346000000005</v>
      </c>
      <c r="E26" s="484">
        <f t="shared" si="1"/>
        <v>532802.74600000004</v>
      </c>
      <c r="F26" s="476">
        <f>SUM('ESPECIFICACIONES TECNICAS'!V188:V189)</f>
        <v>447733.4</v>
      </c>
      <c r="G26" s="462">
        <f t="shared" si="2"/>
        <v>85069.346000000005</v>
      </c>
      <c r="H26" s="484">
        <f t="shared" si="3"/>
        <v>532802.74600000004</v>
      </c>
    </row>
    <row r="27" spans="1:8" ht="38" x14ac:dyDescent="0.2">
      <c r="A27" s="538" t="s">
        <v>902</v>
      </c>
      <c r="B27" s="339" t="s">
        <v>388</v>
      </c>
      <c r="C27" s="350">
        <f>SUM('ESPECIFICACIONES TECNICAS'!R190:R202)</f>
        <v>5784788.2352941185</v>
      </c>
      <c r="D27" s="468">
        <f t="shared" si="0"/>
        <v>1099109.7647058826</v>
      </c>
      <c r="E27" s="490">
        <f t="shared" si="1"/>
        <v>6883898.0000000009</v>
      </c>
      <c r="F27" s="480">
        <f>SUM('ESPECIFICACIONES TECNICAS'!V190:V202)</f>
        <v>5742605.0420168079</v>
      </c>
      <c r="G27" s="468">
        <f t="shared" si="2"/>
        <v>1091094.9579831935</v>
      </c>
      <c r="H27" s="490">
        <f t="shared" si="3"/>
        <v>6833700.0000000019</v>
      </c>
    </row>
    <row r="28" spans="1:8" ht="19" x14ac:dyDescent="0.2">
      <c r="B28" s="339" t="s">
        <v>409</v>
      </c>
      <c r="C28" s="351">
        <f>C29+C30+C31</f>
        <v>57367751.31944818</v>
      </c>
      <c r="D28" s="351">
        <f t="shared" si="0"/>
        <v>10899872.750695154</v>
      </c>
      <c r="E28" s="491">
        <f t="shared" si="1"/>
        <v>68267624.070143342</v>
      </c>
      <c r="F28" s="351">
        <f>F29+F30+F31</f>
        <v>60177134.654756293</v>
      </c>
      <c r="G28" s="351">
        <f t="shared" si="2"/>
        <v>11433655.584403696</v>
      </c>
      <c r="H28" s="491">
        <f t="shared" si="3"/>
        <v>71610790.239159986</v>
      </c>
    </row>
    <row r="29" spans="1:8" ht="19" x14ac:dyDescent="0.2">
      <c r="A29" s="538" t="s">
        <v>902</v>
      </c>
      <c r="B29" s="339" t="s">
        <v>410</v>
      </c>
      <c r="C29" s="345">
        <f>SUM('ESPECIFICACIONES TECNICAS'!R205:R217)</f>
        <v>21659104.040176474</v>
      </c>
      <c r="D29" s="462">
        <f t="shared" si="0"/>
        <v>4115229.7676335298</v>
      </c>
      <c r="E29" s="484">
        <f t="shared" si="1"/>
        <v>25774333.807810005</v>
      </c>
      <c r="F29" s="476">
        <f>SUM('ESPECIFICACIONES TECNICAS'!V205:V217)</f>
        <v>21822591.697613444</v>
      </c>
      <c r="G29" s="462">
        <f t="shared" si="2"/>
        <v>4146292.4225465544</v>
      </c>
      <c r="H29" s="484">
        <f t="shared" si="3"/>
        <v>25968884.120159999</v>
      </c>
    </row>
    <row r="30" spans="1:8" ht="19" x14ac:dyDescent="0.2">
      <c r="A30" s="538" t="s">
        <v>902</v>
      </c>
      <c r="B30" s="339" t="s">
        <v>430</v>
      </c>
      <c r="C30" s="345">
        <f>SUM('ESPECIFICACIONES TECNICAS'!R219:R225)</f>
        <v>3867651.761064426</v>
      </c>
      <c r="D30" s="462">
        <f t="shared" si="0"/>
        <v>734853.83460224094</v>
      </c>
      <c r="E30" s="484">
        <f t="shared" si="1"/>
        <v>4602505.5956666674</v>
      </c>
      <c r="F30" s="476">
        <f>SUM('ESPECIFICACIONES TECNICAS'!V219:V225)</f>
        <v>3693435.3941176469</v>
      </c>
      <c r="G30" s="462">
        <f t="shared" si="2"/>
        <v>701752.72488235286</v>
      </c>
      <c r="H30" s="484">
        <f t="shared" si="3"/>
        <v>4395188.1189999999</v>
      </c>
    </row>
    <row r="31" spans="1:8" ht="19" x14ac:dyDescent="0.2">
      <c r="A31" s="538" t="s">
        <v>902</v>
      </c>
      <c r="B31" s="339" t="s">
        <v>440</v>
      </c>
      <c r="C31" s="345">
        <f>SUM('ESPECIFICACIONES TECNICAS'!R227:R235)</f>
        <v>31840995.518207282</v>
      </c>
      <c r="D31" s="462">
        <f t="shared" si="0"/>
        <v>6049789.1484593833</v>
      </c>
      <c r="E31" s="484">
        <f t="shared" si="1"/>
        <v>37890784.666666664</v>
      </c>
      <c r="F31" s="476">
        <f>SUM('ESPECIFICACIONES TECNICAS'!V227:V235)</f>
        <v>34661107.563025206</v>
      </c>
      <c r="G31" s="462">
        <f t="shared" si="2"/>
        <v>6585610.436974789</v>
      </c>
      <c r="H31" s="484">
        <f t="shared" si="3"/>
        <v>41246717.999999993</v>
      </c>
    </row>
    <row r="32" spans="1:8" ht="19" x14ac:dyDescent="0.2">
      <c r="A32" s="538" t="s">
        <v>902</v>
      </c>
      <c r="B32" s="339" t="s">
        <v>458</v>
      </c>
      <c r="C32" s="350">
        <f>'ESPECIFICACIONES TECNICAS'!R237</f>
        <v>11720002</v>
      </c>
      <c r="D32" s="468">
        <f t="shared" si="0"/>
        <v>2226800.38</v>
      </c>
      <c r="E32" s="490">
        <f t="shared" si="1"/>
        <v>13946802.379999999</v>
      </c>
      <c r="F32" s="480">
        <f>'ESPECIFICACIONES TECNICAS'!V237</f>
        <v>11720002</v>
      </c>
      <c r="G32" s="468">
        <f t="shared" si="2"/>
        <v>2226800.38</v>
      </c>
      <c r="H32" s="490">
        <f t="shared" si="3"/>
        <v>13946802.379999999</v>
      </c>
    </row>
    <row r="33" spans="1:8" ht="38" x14ac:dyDescent="0.2">
      <c r="B33" s="340" t="s">
        <v>461</v>
      </c>
      <c r="C33" s="354">
        <f>C34+C35+C38+C42</f>
        <v>673784241.2238096</v>
      </c>
      <c r="D33" s="469">
        <f t="shared" si="0"/>
        <v>128019005.83252382</v>
      </c>
      <c r="E33" s="492">
        <f t="shared" si="1"/>
        <v>801803247.05633342</v>
      </c>
      <c r="F33" s="481">
        <f>F34+F35+F38+F42</f>
        <v>681980036.04705882</v>
      </c>
      <c r="G33" s="469">
        <f t="shared" si="2"/>
        <v>129576206.84894118</v>
      </c>
      <c r="H33" s="492">
        <f t="shared" si="3"/>
        <v>811556242.89600003</v>
      </c>
    </row>
    <row r="34" spans="1:8" ht="19" x14ac:dyDescent="0.2">
      <c r="B34" s="340" t="s">
        <v>864</v>
      </c>
      <c r="C34" s="353">
        <f>SUM('ESPECIFICACIONES TECNICAS'!R239:R241)</f>
        <v>58600010</v>
      </c>
      <c r="D34" s="470">
        <f t="shared" si="0"/>
        <v>11134001.9</v>
      </c>
      <c r="E34" s="493">
        <f t="shared" si="1"/>
        <v>69734011.900000006</v>
      </c>
      <c r="F34" s="482">
        <f>SUM('ESPECIFICACIONES TECNICAS'!V239:V241)</f>
        <v>58600010</v>
      </c>
      <c r="G34" s="470">
        <f t="shared" si="2"/>
        <v>11134001.9</v>
      </c>
      <c r="H34" s="493">
        <f t="shared" si="3"/>
        <v>69734011.900000006</v>
      </c>
    </row>
    <row r="35" spans="1:8" ht="19" x14ac:dyDescent="0.2">
      <c r="B35" s="340" t="s">
        <v>465</v>
      </c>
      <c r="C35" s="353">
        <f>C36+C37</f>
        <v>141386385.25742295</v>
      </c>
      <c r="D35" s="470">
        <f t="shared" si="0"/>
        <v>26863413.198910363</v>
      </c>
      <c r="E35" s="493">
        <f t="shared" si="1"/>
        <v>168249798.45633331</v>
      </c>
      <c r="F35" s="482">
        <f>F36+F37</f>
        <v>144428570.33277312</v>
      </c>
      <c r="G35" s="470">
        <f t="shared" si="2"/>
        <v>27441428.363226894</v>
      </c>
      <c r="H35" s="493">
        <f t="shared" si="3"/>
        <v>171869998.69600001</v>
      </c>
    </row>
    <row r="36" spans="1:8" ht="19" x14ac:dyDescent="0.2">
      <c r="A36" s="538" t="s">
        <v>902</v>
      </c>
      <c r="B36" s="340" t="s">
        <v>466</v>
      </c>
      <c r="C36" s="345">
        <f>SUM('ESPECIFICACIONES TECNICAS'!R244:R269)</f>
        <v>130510861.57731092</v>
      </c>
      <c r="D36" s="462">
        <f t="shared" si="0"/>
        <v>24797063.699689075</v>
      </c>
      <c r="E36" s="484">
        <f t="shared" si="1"/>
        <v>155307925.27700001</v>
      </c>
      <c r="F36" s="476">
        <f>SUM('ESPECIFICACIONES TECNICAS'!V244:V269)</f>
        <v>133760035.84033614</v>
      </c>
      <c r="G36" s="462">
        <f t="shared" si="2"/>
        <v>25414406.809663869</v>
      </c>
      <c r="H36" s="484">
        <f t="shared" si="3"/>
        <v>159174442.65000001</v>
      </c>
    </row>
    <row r="37" spans="1:8" ht="19" x14ac:dyDescent="0.2">
      <c r="A37" s="538" t="s">
        <v>902</v>
      </c>
      <c r="B37" s="340" t="s">
        <v>524</v>
      </c>
      <c r="C37" s="345">
        <f>SUM('ESPECIFICACIONES TECNICAS'!R271:R284)</f>
        <v>10875523.680112045</v>
      </c>
      <c r="D37" s="462">
        <f t="shared" si="0"/>
        <v>2066349.4992212886</v>
      </c>
      <c r="E37" s="484">
        <f t="shared" si="1"/>
        <v>12941873.179333333</v>
      </c>
      <c r="F37" s="476">
        <f>SUM('ESPECIFICACIONES TECNICAS'!V271:V284)</f>
        <v>10668534.492436975</v>
      </c>
      <c r="G37" s="462">
        <f t="shared" si="2"/>
        <v>2027021.5535630253</v>
      </c>
      <c r="H37" s="484">
        <f t="shared" si="3"/>
        <v>12695556.046</v>
      </c>
    </row>
    <row r="38" spans="1:8" ht="38" x14ac:dyDescent="0.2">
      <c r="A38" s="538"/>
      <c r="B38" s="340" t="s">
        <v>546</v>
      </c>
      <c r="C38" s="353">
        <f>C39+C40+C41</f>
        <v>200938533.94117647</v>
      </c>
      <c r="D38" s="470">
        <f t="shared" si="0"/>
        <v>38178321.448823534</v>
      </c>
      <c r="E38" s="493">
        <f t="shared" si="1"/>
        <v>239116855.39000002</v>
      </c>
      <c r="F38" s="482">
        <f>F39+F40+F41</f>
        <v>206026473.47899163</v>
      </c>
      <c r="G38" s="470">
        <f t="shared" si="2"/>
        <v>39145029.961008407</v>
      </c>
      <c r="H38" s="493">
        <f t="shared" si="3"/>
        <v>245171503.44000003</v>
      </c>
    </row>
    <row r="39" spans="1:8" ht="19" x14ac:dyDescent="0.2">
      <c r="A39" s="538" t="s">
        <v>902</v>
      </c>
      <c r="B39" s="340" t="s">
        <v>547</v>
      </c>
      <c r="C39" s="345">
        <f>SUM('ESPECIFICACIONES TECNICAS'!R287:R307)</f>
        <v>63374886.411764696</v>
      </c>
      <c r="D39" s="462">
        <f t="shared" si="0"/>
        <v>12041228.418235293</v>
      </c>
      <c r="E39" s="484">
        <f t="shared" si="1"/>
        <v>75416114.829999983</v>
      </c>
      <c r="F39" s="476">
        <f>SUM('ESPECIFICACIONES TECNICAS'!V287:V307)</f>
        <v>68801338.722689092</v>
      </c>
      <c r="G39" s="462">
        <f t="shared" si="2"/>
        <v>13072254.357310928</v>
      </c>
      <c r="H39" s="484">
        <f t="shared" si="3"/>
        <v>81873593.080000013</v>
      </c>
    </row>
    <row r="40" spans="1:8" ht="19" x14ac:dyDescent="0.2">
      <c r="A40" s="538" t="s">
        <v>902</v>
      </c>
      <c r="B40" s="340" t="s">
        <v>603</v>
      </c>
      <c r="C40" s="345">
        <f>SUM('ESPECIFICACIONES TECNICAS'!R309:R321)</f>
        <v>63755045.815126054</v>
      </c>
      <c r="D40" s="462">
        <f t="shared" si="0"/>
        <v>12113458.704873951</v>
      </c>
      <c r="E40" s="484">
        <f t="shared" si="1"/>
        <v>75868504.520000011</v>
      </c>
      <c r="F40" s="476">
        <f>SUM('ESPECIFICACIONES TECNICAS'!V309:V321)</f>
        <v>63738360.941176474</v>
      </c>
      <c r="G40" s="462">
        <f t="shared" si="2"/>
        <v>12110288.578823531</v>
      </c>
      <c r="H40" s="484">
        <f t="shared" si="3"/>
        <v>75848649.520000011</v>
      </c>
    </row>
    <row r="41" spans="1:8" ht="19" x14ac:dyDescent="0.2">
      <c r="A41" s="538" t="s">
        <v>902</v>
      </c>
      <c r="B41" s="340" t="s">
        <v>616</v>
      </c>
      <c r="C41" s="345">
        <f>SUM('ESPECIFICACIONES TECNICAS'!R323:R340)</f>
        <v>73808601.714285731</v>
      </c>
      <c r="D41" s="462">
        <f t="shared" si="0"/>
        <v>14023634.325714288</v>
      </c>
      <c r="E41" s="484">
        <f t="shared" si="1"/>
        <v>87832236.040000021</v>
      </c>
      <c r="F41" s="476">
        <f>SUM('ESPECIFICACIONES TECNICAS'!V323:V340)</f>
        <v>73486773.815126061</v>
      </c>
      <c r="G41" s="462">
        <f t="shared" si="2"/>
        <v>13962487.024873951</v>
      </c>
      <c r="H41" s="484">
        <f t="shared" si="3"/>
        <v>87449260.840000018</v>
      </c>
    </row>
    <row r="42" spans="1:8" ht="38" x14ac:dyDescent="0.2">
      <c r="B42" s="340" t="s">
        <v>642</v>
      </c>
      <c r="C42" s="353">
        <f>C43+C44+C45+C46</f>
        <v>272859312.02521014</v>
      </c>
      <c r="D42" s="470">
        <f t="shared" si="0"/>
        <v>51843269.284789927</v>
      </c>
      <c r="E42" s="493">
        <f t="shared" si="1"/>
        <v>324702581.31000006</v>
      </c>
      <c r="F42" s="482">
        <f>F43+F44+F45+F46</f>
        <v>272924982.2352941</v>
      </c>
      <c r="G42" s="470">
        <f t="shared" si="2"/>
        <v>51855746.624705881</v>
      </c>
      <c r="H42" s="493">
        <f t="shared" si="3"/>
        <v>324780728.86000001</v>
      </c>
    </row>
    <row r="43" spans="1:8" ht="19" x14ac:dyDescent="0.2">
      <c r="A43" s="538" t="s">
        <v>902</v>
      </c>
      <c r="B43" s="340" t="s">
        <v>643</v>
      </c>
      <c r="C43" s="345">
        <f>SUM('ESPECIFICACIONES TECNICAS'!R343:R353)</f>
        <v>47346560.764705881</v>
      </c>
      <c r="D43" s="462">
        <f t="shared" si="0"/>
        <v>8995846.5452941172</v>
      </c>
      <c r="E43" s="484">
        <f t="shared" si="1"/>
        <v>56342407.310000002</v>
      </c>
      <c r="F43" s="476">
        <f>SUM('ESPECIFICACIONES TECNICAS'!V343:V353)</f>
        <v>46807621.983193278</v>
      </c>
      <c r="G43" s="462">
        <f t="shared" si="2"/>
        <v>8893448.1768067237</v>
      </c>
      <c r="H43" s="484">
        <f t="shared" si="3"/>
        <v>55701070.160000004</v>
      </c>
    </row>
    <row r="44" spans="1:8" ht="19" x14ac:dyDescent="0.2">
      <c r="A44" s="538" t="s">
        <v>902</v>
      </c>
      <c r="B44" s="340" t="s">
        <v>663</v>
      </c>
      <c r="C44" s="345">
        <f>SUM('ESPECIFICACIONES TECNICAS'!R355:R370)</f>
        <v>102049277.82633054</v>
      </c>
      <c r="D44" s="462">
        <f t="shared" si="0"/>
        <v>19389362.787002802</v>
      </c>
      <c r="E44" s="484">
        <f t="shared" si="1"/>
        <v>121438640.61333334</v>
      </c>
      <c r="F44" s="476">
        <f>SUM('ESPECIFICACIONES TECNICAS'!V355:V370)</f>
        <v>101825528.80672269</v>
      </c>
      <c r="G44" s="462">
        <f t="shared" si="2"/>
        <v>19346850.473277312</v>
      </c>
      <c r="H44" s="484">
        <f t="shared" si="3"/>
        <v>121172379.28</v>
      </c>
    </row>
    <row r="45" spans="1:8" ht="19" x14ac:dyDescent="0.2">
      <c r="A45" s="538" t="s">
        <v>902</v>
      </c>
      <c r="B45" s="340" t="s">
        <v>678</v>
      </c>
      <c r="C45" s="345">
        <f>SUM('ESPECIFICACIONES TECNICAS'!R372:R392)</f>
        <v>55478214.532212898</v>
      </c>
      <c r="D45" s="462">
        <f t="shared" si="0"/>
        <v>10540860.761120452</v>
      </c>
      <c r="E45" s="484">
        <f t="shared" si="1"/>
        <v>66019075.293333352</v>
      </c>
      <c r="F45" s="476">
        <f>SUM('ESPECIFICACIONES TECNICAS'!V372:V392)</f>
        <v>56334583.747899145</v>
      </c>
      <c r="G45" s="462">
        <f t="shared" si="2"/>
        <v>10703570.912100838</v>
      </c>
      <c r="H45" s="484">
        <f t="shared" si="3"/>
        <v>67038154.659999982</v>
      </c>
    </row>
    <row r="46" spans="1:8" ht="20" thickBot="1" x14ac:dyDescent="0.25">
      <c r="A46" s="538" t="s">
        <v>902</v>
      </c>
      <c r="B46" s="340" t="s">
        <v>712</v>
      </c>
      <c r="C46" s="345">
        <f>SUM('ESPECIFICACIONES TECNICAS'!R394:R399)</f>
        <v>67985258.90196079</v>
      </c>
      <c r="D46" s="462">
        <f t="shared" si="0"/>
        <v>12917199.191372551</v>
      </c>
      <c r="E46" s="494">
        <f t="shared" si="1"/>
        <v>80902458.093333334</v>
      </c>
      <c r="F46" s="476">
        <f>SUM('ESPECIFICACIONES TECNICAS'!V394:V399)</f>
        <v>67957247.697478995</v>
      </c>
      <c r="G46" s="462">
        <f t="shared" si="2"/>
        <v>12911877.062521009</v>
      </c>
      <c r="H46" s="494">
        <f t="shared" si="3"/>
        <v>80869124.760000005</v>
      </c>
    </row>
  </sheetData>
  <sheetProtection algorithmName="SHA-512" hashValue="w2Ahl2aKWDGzm70eRLxswMItYb8Eq/W5dCGAIw/V41XBvUeieesclyAnW+dN3yb4Tn9Mg/Ppc3xjyV6S8eXQNQ==" saltValue="InH8ens3T2yi6IAcrzsr9w==" spinCount="100000"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11</vt:i4>
      </vt:variant>
    </vt:vector>
  </HeadingPairs>
  <TitlesOfParts>
    <vt:vector size="14" baseType="lpstr">
      <vt:lpstr>ESPECIFICACIONES TECNICAS</vt:lpstr>
      <vt:lpstr>Hoja1</vt:lpstr>
      <vt:lpstr>METAS</vt:lpstr>
      <vt:lpstr>'ESPECIFICACIONES TECNICAS'!_Toc224153542</vt:lpstr>
      <vt:lpstr>'ESPECIFICACIONES TECNICAS'!_Toc224153544</vt:lpstr>
      <vt:lpstr>'ESPECIFICACIONES TECNICAS'!_Toc224153545</vt:lpstr>
      <vt:lpstr>'ESPECIFICACIONES TECNICAS'!_Toc224153546</vt:lpstr>
      <vt:lpstr>'ESPECIFICACIONES TECNICAS'!_Toc224153548</vt:lpstr>
      <vt:lpstr>'ESPECIFICACIONES TECNICAS'!_Toc224153549</vt:lpstr>
      <vt:lpstr>'ESPECIFICACIONES TECNICAS'!_Toc224153550</vt:lpstr>
      <vt:lpstr>'ESPECIFICACIONES TECNICAS'!_Toc224153562</vt:lpstr>
      <vt:lpstr>'ESPECIFICACIONES TECNICAS'!_Toc224153568</vt:lpstr>
      <vt:lpstr>'ESPECIFICACIONES TECNICAS'!_Toc224153572</vt:lpstr>
      <vt:lpstr>'ESPECIFICACIONES TECNICAS'!_Toc224153575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Paula Andrea Cogollo Guerra</cp:lastModifiedBy>
  <cp:revision/>
  <dcterms:created xsi:type="dcterms:W3CDTF">2022-06-01T16:02:37Z</dcterms:created>
  <dcterms:modified xsi:type="dcterms:W3CDTF">2026-06-09T20:34:39Z</dcterms:modified>
  <cp:category/>
  <cp:contentStatus/>
</cp:coreProperties>
</file>